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omments4.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ml.chartshape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ml.chartshapes+xml"/>
  <Override PartName="/xl/comments5.xml" ContentType="application/vnd.openxmlformats-officedocument.spreadsheetml.comments+xml"/>
  <Override PartName="/xl/drawings/drawing16.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6.xml" ContentType="application/vnd.openxmlformats-officedocument.spreadsheetml.comments+xml"/>
  <Override PartName="/xl/drawings/drawing17.xml" ContentType="application/vnd.openxmlformats-officedocument.drawing+xml"/>
  <Override PartName="/xl/activeX/activeX34.xml" ContentType="application/vnd.ms-office.activeX+xml"/>
  <Override PartName="/xl/activeX/activeX34.bin" ContentType="application/vnd.ms-office.activeX"/>
  <Override PartName="/xl/drawings/drawing18.xml" ContentType="application/vnd.openxmlformats-officedocument.drawing+xml"/>
  <Override PartName="/xl/activeX/activeX35.xml" ContentType="application/vnd.ms-office.activeX+xml"/>
  <Override PartName="/xl/activeX/activeX35.bin" ContentType="application/vnd.ms-office.activeX"/>
  <Override PartName="/xl/drawings/drawing19.xml" ContentType="application/vnd.openxmlformats-officedocument.drawing+xml"/>
  <Override PartName="/xl/activeX/activeX36.xml" ContentType="application/vnd.ms-office.activeX+xml"/>
  <Override PartName="/xl/activeX/activeX3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425" codeName="{99F03F65-6EE5-B2FF-AC1D-F4DDD12603F5}"/>
  <workbookPr codeName="ThisWorkbook" defaultThemeVersion="124226"/>
  <mc:AlternateContent xmlns:mc="http://schemas.openxmlformats.org/markup-compatibility/2006">
    <mc:Choice Requires="x15">
      <x15ac:absPath xmlns:x15ac="http://schemas.microsoft.com/office/spreadsheetml/2010/11/ac" url="Y:\6A42\MCST\FY2019\Hydrogen\NREL H2 Website\H2A\"/>
    </mc:Choice>
  </mc:AlternateContent>
  <xr:revisionPtr revIDLastSave="0" documentId="8_{E86BB52B-E123-4013-A7E6-AF82F409B8C4}" xr6:coauthVersionLast="43" xr6:coauthVersionMax="43" xr10:uidLastSave="{00000000-0000-0000-0000-000000000000}"/>
  <bookViews>
    <workbookView xWindow="-108" yWindow="-108" windowWidth="30936" windowHeight="16896" tabRatio="858" xr2:uid="{00000000-000D-0000-FFFF-FFFF00000000}"/>
  </bookViews>
  <sheets>
    <sheet name="Title" sheetId="111" r:id="rId1"/>
    <sheet name="Description" sheetId="112" r:id="rId2"/>
    <sheet name="ProcessFlow" sheetId="113" r:id="rId3"/>
    <sheet name="Input_Sheet_Template" sheetId="6" r:id="rId4"/>
    <sheet name="Replacement Costs" sheetId="17" r:id="rId5"/>
    <sheet name="Capital Costs" sheetId="35" r:id="rId6"/>
    <sheet name="Plant Scaling" sheetId="24" r:id="rId7"/>
    <sheet name="Carbon Sequestration" sheetId="33" r:id="rId8"/>
    <sheet name="Results" sheetId="34" r:id="rId9"/>
    <sheet name="Tornado Charts &amp; Risk Analysis" sheetId="119" r:id="rId10"/>
    <sheet name="Cash Flow Analysis" sheetId="15" r:id="rId11"/>
    <sheet name="Energy Feed &amp; Utility Prices" sheetId="12" r:id="rId12"/>
    <sheet name="Non-Energy Material Prices" sheetId="19" r:id="rId13"/>
    <sheet name="AEO Data" sheetId="11" r:id="rId14"/>
    <sheet name="HyARC Physical Property Data" sheetId="18" r:id="rId15"/>
    <sheet name="Debt Financing Calculations" sheetId="13" r:id="rId16"/>
    <sheet name="Depreciation" sheetId="14" r:id="rId17"/>
    <sheet name="Constants and Conversions" sheetId="5" r:id="rId18"/>
    <sheet name="Lists" sheetId="8" r:id="rId19"/>
    <sheet name="ProcessFlow - blank" sheetId="37" state="hidden" r:id="rId20"/>
    <sheet name="Description - blank" sheetId="38" state="hidden" r:id="rId21"/>
    <sheet name="Title - blank" sheetId="39" state="hidden" r:id="rId22"/>
  </sheets>
  <functionGroups builtInGroupCount="19"/>
  <definedNames>
    <definedName name="__123Graph_A" localSheetId="10" hidden="1">'Cash Flow Analysis'!$AB$65:$AB$112</definedName>
    <definedName name="__123Graph_ACUMCASH" localSheetId="10" hidden="1">'Cash Flow Analysis'!$AB$65:$AB$112</definedName>
    <definedName name="__123Graph_C" localSheetId="10" hidden="1">'Cash Flow Analysis'!#REF!</definedName>
    <definedName name="__123Graph_CCUMCASH" localSheetId="10" hidden="1">'Cash Flow Analysis'!#REF!</definedName>
    <definedName name="__123Graph_LBL_A" localSheetId="10" hidden="1">'Cash Flow Analysis'!#REF!</definedName>
    <definedName name="__123Graph_LBL_ACUMCASH" localSheetId="10" hidden="1">'Cash Flow Analysis'!#REF!</definedName>
    <definedName name="__123Graph_X" localSheetId="10" hidden="1">'Cash Flow Analysis'!$B$65:$B$112</definedName>
    <definedName name="__123Graph_XCUMCASH" localSheetId="10" hidden="1">'Cash Flow Analysis'!$B$65:$B$112</definedName>
    <definedName name="_ATPRegress_Dlg_Results" localSheetId="10" hidden="1">{2;#N/A;"R39C16:R60C16";#N/A;"R39C2:R60C2";FALSE;FALSE;FALSE;95;#N/A;#N/A;"R75C9";#N/A;FALSE;FALSE;FALSE;FALSE;#N/A;"";#N/A;FALSE;"";"";#N/A;#N/A;#N/A}</definedName>
    <definedName name="_ATPRegress_Dlg_Types" localSheetId="10" hidden="1">{"EXCELHLP.HLP!1802";5;10;5;10;13;13;13;8;5;5;10;14;13;13;13;13;5;10;14;13;5;10;1;2;24}</definedName>
    <definedName name="_ATPRegress_Range1" localSheetId="10" hidden="1">'Cash Flow Analysis'!$AB$65:$AB$112</definedName>
    <definedName name="_ATPRegress_Range2" localSheetId="10" hidden="1">'Cash Flow Analysis'!$B$65:$B$112</definedName>
    <definedName name="_ATPRegress_Range3" localSheetId="10" hidden="1">'Cash Flow Analysis'!#REF!</definedName>
    <definedName name="_ATPRegress_Range4" localSheetId="10" hidden="1">"="</definedName>
    <definedName name="_ATPRegress_Range5" localSheetId="10" hidden="1">"="</definedName>
    <definedName name="_xlnm._FilterDatabase" localSheetId="3" hidden="1">Input_Sheet_Template!$A$1:$E$51</definedName>
    <definedName name="_xlnm._FilterDatabase" localSheetId="6" hidden="1">'Plant Scaling'!#REF!</definedName>
    <definedName name="_Regression_Out" localSheetId="10" hidden="1">'Cash Flow Analysis'!#REF!</definedName>
    <definedName name="_Regression_X" localSheetId="10" hidden="1">'Cash Flow Analysis'!#REF!</definedName>
    <definedName name="_Regression_Y" localSheetId="10" hidden="1">'Cash Flow Analysis'!$AB$70:$AB$112</definedName>
    <definedName name="acre_cost">Input_Sheet_Template!$E$102</definedName>
    <definedName name="acres">Input_Sheet_Template!$E$103</definedName>
    <definedName name="Add_As_list">Lists!$A$8:$A$12</definedName>
    <definedName name="AEO_2009_Reference_Case">'Energy Feed &amp; Utility Prices'!$A$5:$CZ$18</definedName>
    <definedName name="AEO_2009_Reference_Case_Feeds">'Energy Feed &amp; Utility Prices'!$A$5:$A$18</definedName>
    <definedName name="AEO_2009_Reference_Case_Years">'Energy Feed &amp; Utility Prices'!$A$5:$CZ$5</definedName>
    <definedName name="AEO_2013_High_Price_Case">'Energy Feed &amp; Utility Prices'!$A$57:$CZ$68</definedName>
    <definedName name="AEO_2013_High_Price_Case_Feeds">'Energy Feed &amp; Utility Prices'!$A$57:$A$68</definedName>
    <definedName name="AEO_2013_High_Price_Case_Years">'Energy Feed &amp; Utility Prices'!$A$57:$CZ$57</definedName>
    <definedName name="AEO_2013_Reference_Case">'Energy Feed &amp; Utility Prices'!$A$23:$CZ$35</definedName>
    <definedName name="AEO_2013_Reference_Case_Feeds">'Energy Feed &amp; Utility Prices'!$A$23:$A$35</definedName>
    <definedName name="AEO_2013_Reference_Case_Years">'Energy Feed &amp; Utility Prices'!$A$23:$CZ$23</definedName>
    <definedName name="AEO_2014_Reference_Case" comment="energy feeds">'Energy Feed &amp; Utility Prices'!$A$87:$CZ$100</definedName>
    <definedName name="AEO_2014_Reference_Case_Feeds">'Energy Feed &amp; Utility Prices'!$A$87:$A$100</definedName>
    <definedName name="AEO_2014_Reference_Case_Years">'Energy Feed &amp; Utility Prices'!$A$87:$CZ$87</definedName>
    <definedName name="AEO_2017_Reference_Case">'Energy Feed &amp; Utility Prices'!$A$131:$CZ$141</definedName>
    <definedName name="AEO_2017_Reference_Case_Feeds">'Energy Feed &amp; Utility Prices'!$A$131:$A$141</definedName>
    <definedName name="AEO_2017_Reference_Case_Years">'Energy Feed &amp; Utility Prices'!$A$131:$CZ$131</definedName>
    <definedName name="after_tax_nominal_IRR">'Cash Flow Analysis'!$E$20</definedName>
    <definedName name="after_tax_real_IRR">'Cash Flow Analysis'!$E$18</definedName>
    <definedName name="anal_period">Input_Sheet_Template!$C$40</definedName>
    <definedName name="Baseline_Design_Capacity">'Capital Costs'!$C$7</definedName>
    <definedName name="BasisYear">Input_Sheet_Template!$C$32</definedName>
    <definedName name="btu_to_kWh">'Constants and Conversions'!$C$17</definedName>
    <definedName name="byproductIndustrial_Electricity_Price">Input_Sheet_Template!#REF!</definedName>
    <definedName name="Cancelled">Lists!$A$1</definedName>
    <definedName name="cap_factor">Input_Sheet_Template!$C$25</definedName>
    <definedName name="Case_eByprod_List">'Cash Flow Analysis'!$K$131:$N$131</definedName>
    <definedName name="Case_eFeed_List">'Cash Flow Analysis'!$B$131:$E$131</definedName>
    <definedName name="Case_eUtility_List">'Cash Flow Analysis'!$F$131:$I$131</definedName>
    <definedName name="Case_material_byprod_list">'Cash Flow Analysis'!$T$131:$V$131</definedName>
    <definedName name="Case_Material_Input_List">'Cash Flow Analysis'!$P$131:$R$131</definedName>
    <definedName name="CC_feedconversion">'Constants and Conversions'!$A$29:$B$31</definedName>
    <definedName name="CCS_tax_insurance">'Carbon Sequestration'!$J$43</definedName>
    <definedName name="CCSEqpCap">'Carbon Sequestration'!$J$27</definedName>
    <definedName name="CEPC_Factor_08to05">'Carbon Sequestration'!$C$91</definedName>
    <definedName name="CEPCIinflator">'Capital Costs'!$C$11</definedName>
    <definedName name="Chemical_price_indexes">'HyARC Physical Property Data'!$K$94:$L$130</definedName>
    <definedName name="cmboSelectFeed">"Drop Down 23"</definedName>
    <definedName name="CO2_aprx_indCap">'Carbon Sequestration'!$J$28</definedName>
    <definedName name="CO2_cap_charge_rate">'Carbon Sequestration'!$C$48</definedName>
    <definedName name="CO2_cap_rec">'Carbon Sequestration'!$C$46</definedName>
    <definedName name="CO2_capptonneCO2">'Carbon Sequestration'!$K$47</definedName>
    <definedName name="CO2_Capture_Efficiency">'Carbon Sequestration'!$C$30</definedName>
    <definedName name="CO2_CashFlow_eUse">'Cash Flow Analysis'!$J$133</definedName>
    <definedName name="CO2_ControlSystem">'Carbon Sequestration'!$C$34</definedName>
    <definedName name="CO2_credit">'Carbon Sequestration'!$C$43</definedName>
    <definedName name="CO2_depr_factor">'Carbon Sequestration'!$C$47</definedName>
    <definedName name="CO2_eCost">'Carbon Sequestration'!$C$25</definedName>
    <definedName name="CO2_eCostpY">'Carbon Sequestration'!$J$34</definedName>
    <definedName name="CO2_energyptonneCO2">'Carbon Sequestration'!$K$45</definedName>
    <definedName name="CO2_eUse_kWhpkg">'Carbon Sequestration'!$C$26</definedName>
    <definedName name="CO2_flowrate">'Carbon Sequestration'!$C$23</definedName>
    <definedName name="CO2_flowrate_GTpY">'Carbon Sequestration'!$C$24</definedName>
    <definedName name="CO2_inUse">'Carbon Sequestration'!$B$2</definedName>
    <definedName name="CO2_Location">Lists!$T$4:$T$5</definedName>
    <definedName name="CO2_Location_factor">'Carbon Sequestration'!#REF!</definedName>
    <definedName name="CO2_MaintFactor">'Carbon Sequestration'!$C$44</definedName>
    <definedName name="CO2_Nwells">'Carbon Sequestration'!#REF!</definedName>
    <definedName name="CO2_OandMcost">Input_Sheet_Template!$E$156</definedName>
    <definedName name="CO2_OandMptonneCO2">'Carbon Sequestration'!$K$46</definedName>
    <definedName name="CO2_Pin_psia">'Carbon Sequestration'!$C$31</definedName>
    <definedName name="CO2_PipeDia">'Carbon Sequestration'!$C$38</definedName>
    <definedName name="CO2_PipeElevation">'Carbon Sequestration'!$C$37</definedName>
    <definedName name="CO2_PipeFactor">'Carbon Sequestration'!$C$45</definedName>
    <definedName name="CO2_PipeLength">'Carbon Sequestration'!$C$36</definedName>
    <definedName name="CO2_Pipeline_Temp">'Carbon Sequestration'!$C$40</definedName>
    <definedName name="CO2_Pipeline_Temp_factor">'Carbon Sequestration'!$C$40</definedName>
    <definedName name="CO2_Pump_Eff">'Carbon Sequestration'!$C$33</definedName>
    <definedName name="CO2_seq">Input_Sheet_Template!$C$89</definedName>
    <definedName name="CO2_SiteCap">'Carbon Sequestration'!#REF!</definedName>
    <definedName name="CO2_SurgeTank">'Carbon Sequestration'!$C$35</definedName>
    <definedName name="CO2_Terrain">Lists!$V$4:$V$10</definedName>
    <definedName name="CO2_Terrain_2">Lists!$V$4:$W$10</definedName>
    <definedName name="CO2_Terrain_factor">'Carbon Sequestration'!$C$40</definedName>
    <definedName name="CO2_TerrainType">'Carbon Sequestration'!#REF!</definedName>
    <definedName name="CO2_Value_Defaults">Lists!$Y$4:$Z$14</definedName>
    <definedName name="CO2_WellDepth">'Carbon Sequestration'!#REF!</definedName>
    <definedName name="co2ecost">'Carbon Sequestration'!#REF!</definedName>
    <definedName name="ColorList">Lists!$C$15:$C$19</definedName>
    <definedName name="construct">Input_Sheet_Template!$C$33</definedName>
    <definedName name="CPIinflator">'Capital Costs'!$C$12</definedName>
    <definedName name="CurrentYear">'Capital Costs'!$C$10</definedName>
    <definedName name="debt_interest">Input_Sheet_Template!$C$44</definedName>
    <definedName name="debt_period">Input_Sheet_Template!$C$45</definedName>
    <definedName name="decom">'Cash Flow Analysis'!$B$54</definedName>
    <definedName name="decom_percent">Input_Sheet_Template!$C$49</definedName>
    <definedName name="DeflatorTable">'HyARC Physical Property Data'!$A$94:$B$119</definedName>
    <definedName name="Delete_As_List">Lists!$A$15:$A$20</definedName>
    <definedName name="depr_cap">Input_Sheet_Template!$E$99</definedName>
    <definedName name="depr_cap_infl">'Cash Flow Analysis'!$B$51</definedName>
    <definedName name="depr_cost">Depreciation!$B$97:$B$140</definedName>
    <definedName name="depr_length">Input_Sheet_Template!$C$41</definedName>
    <definedName name="depr_type">Input_Sheet_Template!$C$42</definedName>
    <definedName name="depr_yr">Depreciation!$A$97:$A$140</definedName>
    <definedName name="design_cap">Input_Sheet_Template!$C$26</definedName>
    <definedName name="Det_CO2_OandMcost">'Carbon Sequestration'!$J$41</definedName>
    <definedName name="Det_CO2_seq">'Carbon Sequestration'!$J$26</definedName>
    <definedName name="Det_direct_cap">'Capital Costs'!$F$47</definedName>
    <definedName name="Det_scaled_cap">'Plant Scaling'!$G$39</definedName>
    <definedName name="direct_cap">Input_Sheet_Template!$C$88</definedName>
    <definedName name="DR_Carbon_Sequestration_1">'Carbon Sequestration'!$C$30:$C$48</definedName>
    <definedName name="DR_Carbon_Sequestration_2">'Carbon Sequestration'!$C$36</definedName>
    <definedName name="DR_CostDetail_1">'Capital Costs'!$B$16:$C$46,'Capital Costs'!$E$16:$E$46</definedName>
    <definedName name="DR_CostDetail_2">'Capital Costs'!$G$16:$H$46</definedName>
    <definedName name="DR_PlantScaling_1">'Plant Scaling'!$C$6:$C$8</definedName>
    <definedName name="DR_PlantScaling_2">'Plant Scaling'!$D$13:$D$38</definedName>
    <definedName name="DR_ReplacementCosts_01">'Replacement Costs'!$F$18:$F$57</definedName>
    <definedName name="DR_ReplacementCosts_1">'Replacement Costs'!$F$18:$F$57</definedName>
    <definedName name="Dynamic_Byproduct_Total">Input_Sheet_Template!$F$79:$F$80</definedName>
    <definedName name="Dynamic_Feed_Total">Input_Sheet_Template!$F$73:$F$76</definedName>
    <definedName name="Dynamic_NonE_Byprod_Total">Input_Sheet_Template!$E$139:$E$140</definedName>
    <definedName name="Dynamic_NonE_Feed_Total">Input_Sheet_Template!$E$136:$E$139</definedName>
    <definedName name="Dynamic_Utilities_Total">Input_Sheet_Template!$F$76:$F$79</definedName>
    <definedName name="Energy_Feed_List">Lists!$K$12</definedName>
    <definedName name="Energy_Feed_Years">Lists!$K$14</definedName>
    <definedName name="Engin">Input_Sheet_Template!$E$93</definedName>
    <definedName name="equity">Input_Sheet_Template!$C$43</definedName>
    <definedName name="Export_Variable_List">Lists!$R$4:$R$80</definedName>
    <definedName name="fed_tax_rate">Input_Sheet_Template!$C$54</definedName>
    <definedName name="Feed_CO2_kgpkgH2">Results!$D$85</definedName>
    <definedName name="Feed_CO2_MTpY">Results!$D$86</definedName>
    <definedName name="Feed_Type_List">Lists!$C$8:$C$12</definedName>
    <definedName name="FEEDPRICETABLE">INDIRECT(Price_Table_in_Use)</definedName>
    <definedName name="FeedPropertyTable">'HyARC Physical Property Data'!$A$71:$L$88</definedName>
    <definedName name="Feedstock">Lists!$A$8:$A$12</definedName>
    <definedName name="Feedstock_Year">INDIRECT(Energy_Feed_Years)</definedName>
    <definedName name="feedstockBio_Methane_Price">Input_Sheet_Template!#REF!</definedName>
    <definedName name="feedstockCommercial_Electricity_Price">Input_Sheet_Template!#REF!</definedName>
    <definedName name="feedstockCommercial_Natural_Gas_Price">Input_Sheet_Template!#REF!</definedName>
    <definedName name="feedstockElectric_Utility_Natural_Gas_Price">Input_Sheet_Template!#REF!</definedName>
    <definedName name="feedstockElectric_Utility_Steam_Coal_Price">Input_Sheet_Template!$D$75</definedName>
    <definedName name="feedstockElectric_Utility_Steam_Coal_Usage">Input_Sheet_Template!$E$75</definedName>
    <definedName name="feedstockIndustrial_Electricity_Price">Input_Sheet_Template!#REF!</definedName>
    <definedName name="feedstockIndustrial_Natural_Gas_Price">Input_Sheet_Template!#REF!</definedName>
    <definedName name="feedstockResidential_Electricity_Price">Input_Sheet_Template!#REF!</definedName>
    <definedName name="feedstockResidential_Natural_Gas_Price">Input_Sheet_Template!#REF!</definedName>
    <definedName name="feedstockWoody_Biomass_Price">Input_Sheet_Template!#REF!</definedName>
    <definedName name="Fees">Input_Sheet_Template!$E$97</definedName>
    <definedName name="fixed">Input_Sheet_Template!$E$124</definedName>
    <definedName name="FTE_cost">Input_Sheet_Template!$E$112</definedName>
    <definedName name="FTEs">Input_Sheet_Template!$E$111</definedName>
    <definedName name="gal_to_liters">'Constants and Conversions'!$C$4</definedName>
    <definedName name="GGE_to_kWh">'Constants and Conversions'!$C$13</definedName>
    <definedName name="GHG_CH4_factor">'Constants and Conversions'!$B$23</definedName>
    <definedName name="GHG_CO2_factor">'Constants and Conversions'!$B$22</definedName>
    <definedName name="GHG_N2O_factor">'Constants and Conversions'!$B$24</definedName>
    <definedName name="H2_LHV_MJ_p_kg">'HyARC Physical Property Data'!$E$7</definedName>
    <definedName name="H2_price_nominal">'Cash Flow Analysis'!$E$17</definedName>
    <definedName name="H2_price_real">'Cash Flow Analysis'!$E$16</definedName>
    <definedName name="Import_Variable_List">Lists!$M$4:$M$61</definedName>
    <definedName name="inflated_fixed">'Cash Flow Analysis'!$B$56</definedName>
    <definedName name="inflated_otherraw">'Cash Flow Analysis'!$B$57</definedName>
    <definedName name="inflated_othervar">'Cash Flow Analysis'!$B$58</definedName>
    <definedName name="INFLATION_FACTOR">'Cash Flow Analysis'!$B$128</definedName>
    <definedName name="inflation_rate">Input_Sheet_Template!$C$51</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Input_Sheet_Template!$E$113</definedName>
    <definedName name="land_cost">Input_Sheet_Template!$E$104</definedName>
    <definedName name="lb_to_kg">'Constants and Conversions'!$C$7</definedName>
    <definedName name="licensing">Input_Sheet_Template!$E$116</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Prices'!$A:$A),104)</definedName>
    <definedName name="MASTER_PROPERTY_TABLE">OFFSET('HyARC Physical Property Data'!$A$70,1,0,COUNTA('HyARC Physical Property Data'!$A:$A),14)</definedName>
    <definedName name="material">Input_Sheet_Template!$E$120</definedName>
    <definedName name="miles_to_km">'Constants and Conversions'!$C$3</definedName>
    <definedName name="MJ_to_kWh">'Constants and Conversions'!$C$12</definedName>
    <definedName name="mmBTU_to_GJ">'Constants and Conversions'!$C$18</definedName>
    <definedName name="MPa_to_psi">'Constants and Conversions'!$C$9</definedName>
    <definedName name="MPG_to_kWhPkm">'Constants and Conversions'!$C$5</definedName>
    <definedName name="n_CO2_pumps">'Carbon Sequestration'!$C$32</definedName>
    <definedName name="n_pumps">'Carbon Sequestration'!$C$32</definedName>
    <definedName name="ncf_to_Nm3">'Constants and Conversions'!$C$8</definedName>
    <definedName name="NG_to_CO2Pipeline">'Carbon Sequestration'!$C$53</definedName>
    <definedName name="nominal_irr">'Cash Flow Analysis'!$B$27</definedName>
    <definedName name="non_dep_cap">Input_Sheet_Template!$E$106</definedName>
    <definedName name="non_dep_infl">'Cash Flow Analysis'!$B$52</definedName>
    <definedName name="NPV">'Cash Flow Analysis'!$E$26</definedName>
    <definedName name="operator_profit">Input_Sheet_Template!$E$154</definedName>
    <definedName name="other_fees">Input_Sheet_Template!$E$122</definedName>
    <definedName name="other_fixed">Input_Sheet_Template!$E$123</definedName>
    <definedName name="Other_indirect">Input_Sheet_Template!$E$96</definedName>
    <definedName name="Other_Inputs_List">OFFSET('Non-Energy Material Prices'!$A$1,0,0,COUNTA('Non-Energy Material Prices'!$A:$A),1)</definedName>
    <definedName name="Other_Inputs_years">'Non-Energy Material Prices'!$E$1:$CZ$1</definedName>
    <definedName name="Other_Materials_List">OFFSET('Non-Energy Material Prices'!$A$1,1,0,COUNTA('Non-Energy Material Prices'!$A:$A),1)</definedName>
    <definedName name="output_kgpday">Input_Sheet_Template!$C$27</definedName>
    <definedName name="output_kgyear">Input_Sheet_Template!$C$28</definedName>
    <definedName name="overhead_GA">Input_Sheet_Template!$E$115</definedName>
    <definedName name="overhead_rate">Input_Sheet_Template!$C$114</definedName>
    <definedName name="percent_cap1">Input_Sheet_Template!$C$34</definedName>
    <definedName name="percent_cap2">Input_Sheet_Template!$C$35</definedName>
    <definedName name="percent_cap3">Input_Sheet_Template!$C$36</definedName>
    <definedName name="percent_cap4">Input_Sheet_Template!$C$37</definedName>
    <definedName name="percnt_fixed">Input_Sheet_Template!$C$46</definedName>
    <definedName name="percnt_revs">Input_Sheet_Template!$C$47</definedName>
    <definedName name="percnt_var">Input_Sheet_Template!$C$48</definedName>
    <definedName name="Permitting">Input_Sheet_Template!$E$98</definedName>
    <definedName name="plant_life">Input_Sheet_Template!$C$39</definedName>
    <definedName name="pre_tax_nominal_IRR">'Cash Flow Analysis'!$E$21</definedName>
    <definedName name="pre_tax_real_IRR">'Cash Flow Analysis'!$E$19</definedName>
    <definedName name="Price_Table_in_Use">Lists!$J$12</definedName>
    <definedName name="Price_Table_List">Lists!$J$2</definedName>
    <definedName name="Price_Tables">Lists!$J$3:$J$7</definedName>
    <definedName name="_xlnm.Print_Area" localSheetId="13">'AEO Data'!$A$736:$I$762</definedName>
    <definedName name="_xlnm.Print_Area" localSheetId="5">'Capital Costs'!$B$14:$G$46</definedName>
    <definedName name="_xlnm.Print_Area" localSheetId="10">'Cash Flow Analysis'!$B$1:$G$14</definedName>
    <definedName name="_xlnm.Print_Area" localSheetId="14">'HyARC Physical Property Data'!$O$4:$U$18</definedName>
    <definedName name="_xlnm.Print_Area" localSheetId="3">Input_Sheet_Template!$B$126:$G$161</definedName>
    <definedName name="_xlnm.Print_Area" localSheetId="6">'Plant Scaling'!$B$2:$K$39</definedName>
    <definedName name="_xlnm.Print_Area" localSheetId="4">'Replacement Costs'!$A$13:$L$57</definedName>
    <definedName name="_xlnm.Print_Area" localSheetId="8">Results!$B$74:$G$121</definedName>
    <definedName name="_xlnm.Print_Titles" localSheetId="6">'Plant Scaling'!$B:$B</definedName>
    <definedName name="Proc_CO2_MTpY">Results!$D$84</definedName>
    <definedName name="Proc_CO2_tax">Input_Sheet_Template!$E$157</definedName>
    <definedName name="Proc_CO2_taxpYear">Input_Sheet_Template!$E$158</definedName>
    <definedName name="ProcEqpCap">'Plant Scaling'!$E$39</definedName>
    <definedName name="Process_cont">Input_Sheet_Template!$E$94</definedName>
    <definedName name="prod_maint">Input_Sheet_Template!$E$121</definedName>
    <definedName name="Project_cont">Input_Sheet_Template!$E$95</definedName>
    <definedName name="Pump_Eff">'Carbon Sequestration'!$C$33</definedName>
    <definedName name="pump_power">'Carbon Sequestration'!$C$68</definedName>
    <definedName name="R_CostDetail_6">'Plant Scaling'!$C$48:$C$52</definedName>
    <definedName name="real_irr">Input_Sheet_Template!$C$52</definedName>
    <definedName name="recovery_period">Depreciation!$B$14:$H$14</definedName>
    <definedName name="recovery_year">Depreciation!$B$14:$B$37</definedName>
    <definedName name="ref_year">Input_Sheet_Template!$C$30</definedName>
    <definedName name="rent">Input_Sheet_Template!$E$119</definedName>
    <definedName name="replace_factor">Input_Sheet_Template!$C$152</definedName>
    <definedName name="result_byprod_contr">Results!$C$24</definedName>
    <definedName name="result_cap_contr">Results!$C$19</definedName>
    <definedName name="result_decom_contr">Results!$C$20</definedName>
    <definedName name="result_feed_contr">Results!$C$22</definedName>
    <definedName name="result_Fixed_O_M_contr">Results!$C$21</definedName>
    <definedName name="result_Other_Mat_contr">Results!$C$23</definedName>
    <definedName name="result_other_var_contr">Results!$C$25</definedName>
    <definedName name="Result_price">Results!$C$26</definedName>
    <definedName name="royalties">Input_Sheet_Template!$E$153</definedName>
    <definedName name="RunRiskAnalysis">'Tornado Charts &amp; Risk Analysis'!$D$11</definedName>
    <definedName name="salvage">'Cash Flow Analysis'!$B$55</definedName>
    <definedName name="salvage_perct">Input_Sheet_Template!$C$50</definedName>
    <definedName name="Scale_Factor">'Plant Scaling'!$C$5</definedName>
    <definedName name="Scale_Ratio">'Plant Scaling'!$C$4</definedName>
    <definedName name="scaled_cap">Input_Sheet_Template!$C$88</definedName>
    <definedName name="Scaling_Factor_Exponent">'Plant Scaling'!$C$6</definedName>
    <definedName name="Scaling_Method_Defaults">Lists!$AB$4:$AC$28</definedName>
    <definedName name="Scaling_validation">Lists!$A$24:$A$37</definedName>
    <definedName name="scf_to_Nm3">'Constants and Conversions'!$C$6</definedName>
    <definedName name="SELECTED_FEED">Input_Sheet_Template!$B$61</definedName>
    <definedName name="sensitivity_01">'Tornado Charts &amp; Risk Analysis'!$C$48</definedName>
    <definedName name="sensitivity_02">'Tornado Charts &amp; Risk Analysis'!$D$48</definedName>
    <definedName name="sensitivity_03">'Tornado Charts &amp; Risk Analysis'!$E$48</definedName>
    <definedName name="sensitivity_04">'Tornado Charts &amp; Risk Analysis'!$F$48</definedName>
    <definedName name="sensitivity_05">'Tornado Charts &amp; Risk Analysis'!$G$48</definedName>
    <definedName name="sensitivity_06">'Tornado Charts &amp; Risk Analysis'!$H$48</definedName>
    <definedName name="sensitivity_07">'Tornado Charts &amp; Risk Analysis'!$I$48</definedName>
    <definedName name="Sensitivity_case">'Tornado Charts &amp; Risk Analysis'!$B$48</definedName>
    <definedName name="Sensitivity_output">'Tornado Charts &amp; Risk Analysis'!$K$50:$Y$50</definedName>
    <definedName name="Sensitivity_results">'Tornado Charts &amp; Risk Analysis'!$K$48:$Y$48</definedName>
    <definedName name="Sensitivity_Variables">OFFSET(Lists!$G$4,0,0,COUNTA(Lists!$G:$G),2)</definedName>
    <definedName name="SensitivityInputs">'Tornado Charts &amp; Risk Analysis'!$C$48:$I$48</definedName>
    <definedName name="Site_prep">Input_Sheet_Template!$E$92</definedName>
    <definedName name="solidwaste_treat">Input_Sheet_Template!$E$151</definedName>
    <definedName name="solver_adj" localSheetId="10" hidden="1">'Cash Flow Analysis'!#REF!</definedName>
    <definedName name="solver_cvg" localSheetId="10" hidden="1">0.001</definedName>
    <definedName name="solver_drv" localSheetId="10" hidden="1">0</definedName>
    <definedName name="solver_est" localSheetId="10" hidden="1">1</definedName>
    <definedName name="solver_itr" localSheetId="10" hidden="1">1000</definedName>
    <definedName name="solver_lin" localSheetId="10" hidden="1">2</definedName>
    <definedName name="solver_neg" localSheetId="10" hidden="1">2</definedName>
    <definedName name="solver_num" localSheetId="10" hidden="1">0</definedName>
    <definedName name="solver_nwt" localSheetId="10" hidden="1">1</definedName>
    <definedName name="solver_opt" localSheetId="10" hidden="1">'Cash Flow Analysis'!#REF!</definedName>
    <definedName name="solver_pre" localSheetId="10" hidden="1">0.000001</definedName>
    <definedName name="solver_scl" localSheetId="10" hidden="1">2</definedName>
    <definedName name="solver_sho" localSheetId="10" hidden="1">2</definedName>
    <definedName name="solver_tim" localSheetId="10" hidden="1">1000</definedName>
    <definedName name="solver_tmp" localSheetId="10" hidden="1">'Cash Flow Analysis'!$Q$65:$R$65,'Cash Flow Analysis'!$F$65:$F$65,'Cash Flow Analysis'!$U$65:$U$65,'Cash Flow Analysis'!$X$65:$X$65,'Cash Flow Analysis'!#REF!,'Cash Flow Analysis'!$U$105:$U$112,'Cash Flow Analysis'!#REF!,'Cash Flow Analysis'!#REF!,'Cash Flow Analysis'!#REF!,'Cash Flow Analysis'!#REF!,'Cash Flow Analysis'!#REF!</definedName>
    <definedName name="solver_tol" localSheetId="10" hidden="1">0.05</definedName>
    <definedName name="solver_typ" localSheetId="10" hidden="1">3</definedName>
    <definedName name="solver_val" localSheetId="10" hidden="1">0.15</definedName>
    <definedName name="START_BYPROD">Input_Sheet_Template!$A$80</definedName>
    <definedName name="START_FEED">Input_Sheet_Template!$A$76</definedName>
    <definedName name="START_NONE_BYPROD">Input_Sheet_Template!$A$140</definedName>
    <definedName name="START_NONE_FEED">Input_Sheet_Template!$A$139</definedName>
    <definedName name="START_NONE_TOP">Input_Sheet_Template!$A$136</definedName>
    <definedName name="start_time">Input_Sheet_Template!$C$38</definedName>
    <definedName name="START_TOP">Input_Sheet_Template!$A$73</definedName>
    <definedName name="START_UTILITY">Input_Sheet_Template!$A$79</definedName>
    <definedName name="startup_year">Input_Sheet_Template!$C$31</definedName>
    <definedName name="StartYr_comm_Electricity">'Cash Flow Analysis'!$E$281</definedName>
    <definedName name="StartYr_indust_Electricity">'Cash Flow Analysis'!$E$282</definedName>
    <definedName name="state_tax_rate">Input_Sheet_Template!$C$53</definedName>
    <definedName name="tax_credit">Input_Sheet_Template!$E$155</definedName>
    <definedName name="tax_ins_rate">Input_Sheet_Template!$C$117</definedName>
    <definedName name="tax_insurance">Input_Sheet_Template!$E$118</definedName>
    <definedName name="Tbl_2005Emissions">'HyARC Physical Property Data'!$A$135:$I$153</definedName>
    <definedName name="Tbl_2020Emissions">'HyARC Physical Property Data'!#REF!</definedName>
    <definedName name="Tbl_eByprod_Transfer_Info">'Cash Flow Analysis'!$K$131:$N$135</definedName>
    <definedName name="Tbl_Emissions">'HyARC Physical Property Data'!$A$135:$I$153</definedName>
    <definedName name="Tbl_eUtility_Transfer_Info">'Cash Flow Analysis'!$F$131:$I$135</definedName>
    <definedName name="Tbl_Feedstock_Transfer_Info">'Cash Flow Analysis'!$B$131:$E$135</definedName>
    <definedName name="Tbl_labor_indexes">'HyARC Physical Property Data'!$G$94:$H$118</definedName>
    <definedName name="Tbl_material_byprod_transfer_info">'Cash Flow Analysis'!$T$131:$V$134</definedName>
    <definedName name="Tbl_Material_Input_transfer_info">'Cash Flow Analysis'!$P$131:$R$134</definedName>
    <definedName name="Tbl_Other_Inputs_and_Byproducts">MASTER_OTHER_PRICES</definedName>
    <definedName name="Tbl_PlantCostIndexes">'HyARC Physical Property Data'!$D$94:$E$118</definedName>
    <definedName name="Tbl_Result_CCSCost">Results!$F$17:$H$22</definedName>
    <definedName name="TCI_infl">'Cash Flow Analysis'!$B$51</definedName>
    <definedName name="Temp_Var_Location">Lists!$E$4</definedName>
    <definedName name="title">Input_Sheet_Template!$B$3</definedName>
    <definedName name="TMP_Conversion">Input_Sheet_Template!$C$66</definedName>
    <definedName name="TMP_conversion_effic">Input_Sheet_Template!$F$68</definedName>
    <definedName name="TMP_Escalation">Input_Sheet_Template!$C$70</definedName>
    <definedName name="TMP_FeedName">Input_Sheet_Template!$B$63</definedName>
    <definedName name="TMP_FeedType">Input_Sheet_Template!$B$65</definedName>
    <definedName name="TMP_nonE_Escalation">Input_Sheet_Template!$C$135</definedName>
    <definedName name="TMP_NonE_Feed">Input_Sheet_Template!$C$131</definedName>
    <definedName name="TMP_NonE_StartPrice">Input_Sheet_Template!$C$132</definedName>
    <definedName name="TMP_NonE_StartYrCost">Input_Sheet_Template!$C$134</definedName>
    <definedName name="TMP_NonE_Type">Input_Sheet_Template!$B$131</definedName>
    <definedName name="TMP_NonE_Usage">Input_Sheet_Template!$C$133</definedName>
    <definedName name="TMP_NonE_Usage_txt">Input_Sheet_Template!$B$132</definedName>
    <definedName name="TMP_PriceTable">Input_Sheet_Template!$B$59</definedName>
    <definedName name="TMP_StartPrice">Input_Sheet_Template!$C$67</definedName>
    <definedName name="TMP_StartYrCost">Input_Sheet_Template!$C$69</definedName>
    <definedName name="TMP_Units">Input_Sheet_Template!$D$61</definedName>
    <definedName name="TMP_Usage">Input_Sheet_Template!$C$68</definedName>
    <definedName name="total_byproducts">Input_Sheet_Template!$C$146</definedName>
    <definedName name="total_cap">Input_Sheet_Template!$C$108</definedName>
    <definedName name="Total_Energy_Byproduct_Cost">Input_Sheet_Template!$D$84</definedName>
    <definedName name="Total_Energy_Byproduct_Credit">Input_Sheet_Template!$F$84</definedName>
    <definedName name="Total_Energy_Feed_Cost">Input_Sheet_Template!$F$82</definedName>
    <definedName name="Total_Energy_Utilities_Cost">Input_Sheet_Template!$F$83</definedName>
    <definedName name="total_feedstock">Input_Sheet_Template!$C$144</definedName>
    <definedName name="total_non_energy_byproduct_credit">Input_Sheet_Template!$C$142</definedName>
    <definedName name="Total_Non_Energy_Feed_Cost">Input_Sheet_Template!$C$141</definedName>
    <definedName name="total_other_raw">Input_Sheet_Template!$E$149</definedName>
    <definedName name="total_tax_rate">Input_Sheet_Template!$C$55</definedName>
    <definedName name="total_utilities">Input_Sheet_Template!$C$145</definedName>
    <definedName name="total_var">Input_Sheet_Template!$E$161</definedName>
    <definedName name="upper_capacity_limit">'Plant Scaling'!$C$8</definedName>
    <definedName name="Upstream_CO2_tax">Input_Sheet_Template!$E$159</definedName>
    <definedName name="Upstream_CO2_taxpYear">Input_Sheet_Template!$E$160</definedName>
    <definedName name="Upstream_GHG_total">Results!$G$77</definedName>
    <definedName name="Use_Default">Lists!$A$4:$A$5</definedName>
    <definedName name="utilityIndustrial_Electricity_Price">Input_Sheet_Template!$D$78</definedName>
    <definedName name="utilityIndustrial_Electricity_Usage">Input_Sheet_Template!$E$78</definedName>
    <definedName name="VAR_FEED_VALUES">Input_Sheet_Template!$B$65:$D$70</definedName>
    <definedName name="var_misc">Input_Sheet_Template!$E$148</definedName>
    <definedName name="VAR_NonE_FEED_VALUES">Input_Sheet_Template!$B$131:$D$135</definedName>
    <definedName name="waste_treat">Input_Sheet_Template!$E$150</definedName>
    <definedName name="WorkingCap">Input_Sheet_Template!$C$56</definedName>
    <definedName name="Yes_No">Lists!$C$4:$C$5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23" i="6" l="1"/>
  <c r="C149" i="6"/>
  <c r="C150" i="6"/>
  <c r="P134" i="15" l="1"/>
  <c r="P133" i="15"/>
  <c r="P132" i="15"/>
  <c r="P131" i="15"/>
  <c r="F135" i="15" l="1"/>
  <c r="F134" i="15"/>
  <c r="F133" i="15"/>
  <c r="F132" i="15"/>
  <c r="F131" i="15"/>
  <c r="I13" i="113"/>
  <c r="C68" i="6" s="1"/>
  <c r="C111" i="6" l="1"/>
  <c r="C112" i="6"/>
  <c r="F52" i="113"/>
  <c r="I14" i="113" s="1"/>
  <c r="C67" i="33"/>
  <c r="B26" i="24" l="1"/>
  <c r="F26" i="24"/>
  <c r="B27" i="24"/>
  <c r="F27" i="24"/>
  <c r="B28" i="24"/>
  <c r="F28" i="24"/>
  <c r="B29" i="24"/>
  <c r="F29" i="24"/>
  <c r="B30" i="24"/>
  <c r="F30" i="24"/>
  <c r="B31" i="24"/>
  <c r="F31" i="24"/>
  <c r="B32" i="24"/>
  <c r="F32" i="24"/>
  <c r="B33" i="24"/>
  <c r="F33" i="24"/>
  <c r="B34" i="24"/>
  <c r="F34" i="24"/>
  <c r="B35" i="24"/>
  <c r="F35" i="24"/>
  <c r="B36" i="24"/>
  <c r="F36" i="24"/>
  <c r="B37" i="24"/>
  <c r="F37" i="24"/>
  <c r="B38" i="24"/>
  <c r="F38" i="24"/>
  <c r="C37" i="24"/>
  <c r="C26" i="6"/>
  <c r="C38" i="24" l="1"/>
  <c r="H38" i="24" s="1"/>
  <c r="H37" i="24"/>
  <c r="B135" i="15"/>
  <c r="B134" i="15"/>
  <c r="B132" i="15"/>
  <c r="B131" i="15"/>
  <c r="E20" i="113"/>
  <c r="I11" i="113"/>
  <c r="I10" i="113"/>
  <c r="I12" i="113"/>
  <c r="G40" i="113"/>
  <c r="F40" i="113"/>
  <c r="H39" i="113"/>
  <c r="H38" i="113"/>
  <c r="H37" i="113"/>
  <c r="H36" i="113"/>
  <c r="H35" i="113"/>
  <c r="H34" i="113"/>
  <c r="H33" i="113"/>
  <c r="H32" i="113"/>
  <c r="H31" i="113"/>
  <c r="H30" i="113"/>
  <c r="H29" i="113"/>
  <c r="H28" i="113"/>
  <c r="H27" i="113"/>
  <c r="J37" i="113" l="1"/>
  <c r="J29" i="113"/>
  <c r="J27" i="113"/>
  <c r="J35" i="113"/>
  <c r="J28" i="113"/>
  <c r="J36" i="113"/>
  <c r="J30" i="113"/>
  <c r="J38" i="113"/>
  <c r="J31" i="113"/>
  <c r="J39" i="113"/>
  <c r="J32" i="113"/>
  <c r="J33" i="113"/>
  <c r="J34" i="113"/>
  <c r="I28" i="113"/>
  <c r="I30" i="113"/>
  <c r="I32" i="113"/>
  <c r="I34" i="113"/>
  <c r="I36" i="113"/>
  <c r="I38" i="113"/>
  <c r="I27" i="113"/>
  <c r="I29" i="113"/>
  <c r="I31" i="113"/>
  <c r="I33" i="113"/>
  <c r="I35" i="113"/>
  <c r="I37" i="113"/>
  <c r="I39" i="113"/>
  <c r="K37" i="113" l="1"/>
  <c r="K29" i="113"/>
  <c r="K36" i="113"/>
  <c r="K34" i="113"/>
  <c r="K35" i="113"/>
  <c r="K32" i="113"/>
  <c r="K33" i="113"/>
  <c r="F47" i="113" s="1"/>
  <c r="F48" i="113" s="1"/>
  <c r="F16" i="113" s="1"/>
  <c r="K30" i="113"/>
  <c r="K31" i="113"/>
  <c r="K28" i="113"/>
  <c r="J40" i="113"/>
  <c r="K38" i="113"/>
  <c r="K39" i="113"/>
  <c r="K27" i="113"/>
  <c r="I40" i="113"/>
  <c r="K40" i="113" l="1"/>
  <c r="A14" i="13" l="1"/>
  <c r="C141" i="12" l="1"/>
  <c r="CZ141" i="12" s="1"/>
  <c r="C140" i="12"/>
  <c r="CT140" i="12" s="1"/>
  <c r="C139" i="12"/>
  <c r="CI139" i="12" s="1"/>
  <c r="C138" i="12"/>
  <c r="CX138" i="12" s="1"/>
  <c r="C137" i="12"/>
  <c r="CK137" i="12" s="1"/>
  <c r="C136" i="12"/>
  <c r="CW136" i="12" s="1"/>
  <c r="C135" i="12"/>
  <c r="CV135" i="12" s="1"/>
  <c r="C134" i="12"/>
  <c r="CU134" i="12" s="1"/>
  <c r="C133" i="12"/>
  <c r="CY133" i="12" s="1"/>
  <c r="I131" i="12"/>
  <c r="J131" i="12" s="1"/>
  <c r="K131" i="12" s="1"/>
  <c r="L131" i="12" s="1"/>
  <c r="M131" i="12" s="1"/>
  <c r="N131" i="12" s="1"/>
  <c r="O131" i="12" s="1"/>
  <c r="P131" i="12" s="1"/>
  <c r="Q131" i="12" s="1"/>
  <c r="R131" i="12" s="1"/>
  <c r="S131" i="12" s="1"/>
  <c r="T131" i="12" s="1"/>
  <c r="U131" i="12" s="1"/>
  <c r="V131" i="12" s="1"/>
  <c r="W131" i="12" s="1"/>
  <c r="X131" i="12" s="1"/>
  <c r="Y131" i="12" s="1"/>
  <c r="Z131" i="12" s="1"/>
  <c r="AA131" i="12" s="1"/>
  <c r="AB131" i="12" s="1"/>
  <c r="AC131" i="12" s="1"/>
  <c r="AD131" i="12" s="1"/>
  <c r="AE131" i="12" s="1"/>
  <c r="AF131" i="12" s="1"/>
  <c r="AG131" i="12" s="1"/>
  <c r="AH131" i="12" s="1"/>
  <c r="AI131" i="12" s="1"/>
  <c r="AJ131" i="12" s="1"/>
  <c r="AK131" i="12" s="1"/>
  <c r="AL131" i="12" s="1"/>
  <c r="AM131" i="12" s="1"/>
  <c r="AN131" i="12" s="1"/>
  <c r="AO131" i="12" s="1"/>
  <c r="AP131" i="12" s="1"/>
  <c r="AQ131" i="12" s="1"/>
  <c r="AR131" i="12" s="1"/>
  <c r="AS131" i="12" s="1"/>
  <c r="AT131" i="12" s="1"/>
  <c r="AU131" i="12" s="1"/>
  <c r="AV131" i="12" s="1"/>
  <c r="AW131" i="12" s="1"/>
  <c r="AX131" i="12" s="1"/>
  <c r="AY131" i="12" s="1"/>
  <c r="AZ131" i="12" s="1"/>
  <c r="BA131" i="12" s="1"/>
  <c r="BB131" i="12" s="1"/>
  <c r="BC131" i="12" s="1"/>
  <c r="BD131" i="12" s="1"/>
  <c r="BE131" i="12" s="1"/>
  <c r="BF131" i="12" s="1"/>
  <c r="BG131" i="12" s="1"/>
  <c r="BH131" i="12" s="1"/>
  <c r="BI131" i="12" s="1"/>
  <c r="BJ131" i="12" s="1"/>
  <c r="BK131" i="12" s="1"/>
  <c r="BL131" i="12" s="1"/>
  <c r="BM131" i="12" s="1"/>
  <c r="BN131" i="12" s="1"/>
  <c r="BO131" i="12" s="1"/>
  <c r="BP131" i="12" s="1"/>
  <c r="BQ131" i="12" s="1"/>
  <c r="BR131" i="12" s="1"/>
  <c r="BS131" i="12" s="1"/>
  <c r="BT131" i="12" s="1"/>
  <c r="BU131" i="12" s="1"/>
  <c r="BV131" i="12" s="1"/>
  <c r="BW131" i="12" s="1"/>
  <c r="BX131" i="12" s="1"/>
  <c r="BY131" i="12" s="1"/>
  <c r="BZ131" i="12" s="1"/>
  <c r="CA131" i="12" s="1"/>
  <c r="CB131" i="12" s="1"/>
  <c r="CC131" i="12" s="1"/>
  <c r="CD131" i="12" s="1"/>
  <c r="CE131" i="12" s="1"/>
  <c r="CF131" i="12" s="1"/>
  <c r="CG131" i="12" s="1"/>
  <c r="CH131" i="12" s="1"/>
  <c r="CI131" i="12" s="1"/>
  <c r="CJ131" i="12" s="1"/>
  <c r="CK131" i="12" s="1"/>
  <c r="CL131" i="12" s="1"/>
  <c r="CM131" i="12" s="1"/>
  <c r="CN131" i="12" s="1"/>
  <c r="CO131" i="12" s="1"/>
  <c r="CP131" i="12" s="1"/>
  <c r="CQ131" i="12" s="1"/>
  <c r="CR131" i="12" s="1"/>
  <c r="CS131" i="12" s="1"/>
  <c r="CT131" i="12" s="1"/>
  <c r="CU131" i="12" s="1"/>
  <c r="CV131" i="12" s="1"/>
  <c r="CW131" i="12" s="1"/>
  <c r="CX131" i="12" s="1"/>
  <c r="CY131" i="12" s="1"/>
  <c r="CZ131" i="12" s="1"/>
  <c r="B130" i="12"/>
  <c r="AC135" i="12" l="1"/>
  <c r="AI135" i="12"/>
  <c r="BD135" i="12"/>
  <c r="BU140" i="12"/>
  <c r="BW135" i="12"/>
  <c r="Q138" i="12"/>
  <c r="CR135" i="12"/>
  <c r="BA138" i="12"/>
  <c r="BI137" i="12"/>
  <c r="BL135" i="12"/>
  <c r="AE134" i="12"/>
  <c r="BO135" i="12"/>
  <c r="K138" i="12"/>
  <c r="U135" i="12"/>
  <c r="X135" i="12"/>
  <c r="CZ135" i="12"/>
  <c r="BI138" i="12"/>
  <c r="BW138" i="12"/>
  <c r="K135" i="12"/>
  <c r="AY135" i="12"/>
  <c r="CG135" i="12"/>
  <c r="V136" i="12"/>
  <c r="BR136" i="12"/>
  <c r="AE137" i="12"/>
  <c r="AK138" i="12"/>
  <c r="CS138" i="12"/>
  <c r="AO140" i="12"/>
  <c r="AL133" i="12"/>
  <c r="S135" i="12"/>
  <c r="BA135" i="12"/>
  <c r="CO135" i="12"/>
  <c r="AD136" i="12"/>
  <c r="BW136" i="12"/>
  <c r="AU137" i="12"/>
  <c r="AO138" i="12"/>
  <c r="CW138" i="12"/>
  <c r="BI140" i="12"/>
  <c r="AL136" i="12"/>
  <c r="CC136" i="12"/>
  <c r="AO136" i="12"/>
  <c r="CH136" i="12"/>
  <c r="BG138" i="12"/>
  <c r="AI139" i="12"/>
  <c r="CO140" i="12"/>
  <c r="AW136" i="12"/>
  <c r="CP136" i="12"/>
  <c r="CQ139" i="12"/>
  <c r="BU133" i="12"/>
  <c r="CG134" i="12"/>
  <c r="I136" i="12"/>
  <c r="AY136" i="12"/>
  <c r="CS136" i="12"/>
  <c r="AQ141" i="12"/>
  <c r="S138" i="12"/>
  <c r="CC138" i="12"/>
  <c r="I140" i="12"/>
  <c r="AN135" i="12"/>
  <c r="BY135" i="12"/>
  <c r="K136" i="12"/>
  <c r="BG136" i="12"/>
  <c r="I135" i="12"/>
  <c r="AS135" i="12"/>
  <c r="CE135" i="12"/>
  <c r="S136" i="12"/>
  <c r="BM136" i="12"/>
  <c r="I137" i="12"/>
  <c r="AG138" i="12"/>
  <c r="CE138" i="12"/>
  <c r="AC140" i="12"/>
  <c r="AO133" i="12"/>
  <c r="CC133" i="12"/>
  <c r="AU134" i="12"/>
  <c r="AG136" i="12"/>
  <c r="BJ136" i="12"/>
  <c r="CM136" i="12"/>
  <c r="AM137" i="12"/>
  <c r="M138" i="12"/>
  <c r="AI138" i="12"/>
  <c r="BE138" i="12"/>
  <c r="BY138" i="12"/>
  <c r="CU138" i="12"/>
  <c r="AU139" i="12"/>
  <c r="CU139" i="12"/>
  <c r="AG140" i="12"/>
  <c r="BM140" i="12"/>
  <c r="CS140" i="12"/>
  <c r="AY141" i="12"/>
  <c r="M133" i="12"/>
  <c r="AS133" i="12"/>
  <c r="CH133" i="12"/>
  <c r="BK134" i="12"/>
  <c r="AY139" i="12"/>
  <c r="AK140" i="12"/>
  <c r="BQ140" i="12"/>
  <c r="CW140" i="12"/>
  <c r="BG141" i="12"/>
  <c r="BE139" i="12"/>
  <c r="BO141" i="12"/>
  <c r="CK133" i="12"/>
  <c r="S133" i="12"/>
  <c r="BB133" i="12"/>
  <c r="CS133" i="12"/>
  <c r="AF135" i="12"/>
  <c r="BI135" i="12"/>
  <c r="CJ135" i="12"/>
  <c r="Q136" i="12"/>
  <c r="AQ136" i="12"/>
  <c r="BU136" i="12"/>
  <c r="CX136" i="12"/>
  <c r="BS137" i="12"/>
  <c r="U138" i="12"/>
  <c r="AQ138" i="12"/>
  <c r="BM138" i="12"/>
  <c r="CG138" i="12"/>
  <c r="I139" i="12"/>
  <c r="BO139" i="12"/>
  <c r="M140" i="12"/>
  <c r="AS140" i="12"/>
  <c r="BY140" i="12"/>
  <c r="K141" i="12"/>
  <c r="BW141" i="12"/>
  <c r="O133" i="12"/>
  <c r="Y133" i="12"/>
  <c r="BE133" i="12"/>
  <c r="CX133" i="12"/>
  <c r="BY137" i="12"/>
  <c r="Y138" i="12"/>
  <c r="AS138" i="12"/>
  <c r="BO138" i="12"/>
  <c r="CK138" i="12"/>
  <c r="O139" i="12"/>
  <c r="BU139" i="12"/>
  <c r="Q140" i="12"/>
  <c r="AW140" i="12"/>
  <c r="CC140" i="12"/>
  <c r="S141" i="12"/>
  <c r="CE141" i="12"/>
  <c r="AY133" i="12"/>
  <c r="AC133" i="12"/>
  <c r="BM133" i="12"/>
  <c r="AA138" i="12"/>
  <c r="AW138" i="12"/>
  <c r="BQ138" i="12"/>
  <c r="CM138" i="12"/>
  <c r="Y139" i="12"/>
  <c r="CA139" i="12"/>
  <c r="U140" i="12"/>
  <c r="BA140" i="12"/>
  <c r="CG140" i="12"/>
  <c r="AA141" i="12"/>
  <c r="CM141" i="12"/>
  <c r="AE133" i="12"/>
  <c r="BR133" i="12"/>
  <c r="O134" i="12"/>
  <c r="M135" i="12"/>
  <c r="AQ135" i="12"/>
  <c r="BT135" i="12"/>
  <c r="CU135" i="12"/>
  <c r="AA136" i="12"/>
  <c r="BB136" i="12"/>
  <c r="CE136" i="12"/>
  <c r="Q137" i="12"/>
  <c r="I138" i="12"/>
  <c r="AC138" i="12"/>
  <c r="AY138" i="12"/>
  <c r="BU138" i="12"/>
  <c r="CO138" i="12"/>
  <c r="AE139" i="12"/>
  <c r="CK139" i="12"/>
  <c r="Y140" i="12"/>
  <c r="BE140" i="12"/>
  <c r="CK140" i="12"/>
  <c r="AI141" i="12"/>
  <c r="CU141" i="12"/>
  <c r="T134" i="12"/>
  <c r="AJ134" i="12"/>
  <c r="AZ134" i="12"/>
  <c r="BQ134" i="12"/>
  <c r="CM134" i="12"/>
  <c r="Q133" i="12"/>
  <c r="AD133" i="12"/>
  <c r="AQ133" i="12"/>
  <c r="BC133" i="12"/>
  <c r="BS133" i="12"/>
  <c r="CI133" i="12"/>
  <c r="U134" i="12"/>
  <c r="AK134" i="12"/>
  <c r="BA134" i="12"/>
  <c r="BS134" i="12"/>
  <c r="CO134" i="12"/>
  <c r="O137" i="12"/>
  <c r="AO137" i="12"/>
  <c r="BU137" i="12"/>
  <c r="CZ133" i="12"/>
  <c r="CR133" i="12"/>
  <c r="CJ133" i="12"/>
  <c r="CB133" i="12"/>
  <c r="BT133" i="12"/>
  <c r="BL133" i="12"/>
  <c r="BD133" i="12"/>
  <c r="AV133" i="12"/>
  <c r="AN133" i="12"/>
  <c r="AF133" i="12"/>
  <c r="X133" i="12"/>
  <c r="P133" i="12"/>
  <c r="H133" i="12"/>
  <c r="CV133" i="12"/>
  <c r="CN133" i="12"/>
  <c r="CF133" i="12"/>
  <c r="BX133" i="12"/>
  <c r="BP133" i="12"/>
  <c r="BH133" i="12"/>
  <c r="AZ133" i="12"/>
  <c r="AR133" i="12"/>
  <c r="AJ133" i="12"/>
  <c r="AB133" i="12"/>
  <c r="T133" i="12"/>
  <c r="L133" i="12"/>
  <c r="CU133" i="12"/>
  <c r="CM133" i="12"/>
  <c r="CE133" i="12"/>
  <c r="BW133" i="12"/>
  <c r="BO133" i="12"/>
  <c r="BG133" i="12"/>
  <c r="CT133" i="12"/>
  <c r="CL133" i="12"/>
  <c r="CD133" i="12"/>
  <c r="BV133" i="12"/>
  <c r="BN133" i="12"/>
  <c r="BF133" i="12"/>
  <c r="AX133" i="12"/>
  <c r="AP133" i="12"/>
  <c r="AH133" i="12"/>
  <c r="Z133" i="12"/>
  <c r="R133" i="12"/>
  <c r="J133" i="12"/>
  <c r="U133" i="12"/>
  <c r="AG133" i="12"/>
  <c r="AT133" i="12"/>
  <c r="BI133" i="12"/>
  <c r="BY133" i="12"/>
  <c r="CO133" i="12"/>
  <c r="K134" i="12"/>
  <c r="AA134" i="12"/>
  <c r="AQ134" i="12"/>
  <c r="BG134" i="12"/>
  <c r="BY134" i="12"/>
  <c r="T137" i="12"/>
  <c r="AW137" i="12"/>
  <c r="CE137" i="12"/>
  <c r="CX134" i="12"/>
  <c r="CP134" i="12"/>
  <c r="CH134" i="12"/>
  <c r="BZ134" i="12"/>
  <c r="BR134" i="12"/>
  <c r="BJ134" i="12"/>
  <c r="BB134" i="12"/>
  <c r="AT134" i="12"/>
  <c r="AL134" i="12"/>
  <c r="AD134" i="12"/>
  <c r="V134" i="12"/>
  <c r="N134" i="12"/>
  <c r="CV134" i="12"/>
  <c r="CN134" i="12"/>
  <c r="CF134" i="12"/>
  <c r="BX134" i="12"/>
  <c r="BP134" i="12"/>
  <c r="CT134" i="12"/>
  <c r="CL134" i="12"/>
  <c r="CD134" i="12"/>
  <c r="BV134" i="12"/>
  <c r="BN134" i="12"/>
  <c r="BF134" i="12"/>
  <c r="AX134" i="12"/>
  <c r="AP134" i="12"/>
  <c r="AH134" i="12"/>
  <c r="Z134" i="12"/>
  <c r="R134" i="12"/>
  <c r="J134" i="12"/>
  <c r="CS134" i="12"/>
  <c r="CK134" i="12"/>
  <c r="CC134" i="12"/>
  <c r="BU134" i="12"/>
  <c r="BM134" i="12"/>
  <c r="BE134" i="12"/>
  <c r="AW134" i="12"/>
  <c r="AO134" i="12"/>
  <c r="AG134" i="12"/>
  <c r="Y134" i="12"/>
  <c r="Q134" i="12"/>
  <c r="I134" i="12"/>
  <c r="CZ134" i="12"/>
  <c r="CR134" i="12"/>
  <c r="CJ134" i="12"/>
  <c r="CB134" i="12"/>
  <c r="BT134" i="12"/>
  <c r="BL134" i="12"/>
  <c r="BD134" i="12"/>
  <c r="AV134" i="12"/>
  <c r="AN134" i="12"/>
  <c r="AF134" i="12"/>
  <c r="X134" i="12"/>
  <c r="P134" i="12"/>
  <c r="H134" i="12"/>
  <c r="BC134" i="12"/>
  <c r="I133" i="12"/>
  <c r="AI133" i="12"/>
  <c r="AU133" i="12"/>
  <c r="BZ133" i="12"/>
  <c r="CP133" i="12"/>
  <c r="L134" i="12"/>
  <c r="AB134" i="12"/>
  <c r="AR134" i="12"/>
  <c r="BH134" i="12"/>
  <c r="CA134" i="12"/>
  <c r="CW134" i="12"/>
  <c r="Y137" i="12"/>
  <c r="AZ137" i="12"/>
  <c r="CI137" i="12"/>
  <c r="W134" i="12"/>
  <c r="AM134" i="12"/>
  <c r="BW134" i="12"/>
  <c r="CQ134" i="12"/>
  <c r="V133" i="12"/>
  <c r="BJ133" i="12"/>
  <c r="K133" i="12"/>
  <c r="W133" i="12"/>
  <c r="AK133" i="12"/>
  <c r="AW133" i="12"/>
  <c r="BK133" i="12"/>
  <c r="CA133" i="12"/>
  <c r="CQ133" i="12"/>
  <c r="M134" i="12"/>
  <c r="AC134" i="12"/>
  <c r="AS134" i="12"/>
  <c r="BI134" i="12"/>
  <c r="CE134" i="12"/>
  <c r="CY134" i="12"/>
  <c r="AB137" i="12"/>
  <c r="BE137" i="12"/>
  <c r="N133" i="12"/>
  <c r="AA133" i="12"/>
  <c r="AM133" i="12"/>
  <c r="BA133" i="12"/>
  <c r="BQ133" i="12"/>
  <c r="CG133" i="12"/>
  <c r="CW133" i="12"/>
  <c r="S134" i="12"/>
  <c r="AI134" i="12"/>
  <c r="AY134" i="12"/>
  <c r="BO134" i="12"/>
  <c r="CI134" i="12"/>
  <c r="CZ137" i="12"/>
  <c r="CR137" i="12"/>
  <c r="CX137" i="12"/>
  <c r="CP137" i="12"/>
  <c r="CH137" i="12"/>
  <c r="BZ137" i="12"/>
  <c r="BR137" i="12"/>
  <c r="BJ137" i="12"/>
  <c r="BB137" i="12"/>
  <c r="AT137" i="12"/>
  <c r="AL137" i="12"/>
  <c r="AD137" i="12"/>
  <c r="V137" i="12"/>
  <c r="N137" i="12"/>
  <c r="CV137" i="12"/>
  <c r="CN137" i="12"/>
  <c r="CF137" i="12"/>
  <c r="BX137" i="12"/>
  <c r="BP137" i="12"/>
  <c r="BH137" i="12"/>
  <c r="CT137" i="12"/>
  <c r="CL137" i="12"/>
  <c r="CD137" i="12"/>
  <c r="BV137" i="12"/>
  <c r="BN137" i="12"/>
  <c r="BF137" i="12"/>
  <c r="AX137" i="12"/>
  <c r="AP137" i="12"/>
  <c r="AH137" i="12"/>
  <c r="Z137" i="12"/>
  <c r="R137" i="12"/>
  <c r="J137" i="12"/>
  <c r="CY137" i="12"/>
  <c r="CJ137" i="12"/>
  <c r="BW137" i="12"/>
  <c r="BK137" i="12"/>
  <c r="AY137" i="12"/>
  <c r="AN137" i="12"/>
  <c r="AC137" i="12"/>
  <c r="S137" i="12"/>
  <c r="H137" i="12"/>
  <c r="CW137" i="12"/>
  <c r="CU137" i="12"/>
  <c r="CG137" i="12"/>
  <c r="BT137" i="12"/>
  <c r="BG137" i="12"/>
  <c r="AV137" i="12"/>
  <c r="AK137" i="12"/>
  <c r="AA137" i="12"/>
  <c r="P137" i="12"/>
  <c r="CS137" i="12"/>
  <c r="CQ137" i="12"/>
  <c r="CC137" i="12"/>
  <c r="BQ137" i="12"/>
  <c r="BD137" i="12"/>
  <c r="AS137" i="12"/>
  <c r="AI137" i="12"/>
  <c r="X137" i="12"/>
  <c r="M137" i="12"/>
  <c r="CO137" i="12"/>
  <c r="CB137" i="12"/>
  <c r="BO137" i="12"/>
  <c r="BC137" i="12"/>
  <c r="AR137" i="12"/>
  <c r="AG137" i="12"/>
  <c r="W137" i="12"/>
  <c r="L137" i="12"/>
  <c r="CM137" i="12"/>
  <c r="CA137" i="12"/>
  <c r="BM137" i="12"/>
  <c r="BA137" i="12"/>
  <c r="AQ137" i="12"/>
  <c r="AF137" i="12"/>
  <c r="U137" i="12"/>
  <c r="K137" i="12"/>
  <c r="AJ137" i="12"/>
  <c r="BL137" i="12"/>
  <c r="O135" i="12"/>
  <c r="Y135" i="12"/>
  <c r="AJ135" i="12"/>
  <c r="AU135" i="12"/>
  <c r="BE135" i="12"/>
  <c r="BP135" i="12"/>
  <c r="CA135" i="12"/>
  <c r="CK135" i="12"/>
  <c r="M136" i="12"/>
  <c r="W136" i="12"/>
  <c r="AH136" i="12"/>
  <c r="AS136" i="12"/>
  <c r="BC136" i="12"/>
  <c r="BN136" i="12"/>
  <c r="BY136" i="12"/>
  <c r="CI136" i="12"/>
  <c r="CT136" i="12"/>
  <c r="Q139" i="12"/>
  <c r="AM139" i="12"/>
  <c r="BG139" i="12"/>
  <c r="CC139" i="12"/>
  <c r="CY139" i="12"/>
  <c r="CT135" i="12"/>
  <c r="CL135" i="12"/>
  <c r="CD135" i="12"/>
  <c r="BV135" i="12"/>
  <c r="BN135" i="12"/>
  <c r="BF135" i="12"/>
  <c r="AX135" i="12"/>
  <c r="AP135" i="12"/>
  <c r="AH135" i="12"/>
  <c r="Z135" i="12"/>
  <c r="R135" i="12"/>
  <c r="CX135" i="12"/>
  <c r="CP135" i="12"/>
  <c r="CH135" i="12"/>
  <c r="BZ135" i="12"/>
  <c r="BR135" i="12"/>
  <c r="BJ135" i="12"/>
  <c r="BB135" i="12"/>
  <c r="AT135" i="12"/>
  <c r="AL135" i="12"/>
  <c r="AD135" i="12"/>
  <c r="V135" i="12"/>
  <c r="N135" i="12"/>
  <c r="P135" i="12"/>
  <c r="AA135" i="12"/>
  <c r="AK135" i="12"/>
  <c r="AV135" i="12"/>
  <c r="BG135" i="12"/>
  <c r="BQ135" i="12"/>
  <c r="CB135" i="12"/>
  <c r="CM135" i="12"/>
  <c r="CW135" i="12"/>
  <c r="N136" i="12"/>
  <c r="Y136" i="12"/>
  <c r="AI136" i="12"/>
  <c r="AT136" i="12"/>
  <c r="BE136" i="12"/>
  <c r="BO136" i="12"/>
  <c r="BZ136" i="12"/>
  <c r="CK136" i="12"/>
  <c r="CU136" i="12"/>
  <c r="S139" i="12"/>
  <c r="AO139" i="12"/>
  <c r="BK139" i="12"/>
  <c r="CE139" i="12"/>
  <c r="H135" i="12"/>
  <c r="Q135" i="12"/>
  <c r="AB135" i="12"/>
  <c r="AM135" i="12"/>
  <c r="AW135" i="12"/>
  <c r="BH135" i="12"/>
  <c r="BS135" i="12"/>
  <c r="CC135" i="12"/>
  <c r="CN135" i="12"/>
  <c r="CY135" i="12"/>
  <c r="O136" i="12"/>
  <c r="Z136" i="12"/>
  <c r="AK136" i="12"/>
  <c r="AU136" i="12"/>
  <c r="BF136" i="12"/>
  <c r="BQ136" i="12"/>
  <c r="CA136" i="12"/>
  <c r="CL136" i="12"/>
  <c r="W139" i="12"/>
  <c r="AQ139" i="12"/>
  <c r="BM139" i="12"/>
  <c r="J135" i="12"/>
  <c r="T135" i="12"/>
  <c r="AE135" i="12"/>
  <c r="AO135" i="12"/>
  <c r="AZ135" i="12"/>
  <c r="BK135" i="12"/>
  <c r="BU135" i="12"/>
  <c r="CF135" i="12"/>
  <c r="CQ135" i="12"/>
  <c r="CZ136" i="12"/>
  <c r="CR136" i="12"/>
  <c r="CJ136" i="12"/>
  <c r="CB136" i="12"/>
  <c r="BT136" i="12"/>
  <c r="BL136" i="12"/>
  <c r="BD136" i="12"/>
  <c r="AV136" i="12"/>
  <c r="AN136" i="12"/>
  <c r="AF136" i="12"/>
  <c r="X136" i="12"/>
  <c r="P136" i="12"/>
  <c r="H136" i="12"/>
  <c r="CV136" i="12"/>
  <c r="CN136" i="12"/>
  <c r="CF136" i="12"/>
  <c r="BX136" i="12"/>
  <c r="BP136" i="12"/>
  <c r="BH136" i="12"/>
  <c r="AZ136" i="12"/>
  <c r="AR136" i="12"/>
  <c r="AJ136" i="12"/>
  <c r="AB136" i="12"/>
  <c r="T136" i="12"/>
  <c r="L136" i="12"/>
  <c r="R136" i="12"/>
  <c r="AC136" i="12"/>
  <c r="AM136" i="12"/>
  <c r="AX136" i="12"/>
  <c r="BI136" i="12"/>
  <c r="BS136" i="12"/>
  <c r="CD136" i="12"/>
  <c r="CO136" i="12"/>
  <c r="CY136" i="12"/>
  <c r="CV139" i="12"/>
  <c r="CN139" i="12"/>
  <c r="CF139" i="12"/>
  <c r="BX139" i="12"/>
  <c r="BP139" i="12"/>
  <c r="BH139" i="12"/>
  <c r="AZ139" i="12"/>
  <c r="AR139" i="12"/>
  <c r="AJ139" i="12"/>
  <c r="AB139" i="12"/>
  <c r="T139" i="12"/>
  <c r="L139" i="12"/>
  <c r="CT139" i="12"/>
  <c r="CL139" i="12"/>
  <c r="CD139" i="12"/>
  <c r="BV139" i="12"/>
  <c r="BN139" i="12"/>
  <c r="BF139" i="12"/>
  <c r="AX139" i="12"/>
  <c r="AP139" i="12"/>
  <c r="AH139" i="12"/>
  <c r="Z139" i="12"/>
  <c r="R139" i="12"/>
  <c r="J139" i="12"/>
  <c r="CZ139" i="12"/>
  <c r="CR139" i="12"/>
  <c r="CJ139" i="12"/>
  <c r="CB139" i="12"/>
  <c r="BT139" i="12"/>
  <c r="BL139" i="12"/>
  <c r="BD139" i="12"/>
  <c r="AV139" i="12"/>
  <c r="AN139" i="12"/>
  <c r="AF139" i="12"/>
  <c r="X139" i="12"/>
  <c r="P139" i="12"/>
  <c r="H139" i="12"/>
  <c r="CX139" i="12"/>
  <c r="CP139" i="12"/>
  <c r="CH139" i="12"/>
  <c r="BZ139" i="12"/>
  <c r="BR139" i="12"/>
  <c r="BJ139" i="12"/>
  <c r="BB139" i="12"/>
  <c r="AT139" i="12"/>
  <c r="AL139" i="12"/>
  <c r="AD139" i="12"/>
  <c r="V139" i="12"/>
  <c r="N139" i="12"/>
  <c r="CW139" i="12"/>
  <c r="CO139" i="12"/>
  <c r="CG139" i="12"/>
  <c r="BY139" i="12"/>
  <c r="BQ139" i="12"/>
  <c r="BI139" i="12"/>
  <c r="BA139" i="12"/>
  <c r="AS139" i="12"/>
  <c r="AK139" i="12"/>
  <c r="AC139" i="12"/>
  <c r="U139" i="12"/>
  <c r="M139" i="12"/>
  <c r="AA139" i="12"/>
  <c r="AW139" i="12"/>
  <c r="BS139" i="12"/>
  <c r="CM139" i="12"/>
  <c r="L135" i="12"/>
  <c r="W135" i="12"/>
  <c r="AG135" i="12"/>
  <c r="AR135" i="12"/>
  <c r="BC135" i="12"/>
  <c r="BM135" i="12"/>
  <c r="BX135" i="12"/>
  <c r="CI135" i="12"/>
  <c r="CS135" i="12"/>
  <c r="J136" i="12"/>
  <c r="U136" i="12"/>
  <c r="AE136" i="12"/>
  <c r="AP136" i="12"/>
  <c r="BA136" i="12"/>
  <c r="BK136" i="12"/>
  <c r="BV136" i="12"/>
  <c r="CG136" i="12"/>
  <c r="CQ136" i="12"/>
  <c r="K139" i="12"/>
  <c r="AG139" i="12"/>
  <c r="BC139" i="12"/>
  <c r="BW139" i="12"/>
  <c r="CS139" i="12"/>
  <c r="O138" i="12"/>
  <c r="W138" i="12"/>
  <c r="AE138" i="12"/>
  <c r="AM138" i="12"/>
  <c r="AU138" i="12"/>
  <c r="BC138" i="12"/>
  <c r="BK138" i="12"/>
  <c r="BS138" i="12"/>
  <c r="CA138" i="12"/>
  <c r="CI138" i="12"/>
  <c r="CQ138" i="12"/>
  <c r="CY138" i="12"/>
  <c r="K140" i="12"/>
  <c r="S140" i="12"/>
  <c r="AA140" i="12"/>
  <c r="AI140" i="12"/>
  <c r="AQ140" i="12"/>
  <c r="AY140" i="12"/>
  <c r="BG140" i="12"/>
  <c r="BO140" i="12"/>
  <c r="BW140" i="12"/>
  <c r="CE140" i="12"/>
  <c r="CM140" i="12"/>
  <c r="CU140" i="12"/>
  <c r="I141" i="12"/>
  <c r="Q141" i="12"/>
  <c r="Y141" i="12"/>
  <c r="AG141" i="12"/>
  <c r="AO141" i="12"/>
  <c r="AW141" i="12"/>
  <c r="BE141" i="12"/>
  <c r="BM141" i="12"/>
  <c r="BU141" i="12"/>
  <c r="CC141" i="12"/>
  <c r="CK141" i="12"/>
  <c r="CS141" i="12"/>
  <c r="H138" i="12"/>
  <c r="P138" i="12"/>
  <c r="X138" i="12"/>
  <c r="AF138" i="12"/>
  <c r="AN138" i="12"/>
  <c r="AV138" i="12"/>
  <c r="BD138" i="12"/>
  <c r="BL138" i="12"/>
  <c r="BT138" i="12"/>
  <c r="CB138" i="12"/>
  <c r="CJ138" i="12"/>
  <c r="CR138" i="12"/>
  <c r="CZ138" i="12"/>
  <c r="L140" i="12"/>
  <c r="T140" i="12"/>
  <c r="AB140" i="12"/>
  <c r="AJ140" i="12"/>
  <c r="AR140" i="12"/>
  <c r="AZ140" i="12"/>
  <c r="BH140" i="12"/>
  <c r="BP140" i="12"/>
  <c r="BX140" i="12"/>
  <c r="CF140" i="12"/>
  <c r="CN140" i="12"/>
  <c r="CV140" i="12"/>
  <c r="J141" i="12"/>
  <c r="R141" i="12"/>
  <c r="Z141" i="12"/>
  <c r="AH141" i="12"/>
  <c r="AP141" i="12"/>
  <c r="AX141" i="12"/>
  <c r="BF141" i="12"/>
  <c r="BN141" i="12"/>
  <c r="BV141" i="12"/>
  <c r="CD141" i="12"/>
  <c r="CL141" i="12"/>
  <c r="CT141" i="12"/>
  <c r="J138" i="12"/>
  <c r="R138" i="12"/>
  <c r="Z138" i="12"/>
  <c r="AH138" i="12"/>
  <c r="AP138" i="12"/>
  <c r="AX138" i="12"/>
  <c r="BF138" i="12"/>
  <c r="BN138" i="12"/>
  <c r="BV138" i="12"/>
  <c r="CD138" i="12"/>
  <c r="CL138" i="12"/>
  <c r="CT138" i="12"/>
  <c r="N140" i="12"/>
  <c r="V140" i="12"/>
  <c r="AD140" i="12"/>
  <c r="AL140" i="12"/>
  <c r="AT140" i="12"/>
  <c r="BB140" i="12"/>
  <c r="BJ140" i="12"/>
  <c r="BR140" i="12"/>
  <c r="BZ140" i="12"/>
  <c r="CH140" i="12"/>
  <c r="CP140" i="12"/>
  <c r="CX140" i="12"/>
  <c r="L141" i="12"/>
  <c r="T141" i="12"/>
  <c r="AB141" i="12"/>
  <c r="AJ141" i="12"/>
  <c r="AR141" i="12"/>
  <c r="AZ141" i="12"/>
  <c r="BH141" i="12"/>
  <c r="BP141" i="12"/>
  <c r="BX141" i="12"/>
  <c r="CF141" i="12"/>
  <c r="CN141" i="12"/>
  <c r="CV141" i="12"/>
  <c r="O140" i="12"/>
  <c r="W140" i="12"/>
  <c r="AE140" i="12"/>
  <c r="AM140" i="12"/>
  <c r="AU140" i="12"/>
  <c r="BC140" i="12"/>
  <c r="BK140" i="12"/>
  <c r="BS140" i="12"/>
  <c r="CA140" i="12"/>
  <c r="CI140" i="12"/>
  <c r="CQ140" i="12"/>
  <c r="CY140" i="12"/>
  <c r="M141" i="12"/>
  <c r="U141" i="12"/>
  <c r="AC141" i="12"/>
  <c r="AK141" i="12"/>
  <c r="AS141" i="12"/>
  <c r="BA141" i="12"/>
  <c r="BI141" i="12"/>
  <c r="BQ141" i="12"/>
  <c r="BY141" i="12"/>
  <c r="CG141" i="12"/>
  <c r="CO141" i="12"/>
  <c r="CW141" i="12"/>
  <c r="L138" i="12"/>
  <c r="T138" i="12"/>
  <c r="AB138" i="12"/>
  <c r="AJ138" i="12"/>
  <c r="AR138" i="12"/>
  <c r="AZ138" i="12"/>
  <c r="BH138" i="12"/>
  <c r="BP138" i="12"/>
  <c r="BX138" i="12"/>
  <c r="CF138" i="12"/>
  <c r="CN138" i="12"/>
  <c r="CV138" i="12"/>
  <c r="H140" i="12"/>
  <c r="P140" i="12"/>
  <c r="X140" i="12"/>
  <c r="AF140" i="12"/>
  <c r="AN140" i="12"/>
  <c r="AV140" i="12"/>
  <c r="BD140" i="12"/>
  <c r="BL140" i="12"/>
  <c r="BT140" i="12"/>
  <c r="CB140" i="12"/>
  <c r="CJ140" i="12"/>
  <c r="CR140" i="12"/>
  <c r="CZ140" i="12"/>
  <c r="N141" i="12"/>
  <c r="V141" i="12"/>
  <c r="AD141" i="12"/>
  <c r="AL141" i="12"/>
  <c r="AT141" i="12"/>
  <c r="BB141" i="12"/>
  <c r="BJ141" i="12"/>
  <c r="BR141" i="12"/>
  <c r="BZ141" i="12"/>
  <c r="CH141" i="12"/>
  <c r="CP141" i="12"/>
  <c r="CX141" i="12"/>
  <c r="O141" i="12"/>
  <c r="W141" i="12"/>
  <c r="AE141" i="12"/>
  <c r="AM141" i="12"/>
  <c r="AU141" i="12"/>
  <c r="BC141" i="12"/>
  <c r="BK141" i="12"/>
  <c r="BS141" i="12"/>
  <c r="CA141" i="12"/>
  <c r="CI141" i="12"/>
  <c r="CQ141" i="12"/>
  <c r="CY141" i="12"/>
  <c r="N138" i="12"/>
  <c r="V138" i="12"/>
  <c r="AD138" i="12"/>
  <c r="AL138" i="12"/>
  <c r="AT138" i="12"/>
  <c r="BB138" i="12"/>
  <c r="BJ138" i="12"/>
  <c r="BR138" i="12"/>
  <c r="BZ138" i="12"/>
  <c r="CH138" i="12"/>
  <c r="CP138" i="12"/>
  <c r="J140" i="12"/>
  <c r="R140" i="12"/>
  <c r="Z140" i="12"/>
  <c r="AH140" i="12"/>
  <c r="AP140" i="12"/>
  <c r="AX140" i="12"/>
  <c r="BF140" i="12"/>
  <c r="BN140" i="12"/>
  <c r="BV140" i="12"/>
  <c r="CD140" i="12"/>
  <c r="CL140" i="12"/>
  <c r="H141" i="12"/>
  <c r="P141" i="12"/>
  <c r="X141" i="12"/>
  <c r="AF141" i="12"/>
  <c r="AN141" i="12"/>
  <c r="AV141" i="12"/>
  <c r="BD141" i="12"/>
  <c r="BL141" i="12"/>
  <c r="BT141" i="12"/>
  <c r="CB141" i="12"/>
  <c r="CJ141" i="12"/>
  <c r="CR141" i="12"/>
  <c r="E11" i="119"/>
  <c r="B239" i="119" a="1"/>
  <c r="B240" i="119" s="1"/>
  <c r="B224" i="119" a="1"/>
  <c r="B224" i="119" s="1"/>
  <c r="V16" i="119"/>
  <c r="G199" i="119"/>
  <c r="F199" i="119"/>
  <c r="C194" i="119"/>
  <c r="C196" i="119" s="1"/>
  <c r="I248" i="119"/>
  <c r="H248" i="119"/>
  <c r="G248" i="119"/>
  <c r="F248" i="119"/>
  <c r="E248" i="119"/>
  <c r="D248" i="119"/>
  <c r="C248" i="119"/>
  <c r="B245" i="119" l="1"/>
  <c r="B244" i="119"/>
  <c r="B242" i="119"/>
  <c r="B239" i="119"/>
  <c r="B243" i="119"/>
  <c r="B241" i="119"/>
  <c r="B238" i="119"/>
  <c r="B230" i="119"/>
  <c r="B237" i="119"/>
  <c r="B229" i="119"/>
  <c r="B236" i="119"/>
  <c r="B228" i="119"/>
  <c r="B235" i="119"/>
  <c r="B227" i="119"/>
  <c r="B231" i="119"/>
  <c r="B234" i="119"/>
  <c r="B226" i="119"/>
  <c r="B233" i="119"/>
  <c r="B225" i="119"/>
  <c r="B232" i="119"/>
  <c r="V17" i="119"/>
  <c r="C195" i="119"/>
  <c r="B202" i="119" s="1"/>
  <c r="V18" i="119" l="1"/>
  <c r="V19" i="119" l="1"/>
  <c r="I153" i="18"/>
  <c r="H153" i="18"/>
  <c r="G153" i="18"/>
  <c r="F153" i="18"/>
  <c r="E153" i="18"/>
  <c r="D153" i="18"/>
  <c r="C153" i="18"/>
  <c r="I152" i="18"/>
  <c r="H152" i="18"/>
  <c r="G152" i="18"/>
  <c r="F152" i="18"/>
  <c r="E152" i="18"/>
  <c r="D152" i="18"/>
  <c r="C152" i="18"/>
  <c r="I151" i="18"/>
  <c r="H151" i="18"/>
  <c r="G151" i="18"/>
  <c r="F151" i="18"/>
  <c r="E151" i="18"/>
  <c r="D151" i="18"/>
  <c r="C151" i="18"/>
  <c r="I150" i="18"/>
  <c r="H150" i="18"/>
  <c r="G150" i="18"/>
  <c r="F150" i="18"/>
  <c r="E150" i="18"/>
  <c r="D150" i="18"/>
  <c r="C150" i="18"/>
  <c r="I149" i="18"/>
  <c r="H149" i="18"/>
  <c r="G149" i="18"/>
  <c r="F149" i="18"/>
  <c r="E149" i="18"/>
  <c r="D149" i="18"/>
  <c r="C149" i="18"/>
  <c r="I148" i="18"/>
  <c r="H148" i="18"/>
  <c r="G148" i="18"/>
  <c r="F148" i="18"/>
  <c r="E148" i="18"/>
  <c r="D148" i="18"/>
  <c r="C148" i="18"/>
  <c r="I147" i="18"/>
  <c r="H147" i="18"/>
  <c r="G147" i="18"/>
  <c r="F147" i="18"/>
  <c r="E147" i="18"/>
  <c r="D147" i="18"/>
  <c r="C147" i="18"/>
  <c r="I146" i="18"/>
  <c r="H146" i="18"/>
  <c r="G146" i="18"/>
  <c r="F146" i="18"/>
  <c r="E146" i="18"/>
  <c r="D146" i="18"/>
  <c r="C146" i="18"/>
  <c r="I145" i="18"/>
  <c r="H145" i="18"/>
  <c r="G145" i="18"/>
  <c r="F145" i="18"/>
  <c r="E145" i="18"/>
  <c r="D145" i="18"/>
  <c r="C145" i="18"/>
  <c r="I144" i="18"/>
  <c r="H144" i="18"/>
  <c r="G144" i="18"/>
  <c r="F144" i="18"/>
  <c r="E144" i="18"/>
  <c r="D144" i="18"/>
  <c r="C144" i="18"/>
  <c r="I143" i="18"/>
  <c r="H143" i="18"/>
  <c r="G143" i="18"/>
  <c r="F143" i="18"/>
  <c r="E143" i="18"/>
  <c r="D143" i="18"/>
  <c r="C143" i="18"/>
  <c r="I142" i="18"/>
  <c r="H142" i="18"/>
  <c r="G142" i="18"/>
  <c r="F142" i="18"/>
  <c r="E142" i="18"/>
  <c r="D142" i="18"/>
  <c r="C142" i="18"/>
  <c r="I141" i="18"/>
  <c r="H141" i="18"/>
  <c r="G141" i="18"/>
  <c r="F141" i="18"/>
  <c r="E141" i="18"/>
  <c r="D141" i="18"/>
  <c r="C141" i="18"/>
  <c r="I140" i="18"/>
  <c r="H140" i="18"/>
  <c r="G140" i="18"/>
  <c r="F140" i="18"/>
  <c r="E140" i="18"/>
  <c r="D140" i="18"/>
  <c r="C140" i="18"/>
  <c r="I139" i="18"/>
  <c r="H139" i="18"/>
  <c r="G139" i="18"/>
  <c r="F139" i="18"/>
  <c r="E139" i="18"/>
  <c r="D139" i="18"/>
  <c r="C139" i="18"/>
  <c r="I138" i="18"/>
  <c r="H138" i="18"/>
  <c r="G138" i="18"/>
  <c r="F138" i="18"/>
  <c r="E138" i="18"/>
  <c r="D138" i="18"/>
  <c r="C138" i="18"/>
  <c r="I137" i="18"/>
  <c r="H137" i="18"/>
  <c r="G137" i="18"/>
  <c r="F137" i="18"/>
  <c r="E137" i="18"/>
  <c r="D137" i="18"/>
  <c r="C137" i="18"/>
  <c r="I136" i="18"/>
  <c r="H136" i="18"/>
  <c r="G136" i="18"/>
  <c r="F136" i="18"/>
  <c r="E136" i="18"/>
  <c r="D136" i="18"/>
  <c r="C136" i="18"/>
  <c r="V20" i="119" l="1"/>
  <c r="BW1" i="19"/>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CY1" i="19" s="1"/>
  <c r="CZ1" i="19" s="1"/>
  <c r="BW87" i="12"/>
  <c r="BX87" i="12" s="1"/>
  <c r="BY87" i="12" s="1"/>
  <c r="BZ87" i="12" s="1"/>
  <c r="CA87" i="12" s="1"/>
  <c r="CB87" i="12" s="1"/>
  <c r="CC87" i="12" s="1"/>
  <c r="CD87" i="12" s="1"/>
  <c r="CE87" i="12" s="1"/>
  <c r="CF87" i="12" s="1"/>
  <c r="CG87" i="12" s="1"/>
  <c r="CH87" i="12" s="1"/>
  <c r="CI87" i="12" s="1"/>
  <c r="CJ87" i="12" s="1"/>
  <c r="CK87" i="12" s="1"/>
  <c r="CL87" i="12" s="1"/>
  <c r="CM87" i="12" s="1"/>
  <c r="CN87" i="12" s="1"/>
  <c r="CO87" i="12" s="1"/>
  <c r="CP87" i="12" s="1"/>
  <c r="CQ87" i="12" s="1"/>
  <c r="CR87" i="12" s="1"/>
  <c r="CS87" i="12" s="1"/>
  <c r="CT87" i="12" s="1"/>
  <c r="CU87" i="12" s="1"/>
  <c r="CV87" i="12" s="1"/>
  <c r="CW87" i="12" s="1"/>
  <c r="CX87" i="12" s="1"/>
  <c r="CY87" i="12" s="1"/>
  <c r="CZ87" i="12" s="1"/>
  <c r="BW57" i="12"/>
  <c r="BX57" i="12" s="1"/>
  <c r="BY57" i="12" s="1"/>
  <c r="BZ57" i="12" s="1"/>
  <c r="CA57" i="12" s="1"/>
  <c r="CB57" i="12" s="1"/>
  <c r="CC57" i="12" s="1"/>
  <c r="CD57" i="12" s="1"/>
  <c r="CE57" i="12" s="1"/>
  <c r="CF57" i="12" s="1"/>
  <c r="CG57" i="12" s="1"/>
  <c r="CH57" i="12" s="1"/>
  <c r="CI57" i="12" s="1"/>
  <c r="CJ57" i="12" s="1"/>
  <c r="CK57" i="12" s="1"/>
  <c r="CL57" i="12" s="1"/>
  <c r="CM57" i="12" s="1"/>
  <c r="CN57" i="12" s="1"/>
  <c r="CO57" i="12" s="1"/>
  <c r="CP57" i="12" s="1"/>
  <c r="CQ57" i="12" s="1"/>
  <c r="CR57" i="12" s="1"/>
  <c r="CS57" i="12" s="1"/>
  <c r="CT57" i="12" s="1"/>
  <c r="CU57" i="12" s="1"/>
  <c r="CV57" i="12" s="1"/>
  <c r="CW57" i="12" s="1"/>
  <c r="CX57" i="12" s="1"/>
  <c r="CY57" i="12" s="1"/>
  <c r="CZ57" i="12" s="1"/>
  <c r="BW23" i="12"/>
  <c r="BX23" i="12" s="1"/>
  <c r="BY23" i="12" s="1"/>
  <c r="BZ23" i="12" s="1"/>
  <c r="CA23" i="12" s="1"/>
  <c r="CB23" i="12" s="1"/>
  <c r="CC23" i="12" s="1"/>
  <c r="CD23" i="12" s="1"/>
  <c r="CE23" i="12" s="1"/>
  <c r="CF23" i="12" s="1"/>
  <c r="CG23" i="12" s="1"/>
  <c r="CH23" i="12" s="1"/>
  <c r="CI23" i="12" s="1"/>
  <c r="CJ23" i="12" s="1"/>
  <c r="CK23" i="12" s="1"/>
  <c r="CL23" i="12" s="1"/>
  <c r="CM23" i="12" s="1"/>
  <c r="CN23" i="12" s="1"/>
  <c r="CO23" i="12" s="1"/>
  <c r="CP23" i="12" s="1"/>
  <c r="CQ23" i="12" s="1"/>
  <c r="CR23" i="12" s="1"/>
  <c r="CS23" i="12" s="1"/>
  <c r="CT23" i="12" s="1"/>
  <c r="CU23" i="12" s="1"/>
  <c r="CV23" i="12" s="1"/>
  <c r="CW23" i="12" s="1"/>
  <c r="CX23" i="12" s="1"/>
  <c r="CY23" i="12" s="1"/>
  <c r="CZ23" i="12" s="1"/>
  <c r="BW5" i="12"/>
  <c r="BX5" i="12" s="1"/>
  <c r="BY5" i="12" s="1"/>
  <c r="BZ5" i="12" s="1"/>
  <c r="CA5" i="12" s="1"/>
  <c r="CB5" i="12" s="1"/>
  <c r="CC5" i="12" s="1"/>
  <c r="CD5" i="12" s="1"/>
  <c r="CE5" i="12" s="1"/>
  <c r="CF5" i="12" s="1"/>
  <c r="CG5" i="12" s="1"/>
  <c r="CH5" i="12" s="1"/>
  <c r="CI5" i="12" s="1"/>
  <c r="CJ5" i="12" s="1"/>
  <c r="CK5" i="12" s="1"/>
  <c r="CL5" i="12" s="1"/>
  <c r="CM5" i="12" s="1"/>
  <c r="CN5" i="12" s="1"/>
  <c r="CO5" i="12" s="1"/>
  <c r="CP5" i="12" s="1"/>
  <c r="CQ5" i="12" s="1"/>
  <c r="CR5" i="12" s="1"/>
  <c r="CS5" i="12" s="1"/>
  <c r="CT5" i="12" s="1"/>
  <c r="CU5" i="12" s="1"/>
  <c r="CV5" i="12" s="1"/>
  <c r="CW5" i="12" s="1"/>
  <c r="CX5" i="12" s="1"/>
  <c r="CY5" i="12" s="1"/>
  <c r="CZ5" i="12" s="1"/>
  <c r="V21" i="119" l="1"/>
  <c r="E17" i="17"/>
  <c r="V22" i="119" l="1"/>
  <c r="V23" i="119" l="1"/>
  <c r="V24" i="119" l="1"/>
  <c r="C91" i="33"/>
  <c r="C61" i="33"/>
  <c r="V25" i="119" l="1"/>
  <c r="C105" i="33"/>
  <c r="C104" i="33"/>
  <c r="C103" i="33"/>
  <c r="C93" i="33"/>
  <c r="C69" i="33"/>
  <c r="V26" i="119" l="1"/>
  <c r="D86" i="33"/>
  <c r="D78" i="33"/>
  <c r="D61" i="33"/>
  <c r="V27" i="119" l="1"/>
  <c r="D71" i="33"/>
  <c r="V28" i="119" l="1"/>
  <c r="D58" i="33"/>
  <c r="V29" i="119" l="1"/>
  <c r="D107" i="33"/>
  <c r="D106" i="33"/>
  <c r="D105" i="33"/>
  <c r="D104" i="33"/>
  <c r="D103" i="33"/>
  <c r="D100" i="33"/>
  <c r="D99" i="33"/>
  <c r="D98" i="33"/>
  <c r="D95" i="33"/>
  <c r="D94" i="33"/>
  <c r="D93" i="33"/>
  <c r="B92" i="33"/>
  <c r="D83" i="33"/>
  <c r="D82" i="33"/>
  <c r="V30" i="119" l="1"/>
  <c r="D74" i="33"/>
  <c r="D70" i="33"/>
  <c r="D69" i="33"/>
  <c r="D55" i="33"/>
  <c r="D56" i="33"/>
  <c r="D57" i="33"/>
  <c r="D54" i="33"/>
  <c r="V31" i="119" l="1"/>
  <c r="K41" i="33"/>
  <c r="K43" i="33" s="1"/>
  <c r="K34" i="33"/>
  <c r="J37" i="33"/>
  <c r="K26" i="33"/>
  <c r="B51" i="33"/>
  <c r="V32" i="119" l="1"/>
  <c r="C66" i="33"/>
  <c r="V33" i="119" l="1"/>
  <c r="C41" i="33"/>
  <c r="B18" i="17" l="1"/>
  <c r="C142" i="6"/>
  <c r="C141" i="6"/>
  <c r="F83" i="6"/>
  <c r="C3" i="24"/>
  <c r="C47" i="35"/>
  <c r="C11" i="35"/>
  <c r="F84" i="6"/>
  <c r="C55" i="6" l="1"/>
  <c r="D96" i="12" l="1"/>
  <c r="D95" i="12"/>
  <c r="D100" i="12"/>
  <c r="D99" i="12"/>
  <c r="D98" i="12"/>
  <c r="D97" i="12"/>
  <c r="D94" i="12"/>
  <c r="D68" i="12"/>
  <c r="D67" i="12"/>
  <c r="D66" i="12"/>
  <c r="D65" i="12"/>
  <c r="D64" i="12"/>
  <c r="D35" i="12"/>
  <c r="D34" i="12"/>
  <c r="D33" i="12"/>
  <c r="D32" i="12"/>
  <c r="D31" i="12"/>
  <c r="D30" i="12"/>
  <c r="D18" i="12"/>
  <c r="D17" i="12"/>
  <c r="D16" i="12"/>
  <c r="D15" i="12"/>
  <c r="D14" i="12"/>
  <c r="D13" i="12"/>
  <c r="D12" i="12"/>
  <c r="D110" i="119" l="1"/>
  <c r="G110" i="119"/>
  <c r="H110" i="119"/>
  <c r="I110" i="119"/>
  <c r="J110" i="119"/>
  <c r="K110" i="119"/>
  <c r="L110" i="119"/>
  <c r="M110" i="119"/>
  <c r="N110" i="119"/>
  <c r="O110" i="119"/>
  <c r="P110" i="119"/>
  <c r="Q110" i="119"/>
  <c r="R110" i="119"/>
  <c r="S110" i="119"/>
  <c r="G4" i="119"/>
  <c r="G5" i="119"/>
  <c r="G6" i="119"/>
  <c r="G7" i="119"/>
  <c r="G8" i="119"/>
  <c r="G9" i="119"/>
  <c r="G3" i="119"/>
  <c r="N158" i="119" l="1"/>
  <c r="D181" i="119" l="1"/>
  <c r="D177" i="119"/>
  <c r="D178" i="119"/>
  <c r="D179" i="119"/>
  <c r="D180" i="119"/>
  <c r="D176" i="119"/>
  <c r="D175" i="119"/>
  <c r="E175" i="119" s="1"/>
  <c r="F179" i="119" l="1"/>
  <c r="G180" i="119"/>
  <c r="F178" i="119"/>
  <c r="G178" i="119"/>
  <c r="F180" i="119"/>
  <c r="G179" i="119"/>
  <c r="F176" i="119"/>
  <c r="E176" i="119" s="1"/>
  <c r="G177" i="119"/>
  <c r="F177" i="119"/>
  <c r="G176" i="119"/>
  <c r="E177" i="119" l="1"/>
  <c r="E178" i="119" s="1"/>
  <c r="G233" i="15"/>
  <c r="I38" i="34" s="1"/>
  <c r="H233" i="15"/>
  <c r="I39" i="34" s="1"/>
  <c r="I233" i="15"/>
  <c r="I40" i="34" s="1"/>
  <c r="L233" i="15"/>
  <c r="I48" i="34" s="1"/>
  <c r="M233" i="15"/>
  <c r="I49" i="34" s="1"/>
  <c r="N233" i="15"/>
  <c r="I50" i="34" s="1"/>
  <c r="N185" i="15"/>
  <c r="M185" i="15"/>
  <c r="L185" i="15"/>
  <c r="K185" i="15"/>
  <c r="I185" i="15"/>
  <c r="H185" i="15"/>
  <c r="G185" i="15"/>
  <c r="E185" i="15"/>
  <c r="D185" i="15"/>
  <c r="C185" i="15"/>
  <c r="B185" i="15"/>
  <c r="A281" i="15"/>
  <c r="E179" i="119" l="1"/>
  <c r="A282" i="15"/>
  <c r="E180" i="119" l="1"/>
  <c r="E181" i="119" l="1"/>
  <c r="M101" i="119" l="1"/>
  <c r="M102" i="119"/>
  <c r="M103" i="119"/>
  <c r="M104" i="119"/>
  <c r="M105" i="119"/>
  <c r="M106" i="119"/>
  <c r="M107" i="119"/>
  <c r="S91" i="119"/>
  <c r="R91" i="119"/>
  <c r="Q91" i="119"/>
  <c r="P91" i="119"/>
  <c r="O91" i="119"/>
  <c r="N91" i="119"/>
  <c r="M91" i="119"/>
  <c r="L91" i="119"/>
  <c r="K91" i="119"/>
  <c r="J91" i="119"/>
  <c r="I91" i="119"/>
  <c r="H91" i="119"/>
  <c r="G91" i="119"/>
  <c r="F91" i="119"/>
  <c r="E91" i="119"/>
  <c r="I65" i="119"/>
  <c r="B97" i="119"/>
  <c r="B91" i="119"/>
  <c r="I7" i="119"/>
  <c r="C91" i="119" s="1"/>
  <c r="D55" i="119"/>
  <c r="S90" i="119"/>
  <c r="R90" i="119"/>
  <c r="Q90" i="119"/>
  <c r="P90" i="119"/>
  <c r="O90" i="119"/>
  <c r="N90" i="119"/>
  <c r="M90" i="119"/>
  <c r="L90" i="119"/>
  <c r="K90" i="119"/>
  <c r="J90" i="119"/>
  <c r="I90" i="119"/>
  <c r="H90" i="119"/>
  <c r="G90" i="119"/>
  <c r="F90" i="119"/>
  <c r="E90" i="119"/>
  <c r="B96" i="119"/>
  <c r="B90" i="119"/>
  <c r="C90" i="119"/>
  <c r="S89" i="119"/>
  <c r="S80" i="119"/>
  <c r="R89" i="119"/>
  <c r="R80" i="119"/>
  <c r="Q89" i="119"/>
  <c r="Q80" i="119"/>
  <c r="P89" i="119"/>
  <c r="P80" i="119"/>
  <c r="O89" i="119"/>
  <c r="O80" i="119"/>
  <c r="N89" i="119"/>
  <c r="N80" i="119"/>
  <c r="M89" i="119"/>
  <c r="M80" i="119"/>
  <c r="L89" i="119"/>
  <c r="L80" i="119"/>
  <c r="K89" i="119"/>
  <c r="K80" i="119"/>
  <c r="J89" i="119"/>
  <c r="J80" i="119"/>
  <c r="I89" i="119"/>
  <c r="I80" i="119"/>
  <c r="H89" i="119"/>
  <c r="H80" i="119"/>
  <c r="G89" i="119"/>
  <c r="G80" i="119"/>
  <c r="F89" i="119"/>
  <c r="F80" i="119"/>
  <c r="E89" i="119"/>
  <c r="E80" i="119"/>
  <c r="F9" i="119"/>
  <c r="B95" i="119"/>
  <c r="B89" i="119"/>
  <c r="F7" i="119"/>
  <c r="F4" i="119"/>
  <c r="E77" i="119"/>
  <c r="E92" i="119"/>
  <c r="E95" i="119"/>
  <c r="E83" i="119"/>
  <c r="F105" i="119"/>
  <c r="E85" i="119"/>
  <c r="E82" i="119"/>
  <c r="F5" i="119"/>
  <c r="E57" i="119"/>
  <c r="F8" i="119"/>
  <c r="H63" i="119"/>
  <c r="B4" i="119"/>
  <c r="B82" i="119" s="1"/>
  <c r="B52" i="119"/>
  <c r="B53" i="119" s="1"/>
  <c r="B54" i="119" s="1"/>
  <c r="B55" i="119" s="1"/>
  <c r="B56" i="119" s="1"/>
  <c r="B57" i="119" s="1"/>
  <c r="B58" i="119" s="1"/>
  <c r="B59" i="119" s="1"/>
  <c r="B60" i="119" s="1"/>
  <c r="B61" i="119" s="1"/>
  <c r="B62" i="119" s="1"/>
  <c r="B63" i="119" s="1"/>
  <c r="B64" i="119" s="1"/>
  <c r="B65" i="119" s="1"/>
  <c r="B66" i="119" s="1"/>
  <c r="B67" i="119" s="1"/>
  <c r="B68" i="119" s="1"/>
  <c r="B69" i="119" s="1"/>
  <c r="B70" i="119" s="1"/>
  <c r="G61" i="119"/>
  <c r="B36" i="15"/>
  <c r="B31" i="15"/>
  <c r="B14" i="13" s="1"/>
  <c r="B88" i="119"/>
  <c r="B87" i="119"/>
  <c r="C87" i="119"/>
  <c r="F6" i="119"/>
  <c r="B86" i="119"/>
  <c r="D16" i="15"/>
  <c r="W60" i="15" s="1"/>
  <c r="C160" i="119"/>
  <c r="C161" i="119" s="1"/>
  <c r="C162" i="119" s="1"/>
  <c r="C163" i="119" s="1"/>
  <c r="C164" i="119" s="1"/>
  <c r="C165" i="119" s="1"/>
  <c r="C166" i="119" s="1"/>
  <c r="C167" i="119" s="1"/>
  <c r="C168" i="119" s="1"/>
  <c r="C169" i="119" s="1"/>
  <c r="C170" i="119" s="1"/>
  <c r="F185" i="15"/>
  <c r="F102" i="119"/>
  <c r="F103" i="119"/>
  <c r="F104" i="119"/>
  <c r="F106" i="119"/>
  <c r="F107" i="119"/>
  <c r="F101" i="119"/>
  <c r="D156" i="119"/>
  <c r="D157" i="119"/>
  <c r="D159" i="119"/>
  <c r="D160" i="119"/>
  <c r="D161" i="119"/>
  <c r="D162" i="119"/>
  <c r="D163" i="119"/>
  <c r="D164" i="119"/>
  <c r="D165" i="119"/>
  <c r="D166" i="119"/>
  <c r="D167" i="119"/>
  <c r="D168" i="119"/>
  <c r="D169" i="119"/>
  <c r="D170" i="119"/>
  <c r="F77" i="119"/>
  <c r="G77" i="119"/>
  <c r="H77" i="119"/>
  <c r="I77" i="119"/>
  <c r="J77" i="119"/>
  <c r="K77" i="119"/>
  <c r="L77" i="119"/>
  <c r="M77" i="119"/>
  <c r="N77" i="119"/>
  <c r="O77" i="119"/>
  <c r="P77" i="119"/>
  <c r="Q77" i="119"/>
  <c r="R77" i="119"/>
  <c r="S77" i="119"/>
  <c r="F78" i="119"/>
  <c r="G78" i="119"/>
  <c r="H78" i="119"/>
  <c r="I78" i="119"/>
  <c r="J78" i="119"/>
  <c r="K78" i="119"/>
  <c r="L78" i="119"/>
  <c r="M78" i="119"/>
  <c r="N78" i="119"/>
  <c r="O78" i="119"/>
  <c r="P78" i="119"/>
  <c r="Q78" i="119"/>
  <c r="R78" i="119"/>
  <c r="S78" i="119"/>
  <c r="F79" i="119"/>
  <c r="G79" i="119"/>
  <c r="H79" i="119"/>
  <c r="I79" i="119"/>
  <c r="J79" i="119"/>
  <c r="K79" i="119"/>
  <c r="L79" i="119"/>
  <c r="M79" i="119"/>
  <c r="N79" i="119"/>
  <c r="O79" i="119"/>
  <c r="P79" i="119"/>
  <c r="Q79" i="119"/>
  <c r="R79" i="119"/>
  <c r="S79" i="119"/>
  <c r="F81" i="119"/>
  <c r="G81" i="119"/>
  <c r="H81" i="119"/>
  <c r="I81" i="119"/>
  <c r="J81" i="119"/>
  <c r="K81" i="119"/>
  <c r="L81" i="119"/>
  <c r="M81" i="119"/>
  <c r="N81" i="119"/>
  <c r="O81" i="119"/>
  <c r="P81" i="119"/>
  <c r="Q81" i="119"/>
  <c r="R81" i="119"/>
  <c r="S81" i="119"/>
  <c r="F82" i="119"/>
  <c r="G82" i="119"/>
  <c r="H82" i="119"/>
  <c r="I82" i="119"/>
  <c r="J82" i="119"/>
  <c r="K82" i="119"/>
  <c r="L82" i="119"/>
  <c r="M82" i="119"/>
  <c r="N82" i="119"/>
  <c r="O82" i="119"/>
  <c r="P82" i="119"/>
  <c r="Q82" i="119"/>
  <c r="R82" i="119"/>
  <c r="S82" i="119"/>
  <c r="F83" i="119"/>
  <c r="G83" i="119"/>
  <c r="H83" i="119"/>
  <c r="I83" i="119"/>
  <c r="J83" i="119"/>
  <c r="K83" i="119"/>
  <c r="L83" i="119"/>
  <c r="M83" i="119"/>
  <c r="N83" i="119"/>
  <c r="O83" i="119"/>
  <c r="P83" i="119"/>
  <c r="Q83" i="119"/>
  <c r="R83" i="119"/>
  <c r="S83" i="119"/>
  <c r="F84" i="119"/>
  <c r="G84" i="119"/>
  <c r="H84" i="119"/>
  <c r="I84" i="119"/>
  <c r="J84" i="119"/>
  <c r="K84" i="119"/>
  <c r="L84" i="119"/>
  <c r="M84" i="119"/>
  <c r="N84" i="119"/>
  <c r="O84" i="119"/>
  <c r="P84" i="119"/>
  <c r="Q84" i="119"/>
  <c r="R84" i="119"/>
  <c r="S84" i="119"/>
  <c r="F85" i="119"/>
  <c r="G85" i="119"/>
  <c r="H85" i="119"/>
  <c r="I85" i="119"/>
  <c r="J85" i="119"/>
  <c r="K85" i="119"/>
  <c r="L85" i="119"/>
  <c r="M85" i="119"/>
  <c r="N85" i="119"/>
  <c r="O85" i="119"/>
  <c r="P85" i="119"/>
  <c r="Q85" i="119"/>
  <c r="R85" i="119"/>
  <c r="S85" i="119"/>
  <c r="F86" i="119"/>
  <c r="G86" i="119"/>
  <c r="H86" i="119"/>
  <c r="I86" i="119"/>
  <c r="J86" i="119"/>
  <c r="K86" i="119"/>
  <c r="L86" i="119"/>
  <c r="M86" i="119"/>
  <c r="N86" i="119"/>
  <c r="O86" i="119"/>
  <c r="P86" i="119"/>
  <c r="Q86" i="119"/>
  <c r="R86" i="119"/>
  <c r="S86" i="119"/>
  <c r="F87" i="119"/>
  <c r="G87" i="119"/>
  <c r="H87" i="119"/>
  <c r="I87" i="119"/>
  <c r="J87" i="119"/>
  <c r="K87" i="119"/>
  <c r="L87" i="119"/>
  <c r="M87" i="119"/>
  <c r="N87" i="119"/>
  <c r="O87" i="119"/>
  <c r="P87" i="119"/>
  <c r="Q87" i="119"/>
  <c r="R87" i="119"/>
  <c r="S87" i="119"/>
  <c r="F88" i="119"/>
  <c r="G88" i="119"/>
  <c r="H88" i="119"/>
  <c r="I88" i="119"/>
  <c r="J88" i="119"/>
  <c r="K88" i="119"/>
  <c r="L88" i="119"/>
  <c r="M88" i="119"/>
  <c r="N88" i="119"/>
  <c r="O88" i="119"/>
  <c r="P88" i="119"/>
  <c r="Q88" i="119"/>
  <c r="R88" i="119"/>
  <c r="S88" i="119"/>
  <c r="F92" i="119"/>
  <c r="G92" i="119"/>
  <c r="H92" i="119"/>
  <c r="I92" i="119"/>
  <c r="J92" i="119"/>
  <c r="K92" i="119"/>
  <c r="L92" i="119"/>
  <c r="M92" i="119"/>
  <c r="N92" i="119"/>
  <c r="O92" i="119"/>
  <c r="P92" i="119"/>
  <c r="Q92" i="119"/>
  <c r="R92" i="119"/>
  <c r="S92" i="119"/>
  <c r="F93" i="119"/>
  <c r="G93" i="119"/>
  <c r="H93" i="119"/>
  <c r="I93" i="119"/>
  <c r="J93" i="119"/>
  <c r="K93" i="119"/>
  <c r="L93" i="119"/>
  <c r="M93" i="119"/>
  <c r="N93" i="119"/>
  <c r="O93" i="119"/>
  <c r="P93" i="119"/>
  <c r="Q93" i="119"/>
  <c r="R93" i="119"/>
  <c r="S93" i="119"/>
  <c r="F94" i="119"/>
  <c r="G94" i="119"/>
  <c r="H94" i="119"/>
  <c r="I94" i="119"/>
  <c r="J94" i="119"/>
  <c r="K94" i="119"/>
  <c r="L94" i="119"/>
  <c r="M94" i="119"/>
  <c r="N94" i="119"/>
  <c r="O94" i="119"/>
  <c r="P94" i="119"/>
  <c r="Q94" i="119"/>
  <c r="R94" i="119"/>
  <c r="S94" i="119"/>
  <c r="F95" i="119"/>
  <c r="G95" i="119"/>
  <c r="H95" i="119"/>
  <c r="I95" i="119"/>
  <c r="J95" i="119"/>
  <c r="K95" i="119"/>
  <c r="L95" i="119"/>
  <c r="M95" i="119"/>
  <c r="N95" i="119"/>
  <c r="O95" i="119"/>
  <c r="P95" i="119"/>
  <c r="Q95" i="119"/>
  <c r="R95" i="119"/>
  <c r="S95" i="119"/>
  <c r="F96" i="119"/>
  <c r="G96" i="119"/>
  <c r="H96" i="119"/>
  <c r="I96" i="119"/>
  <c r="J96" i="119"/>
  <c r="K96" i="119"/>
  <c r="L96" i="119"/>
  <c r="M96" i="119"/>
  <c r="N96" i="119"/>
  <c r="O96" i="119"/>
  <c r="P96" i="119"/>
  <c r="Q96" i="119"/>
  <c r="R96" i="119"/>
  <c r="S96" i="119"/>
  <c r="F97" i="119"/>
  <c r="G97" i="119"/>
  <c r="H97" i="119"/>
  <c r="I97" i="119"/>
  <c r="J97" i="119"/>
  <c r="K97" i="119"/>
  <c r="L97" i="119"/>
  <c r="M97" i="119"/>
  <c r="N97" i="119"/>
  <c r="O97" i="119"/>
  <c r="P97" i="119"/>
  <c r="Q97" i="119"/>
  <c r="R97" i="119"/>
  <c r="S97" i="119"/>
  <c r="E97" i="119"/>
  <c r="E94" i="119"/>
  <c r="E88" i="119"/>
  <c r="E86" i="119"/>
  <c r="E79" i="119"/>
  <c r="E96" i="119"/>
  <c r="E93" i="119"/>
  <c r="E87" i="119"/>
  <c r="E84" i="119"/>
  <c r="E81" i="119"/>
  <c r="E78" i="119"/>
  <c r="B93" i="119"/>
  <c r="B94" i="119"/>
  <c r="B92" i="119"/>
  <c r="F3" i="119"/>
  <c r="C53" i="119"/>
  <c r="B77" i="119"/>
  <c r="B78" i="119"/>
  <c r="B79" i="119"/>
  <c r="B85" i="119"/>
  <c r="B83" i="119"/>
  <c r="B84" i="119"/>
  <c r="F34" i="34"/>
  <c r="A109" i="12"/>
  <c r="A77" i="12"/>
  <c r="A46" i="12"/>
  <c r="A45" i="12"/>
  <c r="A18" i="12"/>
  <c r="A17" i="12"/>
  <c r="A16" i="12"/>
  <c r="A15" i="12"/>
  <c r="A14" i="12"/>
  <c r="A13" i="12"/>
  <c r="A12" i="12"/>
  <c r="D11" i="12"/>
  <c r="A11" i="12"/>
  <c r="D10" i="12"/>
  <c r="A10" i="12"/>
  <c r="D9" i="12"/>
  <c r="A9" i="12"/>
  <c r="D8" i="12"/>
  <c r="A8" i="12"/>
  <c r="D7" i="12"/>
  <c r="A7" i="12"/>
  <c r="C18" i="12"/>
  <c r="L18" i="12" s="1"/>
  <c r="C17" i="12"/>
  <c r="Q17" i="12" s="1"/>
  <c r="C16" i="12"/>
  <c r="N16" i="12" s="1"/>
  <c r="C15" i="12"/>
  <c r="C14" i="12"/>
  <c r="BD14" i="12" s="1"/>
  <c r="C13" i="12"/>
  <c r="U13" i="12" s="1"/>
  <c r="C12" i="12"/>
  <c r="AY12" i="12" s="1"/>
  <c r="C11" i="12"/>
  <c r="C10" i="12"/>
  <c r="C9" i="12"/>
  <c r="C8" i="12"/>
  <c r="C7" i="12"/>
  <c r="B4" i="12"/>
  <c r="D35" i="11"/>
  <c r="C35" i="11"/>
  <c r="B35" i="11"/>
  <c r="D34" i="11"/>
  <c r="C34" i="11"/>
  <c r="B34" i="11"/>
  <c r="D33" i="11"/>
  <c r="C33" i="11"/>
  <c r="B33" i="11"/>
  <c r="D32" i="11"/>
  <c r="C32" i="11"/>
  <c r="B32" i="11"/>
  <c r="D31" i="11"/>
  <c r="C31" i="11"/>
  <c r="B31" i="11"/>
  <c r="D30" i="11"/>
  <c r="C30" i="11"/>
  <c r="B30" i="11"/>
  <c r="D29" i="11"/>
  <c r="C29" i="11"/>
  <c r="B29" i="11"/>
  <c r="D28" i="11"/>
  <c r="C28" i="11"/>
  <c r="B28" i="11"/>
  <c r="C65" i="12"/>
  <c r="C59" i="12"/>
  <c r="C35" i="12"/>
  <c r="C34" i="12"/>
  <c r="AL34" i="12" s="1"/>
  <c r="C33" i="12"/>
  <c r="C32" i="12"/>
  <c r="C28" i="12"/>
  <c r="C27" i="12"/>
  <c r="C26" i="12"/>
  <c r="C25" i="12"/>
  <c r="A9" i="17"/>
  <c r="D17" i="17"/>
  <c r="D112" i="6"/>
  <c r="E112" i="6" s="1"/>
  <c r="C12" i="35"/>
  <c r="F13" i="24"/>
  <c r="F14" i="24"/>
  <c r="F15" i="24"/>
  <c r="F16" i="24"/>
  <c r="F17" i="24"/>
  <c r="F18" i="24"/>
  <c r="F19" i="24"/>
  <c r="F20" i="24"/>
  <c r="F21" i="24"/>
  <c r="F22" i="24"/>
  <c r="F23" i="24"/>
  <c r="F24" i="24"/>
  <c r="F25" i="24"/>
  <c r="E91" i="6"/>
  <c r="C91" i="6"/>
  <c r="E147" i="6"/>
  <c r="C147" i="6"/>
  <c r="E110" i="6"/>
  <c r="C110" i="6"/>
  <c r="E101" i="6"/>
  <c r="C101" i="6"/>
  <c r="C9" i="35"/>
  <c r="B15" i="24"/>
  <c r="B16" i="24"/>
  <c r="B17" i="24"/>
  <c r="B18" i="24"/>
  <c r="B19" i="24"/>
  <c r="B20" i="24"/>
  <c r="B21" i="24"/>
  <c r="B22" i="24"/>
  <c r="B23" i="24"/>
  <c r="B24" i="24"/>
  <c r="B25" i="24"/>
  <c r="C131" i="6"/>
  <c r="B132" i="6" s="1"/>
  <c r="I72" i="18"/>
  <c r="I87" i="18"/>
  <c r="A31" i="12"/>
  <c r="C31" i="12"/>
  <c r="D3" i="19"/>
  <c r="D4" i="19"/>
  <c r="O4" i="19" s="1"/>
  <c r="D5" i="19"/>
  <c r="V5" i="19" s="1"/>
  <c r="D6" i="19"/>
  <c r="S6" i="19" s="1"/>
  <c r="D7" i="19"/>
  <c r="AG7" i="19" s="1"/>
  <c r="D8" i="19"/>
  <c r="AJ8" i="19" s="1"/>
  <c r="D2" i="19"/>
  <c r="D93" i="12"/>
  <c r="D92" i="12"/>
  <c r="D91" i="12"/>
  <c r="D90" i="12"/>
  <c r="D89" i="12"/>
  <c r="A100" i="12"/>
  <c r="A99" i="12"/>
  <c r="A98" i="12"/>
  <c r="A97" i="12"/>
  <c r="A96" i="12"/>
  <c r="A95" i="12"/>
  <c r="D63" i="12"/>
  <c r="D62" i="12"/>
  <c r="D61" i="12"/>
  <c r="D60" i="12"/>
  <c r="D59" i="12"/>
  <c r="D29" i="12"/>
  <c r="D28" i="12"/>
  <c r="D27" i="12"/>
  <c r="D26" i="12"/>
  <c r="D25" i="12"/>
  <c r="A94" i="12"/>
  <c r="A93" i="12"/>
  <c r="A92" i="12"/>
  <c r="A91" i="12"/>
  <c r="A90" i="12"/>
  <c r="A89" i="12"/>
  <c r="A68" i="12"/>
  <c r="A67" i="12"/>
  <c r="A66" i="12"/>
  <c r="A64" i="12"/>
  <c r="A63" i="12"/>
  <c r="A62" i="12"/>
  <c r="A61" i="12"/>
  <c r="A60" i="12"/>
  <c r="A59" i="12"/>
  <c r="A35" i="12"/>
  <c r="I78" i="18"/>
  <c r="A34" i="12"/>
  <c r="A33" i="12"/>
  <c r="A29" i="12"/>
  <c r="I75" i="18"/>
  <c r="A28" i="12"/>
  <c r="A27" i="12"/>
  <c r="A26" i="12"/>
  <c r="A25" i="12"/>
  <c r="I73" i="18"/>
  <c r="A65" i="12"/>
  <c r="A32" i="12"/>
  <c r="A30" i="12"/>
  <c r="C64" i="12"/>
  <c r="BQ64" i="12" s="1"/>
  <c r="C94" i="12"/>
  <c r="BR94" i="12" s="1"/>
  <c r="C90" i="12"/>
  <c r="C91" i="12"/>
  <c r="C92" i="12"/>
  <c r="C93" i="12"/>
  <c r="BO93" i="12" s="1"/>
  <c r="C95" i="12"/>
  <c r="C96" i="12"/>
  <c r="C97" i="12"/>
  <c r="C98" i="12"/>
  <c r="AK98" i="12" s="1"/>
  <c r="C99" i="12"/>
  <c r="AK99" i="12" s="1"/>
  <c r="C100" i="12"/>
  <c r="Q100" i="12" s="1"/>
  <c r="C89" i="12"/>
  <c r="B86" i="12"/>
  <c r="B56" i="12"/>
  <c r="B12" i="35"/>
  <c r="B11" i="35"/>
  <c r="B61" i="11"/>
  <c r="H49" i="11" s="1"/>
  <c r="H50" i="11" s="1"/>
  <c r="C30" i="12"/>
  <c r="AB30" i="12" s="1"/>
  <c r="C15" i="35"/>
  <c r="B14" i="35"/>
  <c r="B133" i="6"/>
  <c r="B65" i="6"/>
  <c r="B30" i="5"/>
  <c r="B29" i="5"/>
  <c r="C65" i="6"/>
  <c r="D15" i="35"/>
  <c r="I74" i="18"/>
  <c r="I71" i="18"/>
  <c r="J12" i="8"/>
  <c r="K12" i="8" s="1"/>
  <c r="C68" i="12"/>
  <c r="AN68" i="12" s="1"/>
  <c r="C67" i="12"/>
  <c r="C66" i="12"/>
  <c r="S66" i="12" s="1"/>
  <c r="C63" i="12"/>
  <c r="AK63" i="12" s="1"/>
  <c r="C62" i="12"/>
  <c r="C61" i="12"/>
  <c r="C60" i="12"/>
  <c r="C29" i="12"/>
  <c r="V29" i="12" s="1"/>
  <c r="B22" i="12"/>
  <c r="B66" i="15"/>
  <c r="A15" i="13" s="1"/>
  <c r="A65" i="15"/>
  <c r="B128" i="15"/>
  <c r="H50" i="18"/>
  <c r="I50" i="18" s="1"/>
  <c r="D50" i="18"/>
  <c r="E50" i="18" s="1"/>
  <c r="H49" i="18"/>
  <c r="I49" i="18" s="1"/>
  <c r="D49" i="18"/>
  <c r="E49" i="18" s="1"/>
  <c r="H48" i="18"/>
  <c r="I48" i="18" s="1"/>
  <c r="D48" i="18"/>
  <c r="E48" i="18" s="1"/>
  <c r="H47" i="18"/>
  <c r="I47" i="18" s="1"/>
  <c r="D47" i="18"/>
  <c r="E47" i="18" s="1"/>
  <c r="H46" i="18"/>
  <c r="I46" i="18" s="1"/>
  <c r="D46" i="18"/>
  <c r="E46" i="18" s="1"/>
  <c r="H45" i="18"/>
  <c r="I45" i="18" s="1"/>
  <c r="G13" i="12" s="1"/>
  <c r="D45" i="18"/>
  <c r="E45" i="18" s="1"/>
  <c r="F94" i="12" s="1"/>
  <c r="H44" i="18"/>
  <c r="I44" i="18" s="1"/>
  <c r="G95" i="12" s="1"/>
  <c r="D44" i="18"/>
  <c r="E44" i="18" s="1"/>
  <c r="F95" i="12" s="1"/>
  <c r="H43" i="18"/>
  <c r="I43" i="18" s="1"/>
  <c r="D43" i="18"/>
  <c r="E43" i="18" s="1"/>
  <c r="H42" i="18"/>
  <c r="D42" i="18"/>
  <c r="E42" i="18" s="1"/>
  <c r="F15" i="12" s="1"/>
  <c r="H40" i="18"/>
  <c r="I40" i="18" s="1"/>
  <c r="D40" i="18"/>
  <c r="E40" i="18" s="1"/>
  <c r="H39" i="18"/>
  <c r="I39" i="18" s="1"/>
  <c r="D39" i="18"/>
  <c r="E39" i="18" s="1"/>
  <c r="H38" i="18"/>
  <c r="I38" i="18" s="1"/>
  <c r="D38" i="18"/>
  <c r="E38" i="18" s="1"/>
  <c r="H37" i="18"/>
  <c r="I37" i="18" s="1"/>
  <c r="D37" i="18"/>
  <c r="E37" i="18" s="1"/>
  <c r="H36" i="18"/>
  <c r="I36" i="18" s="1"/>
  <c r="D36" i="18"/>
  <c r="E36" i="18" s="1"/>
  <c r="H35" i="18"/>
  <c r="I35" i="18" s="1"/>
  <c r="D35" i="18"/>
  <c r="E35" i="18" s="1"/>
  <c r="H34" i="18"/>
  <c r="I34" i="18" s="1"/>
  <c r="D34" i="18"/>
  <c r="E34" i="18" s="1"/>
  <c r="H33" i="18"/>
  <c r="I33" i="18" s="1"/>
  <c r="D33" i="18"/>
  <c r="E33" i="18" s="1"/>
  <c r="H32" i="18"/>
  <c r="I32" i="18" s="1"/>
  <c r="D32" i="18"/>
  <c r="E32" i="18" s="1"/>
  <c r="H31" i="18"/>
  <c r="I31" i="18" s="1"/>
  <c r="D31" i="18"/>
  <c r="E31" i="18" s="1"/>
  <c r="H30" i="18"/>
  <c r="I30" i="18" s="1"/>
  <c r="D30" i="18"/>
  <c r="E30" i="18" s="1"/>
  <c r="H29" i="18"/>
  <c r="I29" i="18" s="1"/>
  <c r="D29" i="18"/>
  <c r="E29" i="18" s="1"/>
  <c r="H28" i="18"/>
  <c r="I28" i="18" s="1"/>
  <c r="D28" i="18"/>
  <c r="E28" i="18" s="1"/>
  <c r="H27" i="18"/>
  <c r="I27" i="18" s="1"/>
  <c r="D27" i="18"/>
  <c r="E27" i="18" s="1"/>
  <c r="H26" i="18"/>
  <c r="I26" i="18" s="1"/>
  <c r="D26" i="18"/>
  <c r="E26" i="18" s="1"/>
  <c r="H25" i="18"/>
  <c r="I25" i="18" s="1"/>
  <c r="D25" i="18"/>
  <c r="E25" i="18" s="1"/>
  <c r="H24" i="18"/>
  <c r="I24" i="18" s="1"/>
  <c r="D24" i="18"/>
  <c r="E24" i="18" s="1"/>
  <c r="H23" i="18"/>
  <c r="I23" i="18" s="1"/>
  <c r="D23" i="18"/>
  <c r="E23" i="18" s="1"/>
  <c r="H22" i="18"/>
  <c r="I22" i="18" s="1"/>
  <c r="D22" i="18"/>
  <c r="E22" i="18" s="1"/>
  <c r="H21" i="18"/>
  <c r="I21" i="18" s="1"/>
  <c r="D21" i="18"/>
  <c r="E21" i="18" s="1"/>
  <c r="H20" i="18"/>
  <c r="I20" i="18" s="1"/>
  <c r="D20" i="18"/>
  <c r="E20" i="18" s="1"/>
  <c r="H19" i="18"/>
  <c r="I19" i="18" s="1"/>
  <c r="D19" i="18"/>
  <c r="E19" i="18" s="1"/>
  <c r="H18" i="18"/>
  <c r="I18" i="18" s="1"/>
  <c r="D18" i="18"/>
  <c r="E18" i="18"/>
  <c r="H17" i="18"/>
  <c r="I17" i="18" s="1"/>
  <c r="D17" i="18"/>
  <c r="E17" i="18" s="1"/>
  <c r="H16" i="18"/>
  <c r="I16" i="18" s="1"/>
  <c r="D16" i="18"/>
  <c r="E16" i="18" s="1"/>
  <c r="H15" i="18"/>
  <c r="I15" i="18" s="1"/>
  <c r="D15" i="18"/>
  <c r="E15" i="18" s="1"/>
  <c r="H14" i="18"/>
  <c r="I14" i="18" s="1"/>
  <c r="D14" i="18"/>
  <c r="E14" i="18" s="1"/>
  <c r="H13" i="18"/>
  <c r="I13" i="18" s="1"/>
  <c r="D13" i="18"/>
  <c r="E13" i="18" s="1"/>
  <c r="H12" i="18"/>
  <c r="I12" i="18" s="1"/>
  <c r="D12" i="18"/>
  <c r="E12" i="18" s="1"/>
  <c r="H11" i="18"/>
  <c r="I11" i="18" s="1"/>
  <c r="D11" i="18"/>
  <c r="E11" i="18" s="1"/>
  <c r="H10" i="18"/>
  <c r="I10" i="18" s="1"/>
  <c r="D10" i="18"/>
  <c r="E10" i="18" s="1"/>
  <c r="H8" i="18"/>
  <c r="I8" i="18" s="1"/>
  <c r="D8" i="18"/>
  <c r="E8" i="18" s="1"/>
  <c r="H7" i="18"/>
  <c r="I7" i="18" s="1"/>
  <c r="D7" i="18"/>
  <c r="E7" i="18" s="1"/>
  <c r="C16" i="5" s="1"/>
  <c r="C15" i="5" s="1"/>
  <c r="H6" i="18"/>
  <c r="I6" i="18" s="1"/>
  <c r="D6" i="18"/>
  <c r="E6" i="18" s="1"/>
  <c r="I77" i="18"/>
  <c r="B38" i="34"/>
  <c r="E38" i="34" s="1"/>
  <c r="F38" i="34"/>
  <c r="B33" i="34"/>
  <c r="B62" i="34" s="1"/>
  <c r="B34" i="34"/>
  <c r="B97" i="34" s="1"/>
  <c r="B35" i="34"/>
  <c r="G35" i="34" s="1"/>
  <c r="B39" i="34"/>
  <c r="C39" i="34" s="1"/>
  <c r="B40" i="34"/>
  <c r="E40" i="34" s="1"/>
  <c r="C65" i="15"/>
  <c r="B32" i="15"/>
  <c r="B33" i="15"/>
  <c r="B42" i="14"/>
  <c r="B43" i="14"/>
  <c r="B25" i="15"/>
  <c r="B19" i="17"/>
  <c r="C19" i="17" s="1"/>
  <c r="F17" i="34"/>
  <c r="B30" i="15"/>
  <c r="I76" i="18"/>
  <c r="C7" i="5"/>
  <c r="B14" i="24"/>
  <c r="B13" i="24"/>
  <c r="B134" i="6"/>
  <c r="F50" i="34"/>
  <c r="F49" i="34"/>
  <c r="F48" i="34"/>
  <c r="F47" i="34"/>
  <c r="F40" i="34"/>
  <c r="F39" i="34"/>
  <c r="F35" i="34"/>
  <c r="F33" i="34"/>
  <c r="B50" i="34"/>
  <c r="B49" i="34"/>
  <c r="B48" i="34"/>
  <c r="C48" i="34" s="1"/>
  <c r="B47" i="34"/>
  <c r="H47" i="34" s="1"/>
  <c r="C136" i="15"/>
  <c r="E136" i="15"/>
  <c r="O4" i="8"/>
  <c r="O5" i="8"/>
  <c r="O6" i="8"/>
  <c r="O7" i="8"/>
  <c r="O8" i="8"/>
  <c r="O9" i="8"/>
  <c r="O10" i="8"/>
  <c r="O11" i="8"/>
  <c r="O12" i="8"/>
  <c r="O13" i="8"/>
  <c r="T7" i="18"/>
  <c r="U7" i="18"/>
  <c r="T8" i="18"/>
  <c r="U8" i="18"/>
  <c r="T9" i="18"/>
  <c r="U9" i="18"/>
  <c r="T12" i="18"/>
  <c r="U12" i="18"/>
  <c r="R13" i="18"/>
  <c r="T13" i="18" s="1"/>
  <c r="S13" i="18"/>
  <c r="U13" i="18" s="1"/>
  <c r="T14" i="18"/>
  <c r="U14" i="18"/>
  <c r="R16" i="18"/>
  <c r="T16" i="18" s="1"/>
  <c r="S16" i="18"/>
  <c r="U16" i="18" s="1"/>
  <c r="T17" i="18"/>
  <c r="U17" i="18"/>
  <c r="I82" i="18"/>
  <c r="I83" i="18"/>
  <c r="I84" i="18"/>
  <c r="Z701" i="11"/>
  <c r="AA531" i="11" s="1"/>
  <c r="AB531" i="11" s="1"/>
  <c r="AC531" i="11" s="1"/>
  <c r="AD531" i="11" s="1"/>
  <c r="AE531" i="11" s="1"/>
  <c r="AF531" i="11" s="1"/>
  <c r="AG531" i="11" s="1"/>
  <c r="AH531" i="11" s="1"/>
  <c r="AJ531" i="11"/>
  <c r="AK531" i="11" s="1"/>
  <c r="AL531" i="11" s="1"/>
  <c r="AM531" i="11" s="1"/>
  <c r="AN531" i="11" s="1"/>
  <c r="AO531" i="11" s="1"/>
  <c r="AP531" i="11" s="1"/>
  <c r="AQ531" i="11" s="1"/>
  <c r="AR531" i="11" s="1"/>
  <c r="AS531" i="11" s="1"/>
  <c r="AT531" i="11" s="1"/>
  <c r="AU531" i="11" s="1"/>
  <c r="AV531" i="11" s="1"/>
  <c r="AW531" i="11" s="1"/>
  <c r="AX531" i="11" s="1"/>
  <c r="AY531" i="11" s="1"/>
  <c r="AZ531" i="11" s="1"/>
  <c r="BA531" i="11" s="1"/>
  <c r="BB531" i="11" s="1"/>
  <c r="BC531" i="11" s="1"/>
  <c r="BD531" i="11" s="1"/>
  <c r="BE531" i="11" s="1"/>
  <c r="BF531" i="11" s="1"/>
  <c r="BG531" i="11" s="1"/>
  <c r="BH531" i="11" s="1"/>
  <c r="BI531" i="11" s="1"/>
  <c r="BJ531" i="11" s="1"/>
  <c r="BK531" i="11" s="1"/>
  <c r="BL531" i="11" s="1"/>
  <c r="BN531" i="11"/>
  <c r="BO531" i="11" s="1"/>
  <c r="BP531" i="11" s="1"/>
  <c r="BQ531" i="11" s="1"/>
  <c r="BR531" i="11" s="1"/>
  <c r="AX532" i="11"/>
  <c r="AJ532" i="11" s="1"/>
  <c r="AK532" i="11" s="1"/>
  <c r="AL532" i="11" s="1"/>
  <c r="AM532" i="11" s="1"/>
  <c r="AN532" i="11" s="1"/>
  <c r="AO532" i="11" s="1"/>
  <c r="AP532" i="11" s="1"/>
  <c r="AQ532" i="11" s="1"/>
  <c r="AR532" i="11" s="1"/>
  <c r="AS532" i="11" s="1"/>
  <c r="AT532" i="11" s="1"/>
  <c r="AU532" i="11" s="1"/>
  <c r="AV532" i="11" s="1"/>
  <c r="AW532" i="11" s="1"/>
  <c r="B704" i="11"/>
  <c r="C704" i="11"/>
  <c r="D704" i="11"/>
  <c r="E704" i="11"/>
  <c r="F704" i="11"/>
  <c r="G704" i="11"/>
  <c r="H704" i="11"/>
  <c r="I704" i="11"/>
  <c r="J704" i="11"/>
  <c r="K704" i="11"/>
  <c r="L704" i="11"/>
  <c r="M704" i="11"/>
  <c r="N704" i="11"/>
  <c r="O704" i="11"/>
  <c r="P704" i="11"/>
  <c r="Q704" i="11"/>
  <c r="R704" i="11"/>
  <c r="S704" i="11"/>
  <c r="T704" i="11"/>
  <c r="U704" i="11"/>
  <c r="V704" i="11"/>
  <c r="W704" i="11"/>
  <c r="X704" i="11"/>
  <c r="Y704" i="11"/>
  <c r="Z704" i="11"/>
  <c r="AA534" i="11"/>
  <c r="AB534" i="11"/>
  <c r="AC534" i="11"/>
  <c r="AD534" i="11"/>
  <c r="AE534" i="11"/>
  <c r="AF534" i="11"/>
  <c r="AG534" i="11"/>
  <c r="AH534" i="11"/>
  <c r="AI534" i="11"/>
  <c r="AJ534" i="11"/>
  <c r="AK534" i="11"/>
  <c r="AL534" i="11"/>
  <c r="AM534" i="11"/>
  <c r="AN534" i="11"/>
  <c r="AO534" i="11"/>
  <c r="AP534" i="11"/>
  <c r="AQ534" i="11"/>
  <c r="AR534" i="11"/>
  <c r="AS534" i="11"/>
  <c r="AT534" i="11"/>
  <c r="AU534" i="11"/>
  <c r="AV534" i="11"/>
  <c r="AW534" i="11"/>
  <c r="AX534" i="11"/>
  <c r="AY534" i="11"/>
  <c r="AZ534" i="11"/>
  <c r="BA534" i="11"/>
  <c r="BB534" i="11"/>
  <c r="BC534" i="11"/>
  <c r="BD534" i="11"/>
  <c r="BE534" i="11"/>
  <c r="BF534" i="11"/>
  <c r="BG534" i="11"/>
  <c r="BH534" i="11"/>
  <c r="BI534" i="11"/>
  <c r="BJ534" i="11"/>
  <c r="BK534" i="11"/>
  <c r="BL534" i="11"/>
  <c r="BM534" i="11"/>
  <c r="BN534" i="11"/>
  <c r="BO534" i="11"/>
  <c r="BP534" i="11"/>
  <c r="BQ534" i="11"/>
  <c r="BR534" i="11"/>
  <c r="E740" i="11"/>
  <c r="AI393" i="11" s="1"/>
  <c r="E741" i="11"/>
  <c r="E742" i="11"/>
  <c r="AI480" i="11" s="1"/>
  <c r="E743" i="11"/>
  <c r="E744" i="11"/>
  <c r="AI488" i="11" s="1"/>
  <c r="Z658" i="11" s="1"/>
  <c r="AA488" i="11" s="1"/>
  <c r="AB488" i="11" s="1"/>
  <c r="AC488" i="11" s="1"/>
  <c r="AD488" i="11" s="1"/>
  <c r="AE488" i="11" s="1"/>
  <c r="AF488" i="11" s="1"/>
  <c r="AG488" i="11" s="1"/>
  <c r="AH488" i="11" s="1"/>
  <c r="E745" i="11"/>
  <c r="AI254" i="11" s="1"/>
  <c r="E746" i="11"/>
  <c r="E747" i="11"/>
  <c r="AI266" i="11" s="1"/>
  <c r="B28" i="15"/>
  <c r="B29" i="15"/>
  <c r="B37" i="15"/>
  <c r="B40" i="15"/>
  <c r="B41" i="15"/>
  <c r="B42" i="15"/>
  <c r="B43" i="15"/>
  <c r="B44" i="15"/>
  <c r="B47" i="15"/>
  <c r="B48" i="15"/>
  <c r="G136" i="15"/>
  <c r="H136" i="15"/>
  <c r="I136" i="15"/>
  <c r="C137" i="15"/>
  <c r="D137" i="15"/>
  <c r="E137" i="15"/>
  <c r="G137" i="15"/>
  <c r="H137" i="15"/>
  <c r="I137" i="15"/>
  <c r="K137" i="15"/>
  <c r="L137" i="15"/>
  <c r="M137" i="15"/>
  <c r="N137" i="15"/>
  <c r="C138" i="15"/>
  <c r="D138" i="15"/>
  <c r="E138" i="15"/>
  <c r="G138" i="15"/>
  <c r="H138" i="15"/>
  <c r="I138" i="15"/>
  <c r="K138" i="15"/>
  <c r="L138" i="15"/>
  <c r="M138" i="15"/>
  <c r="N138" i="15"/>
  <c r="R138" i="15"/>
  <c r="T138" i="15"/>
  <c r="U138" i="15"/>
  <c r="V138" i="15"/>
  <c r="B11" i="24"/>
  <c r="B15" i="17"/>
  <c r="F17" i="17"/>
  <c r="G17" i="17"/>
  <c r="D136" i="15"/>
  <c r="AC56" i="15"/>
  <c r="B138" i="15"/>
  <c r="D61" i="6"/>
  <c r="I42" i="18" l="1"/>
  <c r="G20" i="113"/>
  <c r="D24" i="35"/>
  <c r="D19" i="35"/>
  <c r="D28" i="35"/>
  <c r="F28" i="35" s="1"/>
  <c r="D32" i="35"/>
  <c r="D27" i="35"/>
  <c r="D36" i="35"/>
  <c r="D21" i="35"/>
  <c r="D29" i="35"/>
  <c r="D25" i="35"/>
  <c r="D33" i="35"/>
  <c r="D30" i="35"/>
  <c r="D39" i="35"/>
  <c r="D23" i="35"/>
  <c r="D17" i="35"/>
  <c r="F17" i="35" s="1"/>
  <c r="D22" i="35"/>
  <c r="D37" i="35"/>
  <c r="D38" i="35"/>
  <c r="D18" i="35"/>
  <c r="D31" i="35"/>
  <c r="D35" i="35"/>
  <c r="D34" i="35"/>
  <c r="D26" i="35"/>
  <c r="D20" i="35"/>
  <c r="B186" i="15"/>
  <c r="Q65" i="15"/>
  <c r="B15" i="13"/>
  <c r="AI507" i="11"/>
  <c r="D54" i="119"/>
  <c r="D189" i="119"/>
  <c r="D191" i="119"/>
  <c r="G60" i="119"/>
  <c r="G189" i="119"/>
  <c r="G191" i="119"/>
  <c r="E56" i="119"/>
  <c r="E189" i="119"/>
  <c r="E191" i="119"/>
  <c r="H6" i="119"/>
  <c r="C86" i="119" s="1"/>
  <c r="D86" i="119" s="1"/>
  <c r="F189" i="119"/>
  <c r="F191" i="119"/>
  <c r="I64" i="119"/>
  <c r="I189" i="119"/>
  <c r="I191" i="119"/>
  <c r="H62" i="119"/>
  <c r="H189" i="119"/>
  <c r="H191" i="119"/>
  <c r="C52" i="119"/>
  <c r="C189" i="119"/>
  <c r="C191" i="119"/>
  <c r="AI276" i="11"/>
  <c r="AX276" i="11" s="1"/>
  <c r="BM276" i="11" s="1"/>
  <c r="BR276" i="11" s="1"/>
  <c r="M17" i="12"/>
  <c r="AI494" i="11"/>
  <c r="AX494" i="11" s="1"/>
  <c r="AI380" i="11"/>
  <c r="AI277" i="11"/>
  <c r="AX277" i="11" s="1"/>
  <c r="BM277" i="11" s="1"/>
  <c r="BR277" i="11" s="1"/>
  <c r="D16" i="35"/>
  <c r="C13" i="24" s="1"/>
  <c r="G94" i="12"/>
  <c r="Z664" i="11"/>
  <c r="AA494" i="11" s="1"/>
  <c r="AB494" i="11" s="1"/>
  <c r="AC494" i="11" s="1"/>
  <c r="AD494" i="11" s="1"/>
  <c r="AE494" i="11" s="1"/>
  <c r="AF494" i="11" s="1"/>
  <c r="AG494" i="11" s="1"/>
  <c r="AH494" i="11" s="1"/>
  <c r="T15" i="18"/>
  <c r="AX480" i="11"/>
  <c r="BM480" i="11" s="1"/>
  <c r="BR480" i="11" s="1"/>
  <c r="Z650" i="11"/>
  <c r="AA480" i="11" s="1"/>
  <c r="AB480" i="11" s="1"/>
  <c r="AC480" i="11" s="1"/>
  <c r="AD480" i="11" s="1"/>
  <c r="AE480" i="11" s="1"/>
  <c r="AF480" i="11" s="1"/>
  <c r="AG480" i="11" s="1"/>
  <c r="AH480" i="11" s="1"/>
  <c r="G25" i="12"/>
  <c r="G91" i="12"/>
  <c r="G29" i="12"/>
  <c r="G92" i="12"/>
  <c r="G9" i="12"/>
  <c r="AI392" i="11"/>
  <c r="Z562" i="11" s="1"/>
  <c r="AA392" i="11" s="1"/>
  <c r="AB392" i="11" s="1"/>
  <c r="AC392" i="11" s="1"/>
  <c r="AD392" i="11" s="1"/>
  <c r="AE392" i="11" s="1"/>
  <c r="AF392" i="11" s="1"/>
  <c r="AG392" i="11" s="1"/>
  <c r="AH392" i="11" s="1"/>
  <c r="AI358" i="11"/>
  <c r="Z528" i="11" s="1"/>
  <c r="AA358" i="11" s="1"/>
  <c r="AB358" i="11" s="1"/>
  <c r="AC358" i="11" s="1"/>
  <c r="AD358" i="11" s="1"/>
  <c r="AE358" i="11" s="1"/>
  <c r="AF358" i="11" s="1"/>
  <c r="AG358" i="11" s="1"/>
  <c r="AH358" i="11" s="1"/>
  <c r="G64" i="12"/>
  <c r="F32" i="12"/>
  <c r="AI471" i="11"/>
  <c r="I85" i="18"/>
  <c r="AI369" i="11"/>
  <c r="AI472" i="11"/>
  <c r="F30" i="12"/>
  <c r="AI253" i="11"/>
  <c r="AI483" i="11"/>
  <c r="F49" i="11"/>
  <c r="F50" i="11" s="1"/>
  <c r="AI263" i="11"/>
  <c r="BM494" i="11"/>
  <c r="BR494" i="11" s="1"/>
  <c r="AX266" i="11"/>
  <c r="AJ266" i="11" s="1"/>
  <c r="AK266" i="11" s="1"/>
  <c r="AL266" i="11" s="1"/>
  <c r="AM266" i="11" s="1"/>
  <c r="AN266" i="11" s="1"/>
  <c r="AO266" i="11" s="1"/>
  <c r="AP266" i="11" s="1"/>
  <c r="AQ266" i="11" s="1"/>
  <c r="AR266" i="11" s="1"/>
  <c r="AS266" i="11" s="1"/>
  <c r="AT266" i="11" s="1"/>
  <c r="AU266" i="11" s="1"/>
  <c r="AV266" i="11" s="1"/>
  <c r="AW266" i="11" s="1"/>
  <c r="AE266" i="11"/>
  <c r="AF266" i="11" s="1"/>
  <c r="AG266" i="11" s="1"/>
  <c r="AH266" i="11" s="1"/>
  <c r="Z563" i="11"/>
  <c r="AA393" i="11" s="1"/>
  <c r="AB393" i="11" s="1"/>
  <c r="AC393" i="11" s="1"/>
  <c r="AD393" i="11" s="1"/>
  <c r="AE393" i="11" s="1"/>
  <c r="AF393" i="11" s="1"/>
  <c r="AG393" i="11" s="1"/>
  <c r="AH393" i="11" s="1"/>
  <c r="AX393" i="11"/>
  <c r="BM393" i="11" s="1"/>
  <c r="G97" i="12"/>
  <c r="G32" i="12"/>
  <c r="AJ32" i="12" s="1"/>
  <c r="G96" i="12"/>
  <c r="AE276" i="11"/>
  <c r="AF276" i="11" s="1"/>
  <c r="AG276" i="11" s="1"/>
  <c r="AH276" i="11" s="1"/>
  <c r="AQ34" i="12"/>
  <c r="G7" i="12"/>
  <c r="H38" i="34"/>
  <c r="B116" i="34"/>
  <c r="F116" i="34" s="1"/>
  <c r="G49" i="11"/>
  <c r="G50" i="11" s="1"/>
  <c r="G10" i="12"/>
  <c r="D102" i="6"/>
  <c r="E102" i="6" s="1"/>
  <c r="E49" i="11"/>
  <c r="E50" i="11" s="1"/>
  <c r="G59" i="12"/>
  <c r="G8" i="12"/>
  <c r="G28" i="12"/>
  <c r="G27" i="12"/>
  <c r="G90" i="12"/>
  <c r="G93" i="12"/>
  <c r="BM532" i="11"/>
  <c r="AY532" i="11" s="1"/>
  <c r="AZ532" i="11" s="1"/>
  <c r="BA532" i="11" s="1"/>
  <c r="BB532" i="11" s="1"/>
  <c r="BC532" i="11" s="1"/>
  <c r="BD532" i="11" s="1"/>
  <c r="BE532" i="11" s="1"/>
  <c r="BF532" i="11" s="1"/>
  <c r="BG532" i="11" s="1"/>
  <c r="BH532" i="11" s="1"/>
  <c r="BI532" i="11" s="1"/>
  <c r="BJ532" i="11" s="1"/>
  <c r="BK532" i="11" s="1"/>
  <c r="BL532" i="11" s="1"/>
  <c r="U15" i="18"/>
  <c r="T13" i="12"/>
  <c r="AQ13" i="12"/>
  <c r="BV13" i="12"/>
  <c r="BW13" i="12" s="1"/>
  <c r="BX13" i="12" s="1"/>
  <c r="BY13" i="12" s="1"/>
  <c r="BZ13" i="12" s="1"/>
  <c r="CA13" i="12" s="1"/>
  <c r="CB13" i="12" s="1"/>
  <c r="CC13" i="12" s="1"/>
  <c r="CD13" i="12" s="1"/>
  <c r="CE13" i="12" s="1"/>
  <c r="CF13" i="12" s="1"/>
  <c r="CG13" i="12" s="1"/>
  <c r="CH13" i="12" s="1"/>
  <c r="CI13" i="12" s="1"/>
  <c r="CJ13" i="12" s="1"/>
  <c r="CK13" i="12" s="1"/>
  <c r="CL13" i="12" s="1"/>
  <c r="CM13" i="12" s="1"/>
  <c r="CN13" i="12" s="1"/>
  <c r="CO13" i="12" s="1"/>
  <c r="CP13" i="12" s="1"/>
  <c r="CQ13" i="12" s="1"/>
  <c r="CR13" i="12" s="1"/>
  <c r="CS13" i="12" s="1"/>
  <c r="CT13" i="12" s="1"/>
  <c r="CU13" i="12" s="1"/>
  <c r="CV13" i="12" s="1"/>
  <c r="CW13" i="12" s="1"/>
  <c r="CX13" i="12" s="1"/>
  <c r="CY13" i="12" s="1"/>
  <c r="CZ13" i="12" s="1"/>
  <c r="AW13" i="12"/>
  <c r="AC13" i="12"/>
  <c r="P13" i="12"/>
  <c r="BR13" i="12"/>
  <c r="R13" i="12"/>
  <c r="BC13" i="12"/>
  <c r="P12" i="12"/>
  <c r="Q13" i="12"/>
  <c r="AR5" i="19"/>
  <c r="AK13" i="12"/>
  <c r="BN13" i="12"/>
  <c r="BD13" i="12"/>
  <c r="AV13" i="12"/>
  <c r="AY13" i="12"/>
  <c r="AP13" i="12"/>
  <c r="BI13" i="12"/>
  <c r="AE13" i="12"/>
  <c r="AN13" i="12"/>
  <c r="BL12" i="12"/>
  <c r="AA13" i="12"/>
  <c r="BF13" i="12"/>
  <c r="BB13" i="12"/>
  <c r="BB4" i="19"/>
  <c r="I13" i="12"/>
  <c r="BS13" i="12"/>
  <c r="AJ13" i="12"/>
  <c r="X13" i="12"/>
  <c r="AI12" i="12"/>
  <c r="AM13" i="12"/>
  <c r="L12" i="12"/>
  <c r="AS13" i="12"/>
  <c r="AU13" i="12"/>
  <c r="BU13" i="12"/>
  <c r="AB13" i="12"/>
  <c r="AH5" i="19"/>
  <c r="BQ13" i="12"/>
  <c r="Z13" i="12"/>
  <c r="H13" i="12"/>
  <c r="AR13" i="12"/>
  <c r="M4" i="19"/>
  <c r="W13" i="12"/>
  <c r="BP12" i="12"/>
  <c r="K13" i="12"/>
  <c r="BO13" i="12"/>
  <c r="BH13" i="12"/>
  <c r="BA5" i="19"/>
  <c r="BJ13" i="12"/>
  <c r="J13" i="12"/>
  <c r="S13" i="12"/>
  <c r="BE13" i="12"/>
  <c r="AP66" i="12"/>
  <c r="AB5" i="19"/>
  <c r="O13" i="12"/>
  <c r="AG13" i="12"/>
  <c r="AH13" i="12"/>
  <c r="AT13" i="12"/>
  <c r="M13" i="12"/>
  <c r="BK13" i="12"/>
  <c r="V13" i="12"/>
  <c r="L13" i="12"/>
  <c r="Q5" i="19"/>
  <c r="AO13" i="12"/>
  <c r="O66" i="12"/>
  <c r="AT5" i="19"/>
  <c r="AI13" i="12"/>
  <c r="BC12" i="12"/>
  <c r="AF13" i="12"/>
  <c r="BP13" i="12"/>
  <c r="AD13" i="12"/>
  <c r="BA13" i="12"/>
  <c r="AX13" i="12"/>
  <c r="O30" i="12"/>
  <c r="Y13" i="12"/>
  <c r="BJ5" i="19"/>
  <c r="Z12" i="12"/>
  <c r="BG13" i="12"/>
  <c r="BL13" i="12"/>
  <c r="AZ13" i="12"/>
  <c r="N13" i="12"/>
  <c r="BT13" i="12"/>
  <c r="AL13" i="12"/>
  <c r="BM13" i="12"/>
  <c r="B101" i="34"/>
  <c r="E101" i="34" s="1"/>
  <c r="BH94" i="12"/>
  <c r="AD17" i="12"/>
  <c r="Q98" i="12"/>
  <c r="AZ94" i="12"/>
  <c r="AM94" i="12"/>
  <c r="V17" i="12"/>
  <c r="AP94" i="12"/>
  <c r="AM98" i="12"/>
  <c r="BB98" i="12" s="1"/>
  <c r="BQ98" i="12" s="1"/>
  <c r="BP94" i="12"/>
  <c r="AB17" i="12"/>
  <c r="N17" i="12"/>
  <c r="U18" i="12"/>
  <c r="W17" i="12"/>
  <c r="R17" i="12"/>
  <c r="D157" i="6"/>
  <c r="P5" i="19"/>
  <c r="AA94" i="12"/>
  <c r="AP34" i="12"/>
  <c r="AJ98" i="12"/>
  <c r="AR94" i="12"/>
  <c r="AE34" i="12"/>
  <c r="AE98" i="12"/>
  <c r="AT94" i="12"/>
  <c r="BD94" i="12"/>
  <c r="AU94" i="12"/>
  <c r="AI94" i="12"/>
  <c r="AS94" i="12"/>
  <c r="T98" i="12"/>
  <c r="N18" i="12"/>
  <c r="D93" i="6"/>
  <c r="S94" i="12"/>
  <c r="AQ98" i="12"/>
  <c r="P66" i="12"/>
  <c r="AC34" i="12"/>
  <c r="BM94" i="12"/>
  <c r="V98" i="12"/>
  <c r="K18" i="12"/>
  <c r="AK94" i="12"/>
  <c r="AH68" i="12"/>
  <c r="U94" i="12"/>
  <c r="O94" i="12"/>
  <c r="BC94" i="12"/>
  <c r="AG94" i="12"/>
  <c r="BJ94" i="12"/>
  <c r="Y98" i="12"/>
  <c r="R98" i="12"/>
  <c r="P98" i="12"/>
  <c r="AN94" i="12"/>
  <c r="BS94" i="12"/>
  <c r="R18" i="12"/>
  <c r="AI68" i="12"/>
  <c r="AC94" i="12"/>
  <c r="P94" i="12"/>
  <c r="BK94" i="12"/>
  <c r="AW94" i="12"/>
  <c r="AB98" i="12"/>
  <c r="AR98" i="12"/>
  <c r="Z98" i="12"/>
  <c r="X98" i="12"/>
  <c r="AE12" i="12"/>
  <c r="AR68" i="12"/>
  <c r="AV94" i="12"/>
  <c r="BO94" i="12"/>
  <c r="BQ94" i="12"/>
  <c r="T94" i="12"/>
  <c r="AB18" i="12"/>
  <c r="AY94" i="12"/>
  <c r="V94" i="12"/>
  <c r="AH98" i="12"/>
  <c r="R94" i="12"/>
  <c r="BG94" i="12"/>
  <c r="AQ94" i="12"/>
  <c r="Y94" i="12"/>
  <c r="AL98" i="12"/>
  <c r="Q94" i="12"/>
  <c r="AG99" i="12"/>
  <c r="S98" i="12"/>
  <c r="AL94" i="12"/>
  <c r="W94" i="12"/>
  <c r="BU94" i="12"/>
  <c r="AO94" i="12"/>
  <c r="AG98" i="12"/>
  <c r="U98" i="12"/>
  <c r="O98" i="12"/>
  <c r="AB12" i="12"/>
  <c r="AG12" i="12"/>
  <c r="BV12" i="12"/>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Z94" i="12"/>
  <c r="AE29" i="12"/>
  <c r="AP68" i="12"/>
  <c r="BQ29" i="12"/>
  <c r="BB94" i="12"/>
  <c r="BF94" i="12"/>
  <c r="AO98" i="12"/>
  <c r="AA98" i="12"/>
  <c r="AF98" i="12"/>
  <c r="AD94" i="12"/>
  <c r="BA94" i="12"/>
  <c r="AT29" i="12"/>
  <c r="AH94" i="12"/>
  <c r="BT94" i="12"/>
  <c r="AD98" i="12"/>
  <c r="AP98" i="12"/>
  <c r="AN98" i="12"/>
  <c r="BN94" i="12"/>
  <c r="AE94" i="12"/>
  <c r="AJ94" i="12"/>
  <c r="AF94" i="12"/>
  <c r="BI94" i="12"/>
  <c r="AC98" i="12"/>
  <c r="AI98" i="12"/>
  <c r="W98" i="12"/>
  <c r="BH12" i="12"/>
  <c r="BL94" i="12"/>
  <c r="AP12" i="12"/>
  <c r="U14" i="12"/>
  <c r="AY276" i="11"/>
  <c r="AZ276" i="11" s="1"/>
  <c r="BA276" i="11" s="1"/>
  <c r="BB276" i="11" s="1"/>
  <c r="BC276" i="11" s="1"/>
  <c r="BD276" i="11" s="1"/>
  <c r="BE276" i="11" s="1"/>
  <c r="BF276" i="11" s="1"/>
  <c r="BG276" i="11" s="1"/>
  <c r="BH276" i="11" s="1"/>
  <c r="BI276" i="11" s="1"/>
  <c r="BJ276" i="11" s="1"/>
  <c r="BK276" i="11" s="1"/>
  <c r="BL276" i="11" s="1"/>
  <c r="U95" i="12"/>
  <c r="AJ95" i="12"/>
  <c r="AB95" i="12"/>
  <c r="AA95" i="12"/>
  <c r="F28" i="12"/>
  <c r="AL28" i="12" s="1"/>
  <c r="F61" i="12"/>
  <c r="F92" i="12"/>
  <c r="F89" i="12"/>
  <c r="F11" i="12"/>
  <c r="F26" i="12"/>
  <c r="F10" i="12"/>
  <c r="F7" i="12"/>
  <c r="R7" i="12" s="1"/>
  <c r="F27" i="12"/>
  <c r="F63" i="12"/>
  <c r="F29" i="12"/>
  <c r="F91" i="12"/>
  <c r="F60" i="12"/>
  <c r="F62" i="12"/>
  <c r="F25" i="12"/>
  <c r="F93" i="12"/>
  <c r="F8" i="12"/>
  <c r="F59" i="12"/>
  <c r="F9" i="12"/>
  <c r="AP2" i="19"/>
  <c r="AA2" i="19"/>
  <c r="BT2" i="19"/>
  <c r="Y95" i="12"/>
  <c r="BN276" i="11"/>
  <c r="BO276" i="11" s="1"/>
  <c r="BP276" i="11" s="1"/>
  <c r="BQ276" i="11" s="1"/>
  <c r="BF64" i="12"/>
  <c r="AC64" i="12"/>
  <c r="AO64" i="12"/>
  <c r="E44" i="34"/>
  <c r="C44" i="34"/>
  <c r="AB31" i="12"/>
  <c r="BH31" i="12"/>
  <c r="BU31" i="12"/>
  <c r="BR31" i="12"/>
  <c r="F90" i="12"/>
  <c r="I79" i="18"/>
  <c r="I81" i="18"/>
  <c r="I80" i="18"/>
  <c r="AX392" i="11"/>
  <c r="S33" i="12"/>
  <c r="AA33" i="12"/>
  <c r="AK33" i="12"/>
  <c r="AC33" i="12"/>
  <c r="AA100" i="12"/>
  <c r="Z677" i="11"/>
  <c r="AA507" i="11" s="1"/>
  <c r="AB507" i="11" s="1"/>
  <c r="AC507" i="11" s="1"/>
  <c r="AD507" i="11" s="1"/>
  <c r="AE507" i="11" s="1"/>
  <c r="AF507" i="11" s="1"/>
  <c r="AG507" i="11" s="1"/>
  <c r="AH507" i="11" s="1"/>
  <c r="AX507" i="11"/>
  <c r="AX488" i="11"/>
  <c r="AE254" i="11"/>
  <c r="AF254" i="11" s="1"/>
  <c r="AG254" i="11" s="1"/>
  <c r="AH254" i="11" s="1"/>
  <c r="AX254" i="11"/>
  <c r="AJ254" i="11" s="1"/>
  <c r="AK254" i="11" s="1"/>
  <c r="AL254" i="11" s="1"/>
  <c r="AM254" i="11" s="1"/>
  <c r="AN254" i="11" s="1"/>
  <c r="AO254" i="11" s="1"/>
  <c r="AP254" i="11" s="1"/>
  <c r="AQ254" i="11" s="1"/>
  <c r="AR254" i="11" s="1"/>
  <c r="AS254" i="11" s="1"/>
  <c r="AT254" i="11" s="1"/>
  <c r="AU254" i="11" s="1"/>
  <c r="AV254" i="11" s="1"/>
  <c r="AW254" i="11" s="1"/>
  <c r="AB67" i="12"/>
  <c r="AI67" i="12"/>
  <c r="AF67" i="12"/>
  <c r="AL67" i="12"/>
  <c r="X67" i="12"/>
  <c r="Z67" i="12"/>
  <c r="C66" i="6"/>
  <c r="X18" i="12"/>
  <c r="I18" i="12"/>
  <c r="O18" i="12"/>
  <c r="T18" i="12"/>
  <c r="AF18" i="12"/>
  <c r="W18" i="12"/>
  <c r="AG18" i="12"/>
  <c r="M18" i="12"/>
  <c r="S18" i="12"/>
  <c r="H18" i="12"/>
  <c r="AH18" i="12"/>
  <c r="BB18" i="12" s="1"/>
  <c r="BQ18" i="12" s="1"/>
  <c r="BV18" i="12" s="1"/>
  <c r="V18" i="12"/>
  <c r="J18" i="12"/>
  <c r="Z18" i="12"/>
  <c r="Q18" i="12"/>
  <c r="P18" i="12"/>
  <c r="AD18" i="12"/>
  <c r="AQ67" i="12"/>
  <c r="Y18" i="12"/>
  <c r="Z550" i="11"/>
  <c r="AA380" i="11" s="1"/>
  <c r="AB380" i="11" s="1"/>
  <c r="AC380" i="11" s="1"/>
  <c r="AD380" i="11" s="1"/>
  <c r="AE380" i="11" s="1"/>
  <c r="AF380" i="11" s="1"/>
  <c r="AG380" i="11" s="1"/>
  <c r="AH380" i="11" s="1"/>
  <c r="AX380" i="11"/>
  <c r="F65" i="12"/>
  <c r="F97" i="12"/>
  <c r="AG97" i="12" s="1"/>
  <c r="F96" i="12"/>
  <c r="AJ6" i="19"/>
  <c r="BN6" i="19"/>
  <c r="F6" i="19"/>
  <c r="AR6" i="19"/>
  <c r="U6" i="19"/>
  <c r="BG6" i="19"/>
  <c r="P6" i="19"/>
  <c r="BP6" i="19"/>
  <c r="AI6" i="19"/>
  <c r="AE6" i="19"/>
  <c r="O6" i="19"/>
  <c r="AC18" i="12"/>
  <c r="AI267" i="11"/>
  <c r="AI269" i="11"/>
  <c r="AI376" i="11"/>
  <c r="AI490" i="11"/>
  <c r="AI374" i="11"/>
  <c r="D50" i="34"/>
  <c r="G50" i="34"/>
  <c r="F64" i="12"/>
  <c r="F12" i="12"/>
  <c r="F13" i="12"/>
  <c r="I86" i="18"/>
  <c r="B63" i="34"/>
  <c r="AI259" i="11"/>
  <c r="AI357" i="11"/>
  <c r="AI506" i="11"/>
  <c r="AI366" i="11"/>
  <c r="G89" i="12"/>
  <c r="G26" i="12"/>
  <c r="G60" i="12"/>
  <c r="G63" i="12"/>
  <c r="G62" i="12"/>
  <c r="G11" i="12"/>
  <c r="G61" i="12"/>
  <c r="G15" i="12"/>
  <c r="AH15" i="12" s="1"/>
  <c r="BB15" i="12" s="1"/>
  <c r="G65" i="12"/>
  <c r="B137" i="15"/>
  <c r="G30" i="12"/>
  <c r="G12" i="12"/>
  <c r="B281" i="15"/>
  <c r="B282" i="15"/>
  <c r="R95" i="12"/>
  <c r="AD95" i="12"/>
  <c r="BQ31" i="12"/>
  <c r="AG31" i="12"/>
  <c r="W31" i="12"/>
  <c r="B20" i="17"/>
  <c r="B21" i="17" s="1"/>
  <c r="B22" i="17" s="1"/>
  <c r="AO6" i="19"/>
  <c r="T95" i="12"/>
  <c r="AI31" i="12"/>
  <c r="AM95" i="12"/>
  <c r="BB95" i="12" s="1"/>
  <c r="BQ95" i="12" s="1"/>
  <c r="BV95" i="12" s="1"/>
  <c r="BW95" i="12" s="1"/>
  <c r="BX95" i="12" s="1"/>
  <c r="BY95" i="12" s="1"/>
  <c r="BZ95" i="12" s="1"/>
  <c r="CA95" i="12" s="1"/>
  <c r="CB95" i="12" s="1"/>
  <c r="CC95" i="12" s="1"/>
  <c r="CD95" i="12" s="1"/>
  <c r="CE95" i="12" s="1"/>
  <c r="CF95" i="12" s="1"/>
  <c r="CG95" i="12" s="1"/>
  <c r="CH95" i="12" s="1"/>
  <c r="CI95" i="12" s="1"/>
  <c r="CJ95" i="12" s="1"/>
  <c r="CK95" i="12" s="1"/>
  <c r="CL95" i="12" s="1"/>
  <c r="CM95" i="12" s="1"/>
  <c r="CN95" i="12" s="1"/>
  <c r="CO95" i="12" s="1"/>
  <c r="CP95" i="12" s="1"/>
  <c r="CQ95" i="12" s="1"/>
  <c r="CR95" i="12" s="1"/>
  <c r="CS95" i="12" s="1"/>
  <c r="CT95" i="12" s="1"/>
  <c r="CU95" i="12" s="1"/>
  <c r="CV95" i="12" s="1"/>
  <c r="CW95" i="12" s="1"/>
  <c r="CX95" i="12" s="1"/>
  <c r="CY95" i="12" s="1"/>
  <c r="CZ95" i="12" s="1"/>
  <c r="U63" i="12"/>
  <c r="AR66" i="12"/>
  <c r="AP95" i="12"/>
  <c r="AG95" i="12"/>
  <c r="O2" i="19"/>
  <c r="AZ31" i="12"/>
  <c r="X31" i="12"/>
  <c r="AL31" i="12"/>
  <c r="BB31" i="12"/>
  <c r="BI31" i="12"/>
  <c r="AQ95" i="12"/>
  <c r="AE31" i="12"/>
  <c r="W95" i="12"/>
  <c r="AN95" i="12"/>
  <c r="BE2" i="19"/>
  <c r="K2" i="19"/>
  <c r="AM93" i="12"/>
  <c r="Y31" i="12"/>
  <c r="BA8" i="19"/>
  <c r="BT31" i="12"/>
  <c r="AO95" i="12"/>
  <c r="BV31" i="12"/>
  <c r="BW31" i="12" s="1"/>
  <c r="BX31" i="12" s="1"/>
  <c r="BY31" i="12" s="1"/>
  <c r="BZ31" i="12" s="1"/>
  <c r="CA31" i="12" s="1"/>
  <c r="CB31" i="12" s="1"/>
  <c r="CC31" i="12" s="1"/>
  <c r="CD31" i="12" s="1"/>
  <c r="CE31" i="12" s="1"/>
  <c r="CF31" i="12" s="1"/>
  <c r="CG31" i="12" s="1"/>
  <c r="CH31" i="12" s="1"/>
  <c r="CI31" i="12" s="1"/>
  <c r="CJ31" i="12" s="1"/>
  <c r="CK31" i="12" s="1"/>
  <c r="CL31" i="12" s="1"/>
  <c r="CM31" i="12" s="1"/>
  <c r="CN31" i="12" s="1"/>
  <c r="CO31" i="12" s="1"/>
  <c r="CP31" i="12" s="1"/>
  <c r="CQ31" i="12" s="1"/>
  <c r="CR31" i="12" s="1"/>
  <c r="CS31" i="12" s="1"/>
  <c r="CT31" i="12" s="1"/>
  <c r="CU31" i="12" s="1"/>
  <c r="CV31" i="12" s="1"/>
  <c r="CW31" i="12" s="1"/>
  <c r="CX31" i="12" s="1"/>
  <c r="CY31" i="12" s="1"/>
  <c r="CZ31" i="12" s="1"/>
  <c r="P2" i="19"/>
  <c r="BK63" i="12"/>
  <c r="BU8" i="19"/>
  <c r="P95" i="12"/>
  <c r="AD63" i="12"/>
  <c r="N31" i="12"/>
  <c r="AU7" i="19"/>
  <c r="AA30" i="12"/>
  <c r="AD66" i="12"/>
  <c r="AN66" i="12"/>
  <c r="AC67" i="12"/>
  <c r="BQ30" i="12"/>
  <c r="AM66" i="12"/>
  <c r="BB66" i="12" s="1"/>
  <c r="BQ66" i="12" s="1"/>
  <c r="AL68" i="12"/>
  <c r="S34" i="12"/>
  <c r="P67" i="12"/>
  <c r="Y67" i="12"/>
  <c r="AB66" i="12"/>
  <c r="Z7" i="19"/>
  <c r="G7" i="19"/>
  <c r="Q7" i="19"/>
  <c r="M6" i="19"/>
  <c r="BV6" i="19"/>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CZ6" i="19" s="1"/>
  <c r="P8" i="19"/>
  <c r="AL66" i="12"/>
  <c r="AB6" i="19"/>
  <c r="E6" i="19"/>
  <c r="C22" i="24"/>
  <c r="H22" i="24" s="1"/>
  <c r="BT93" i="12"/>
  <c r="AG67" i="12"/>
  <c r="Q33" i="12"/>
  <c r="Y66" i="12"/>
  <c r="R66" i="12"/>
  <c r="AH34" i="12"/>
  <c r="AA34" i="12"/>
  <c r="W67" i="12"/>
  <c r="AR67" i="12"/>
  <c r="AJ66" i="12"/>
  <c r="AI66" i="12"/>
  <c r="AD67" i="12"/>
  <c r="V7" i="19"/>
  <c r="AQ6" i="19"/>
  <c r="AD6" i="19"/>
  <c r="K8" i="19"/>
  <c r="F8" i="19"/>
  <c r="X68" i="12"/>
  <c r="BO6" i="19"/>
  <c r="BM6" i="19"/>
  <c r="BR30" i="12"/>
  <c r="BE6" i="19"/>
  <c r="J8" i="19"/>
  <c r="BJ8" i="19"/>
  <c r="BN7" i="19"/>
  <c r="AQ7" i="19"/>
  <c r="BP7" i="19"/>
  <c r="AG66" i="12"/>
  <c r="Z66" i="12"/>
  <c r="Y34" i="12"/>
  <c r="AI34" i="12"/>
  <c r="U67" i="12"/>
  <c r="AJ67" i="12"/>
  <c r="R67" i="12"/>
  <c r="U66" i="12"/>
  <c r="AK66" i="12"/>
  <c r="BF6" i="19"/>
  <c r="BD6" i="19"/>
  <c r="S7" i="19"/>
  <c r="AG8" i="19"/>
  <c r="AZ8" i="19"/>
  <c r="AS8" i="19"/>
  <c r="AH30" i="12"/>
  <c r="T6" i="19"/>
  <c r="AE65" i="15"/>
  <c r="K186" i="15"/>
  <c r="C186" i="15"/>
  <c r="J186" i="15"/>
  <c r="I186" i="15"/>
  <c r="H186" i="15"/>
  <c r="N186" i="15"/>
  <c r="F186" i="15"/>
  <c r="L186" i="15"/>
  <c r="D186" i="15"/>
  <c r="G186" i="15"/>
  <c r="M186" i="15"/>
  <c r="E186" i="15"/>
  <c r="W66" i="12"/>
  <c r="AE66" i="12"/>
  <c r="AK67" i="12"/>
  <c r="E8" i="19"/>
  <c r="AO66" i="12"/>
  <c r="AH66" i="12"/>
  <c r="Y99" i="12"/>
  <c r="AG34" i="12"/>
  <c r="AJ34" i="12"/>
  <c r="AH67" i="12"/>
  <c r="X66" i="12"/>
  <c r="V6" i="19"/>
  <c r="Z6" i="19"/>
  <c r="X8" i="19"/>
  <c r="D87" i="119"/>
  <c r="D90" i="119"/>
  <c r="B32" i="34"/>
  <c r="E32" i="34" s="1"/>
  <c r="D38" i="34"/>
  <c r="D40" i="34"/>
  <c r="P138" i="15"/>
  <c r="H34" i="34"/>
  <c r="G34" i="34"/>
  <c r="Q138" i="15"/>
  <c r="B68" i="34"/>
  <c r="C68" i="34" s="1"/>
  <c r="G39" i="34"/>
  <c r="H39" i="34"/>
  <c r="B102" i="34"/>
  <c r="E102" i="34" s="1"/>
  <c r="E39" i="34"/>
  <c r="B117" i="34"/>
  <c r="D39" i="34"/>
  <c r="H35" i="34"/>
  <c r="C38" i="34"/>
  <c r="E47" i="34"/>
  <c r="C47" i="34" s="1"/>
  <c r="D47" i="34" s="1"/>
  <c r="B67" i="34"/>
  <c r="G38" i="34"/>
  <c r="G47" i="34"/>
  <c r="B98" i="34"/>
  <c r="B64" i="34"/>
  <c r="BL29" i="12"/>
  <c r="AO29" i="12"/>
  <c r="R29" i="12"/>
  <c r="Q29" i="12"/>
  <c r="AK29" i="12"/>
  <c r="AJ29" i="12"/>
  <c r="AQ29" i="12"/>
  <c r="AP29" i="12"/>
  <c r="S29" i="12"/>
  <c r="BN29" i="12"/>
  <c r="AB68" i="12"/>
  <c r="T68" i="12"/>
  <c r="N68" i="12"/>
  <c r="AC68" i="12"/>
  <c r="AG68" i="12"/>
  <c r="W68" i="12"/>
  <c r="AD68" i="12"/>
  <c r="Q68" i="12"/>
  <c r="AF68" i="12"/>
  <c r="AK30" i="12"/>
  <c r="AI30" i="12"/>
  <c r="BP30" i="12"/>
  <c r="BA30" i="12"/>
  <c r="Z30" i="12"/>
  <c r="BU30" i="12"/>
  <c r="AN30" i="12"/>
  <c r="BE30" i="12"/>
  <c r="V30" i="12"/>
  <c r="BL30" i="12"/>
  <c r="T30" i="12"/>
  <c r="Q30" i="12"/>
  <c r="BN30" i="12"/>
  <c r="AF30" i="12"/>
  <c r="AW30" i="12"/>
  <c r="X30" i="12"/>
  <c r="AE30" i="12"/>
  <c r="P30" i="12"/>
  <c r="AW7" i="19"/>
  <c r="H7" i="19"/>
  <c r="AB7" i="19"/>
  <c r="AA7" i="19"/>
  <c r="W7" i="19"/>
  <c r="AP7" i="19"/>
  <c r="AO7" i="19"/>
  <c r="AI7" i="19"/>
  <c r="BC7" i="19"/>
  <c r="I7" i="19"/>
  <c r="BH7" i="19"/>
  <c r="AT7" i="19"/>
  <c r="L7" i="19"/>
  <c r="BE7" i="19"/>
  <c r="AC7" i="19"/>
  <c r="AD7" i="19"/>
  <c r="BS7" i="19"/>
  <c r="BK7" i="19"/>
  <c r="AX7" i="19"/>
  <c r="BB7" i="19"/>
  <c r="AN7" i="19"/>
  <c r="BQ7" i="19"/>
  <c r="P7" i="19"/>
  <c r="X7" i="19"/>
  <c r="BQ14" i="12"/>
  <c r="BL14" i="12"/>
  <c r="BB14" i="12"/>
  <c r="BJ14" i="12"/>
  <c r="M14" i="12"/>
  <c r="S68" i="12"/>
  <c r="BT7" i="19"/>
  <c r="O29" i="12"/>
  <c r="Y30" i="12"/>
  <c r="W100" i="12"/>
  <c r="S100" i="12"/>
  <c r="U100" i="12"/>
  <c r="V68" i="12"/>
  <c r="AO68" i="12"/>
  <c r="AK14" i="12"/>
  <c r="U7" i="19"/>
  <c r="BO30" i="12"/>
  <c r="AC11" i="12"/>
  <c r="V11" i="12"/>
  <c r="O68" i="12"/>
  <c r="E7" i="19"/>
  <c r="R68" i="12"/>
  <c r="BK30" i="12"/>
  <c r="AO30" i="12"/>
  <c r="AA63" i="12"/>
  <c r="V63" i="12"/>
  <c r="BD63" i="12"/>
  <c r="AV63" i="12"/>
  <c r="AJ63" i="12"/>
  <c r="BM63" i="12"/>
  <c r="AN64" i="12"/>
  <c r="AB64" i="12"/>
  <c r="BE64" i="12"/>
  <c r="F4" i="19"/>
  <c r="AU4" i="19"/>
  <c r="AW4" i="19"/>
  <c r="BM4" i="19"/>
  <c r="BA4" i="19"/>
  <c r="AC4" i="19"/>
  <c r="AV4" i="19"/>
  <c r="BC4" i="19"/>
  <c r="S16" i="12"/>
  <c r="V16" i="12"/>
  <c r="L16" i="12"/>
  <c r="X16" i="12"/>
  <c r="T16" i="12"/>
  <c r="B37" i="34"/>
  <c r="B100" i="34" s="1"/>
  <c r="F137" i="15"/>
  <c r="F138" i="15"/>
  <c r="Q16" i="12"/>
  <c r="AD29" i="12"/>
  <c r="BB30" i="12"/>
  <c r="D46" i="35"/>
  <c r="F46" i="35" s="1"/>
  <c r="C24" i="24"/>
  <c r="H24" i="24" s="1"/>
  <c r="AJ68" i="12"/>
  <c r="D94" i="6"/>
  <c r="E94" i="6" s="1"/>
  <c r="A49" i="14"/>
  <c r="B49" i="14" s="1"/>
  <c r="E49" i="14" s="1"/>
  <c r="AM68" i="12"/>
  <c r="BB68" i="12" s="1"/>
  <c r="O7" i="19"/>
  <c r="BM7" i="19"/>
  <c r="R7" i="19"/>
  <c r="BF30" i="12"/>
  <c r="BH30" i="12"/>
  <c r="AF12" i="12"/>
  <c r="AE17" i="12"/>
  <c r="Z17" i="12"/>
  <c r="Y6" i="19"/>
  <c r="AF6" i="19"/>
  <c r="BB6" i="19"/>
  <c r="BQ6" i="19"/>
  <c r="BG12" i="12"/>
  <c r="AM6" i="19"/>
  <c r="K12" i="12"/>
  <c r="N12" i="12"/>
  <c r="AC6" i="19"/>
  <c r="BA6" i="19"/>
  <c r="AN6" i="19"/>
  <c r="BK6" i="19"/>
  <c r="Q12" i="12"/>
  <c r="AP6" i="19"/>
  <c r="N6" i="19"/>
  <c r="AU12" i="12"/>
  <c r="BK12" i="12"/>
  <c r="H6" i="19"/>
  <c r="BL6" i="19"/>
  <c r="BT6" i="19"/>
  <c r="AT6" i="19"/>
  <c r="Q6" i="19"/>
  <c r="AV6" i="19"/>
  <c r="BE12" i="12"/>
  <c r="B112" i="34"/>
  <c r="E34" i="34"/>
  <c r="AF14" i="12"/>
  <c r="AU14" i="12"/>
  <c r="AT14" i="12"/>
  <c r="AM14" i="12"/>
  <c r="AX14" i="12"/>
  <c r="W14" i="12"/>
  <c r="AC14" i="12"/>
  <c r="BK14" i="12"/>
  <c r="Y14" i="12"/>
  <c r="AW14" i="12"/>
  <c r="BT14" i="12"/>
  <c r="Z14" i="12"/>
  <c r="BG14" i="12"/>
  <c r="BI14" i="12"/>
  <c r="L14" i="12"/>
  <c r="BE14" i="12"/>
  <c r="AH14" i="12"/>
  <c r="AP14" i="12"/>
  <c r="BA14" i="12"/>
  <c r="AI14" i="12"/>
  <c r="K14" i="12"/>
  <c r="N14" i="12"/>
  <c r="BM14" i="12"/>
  <c r="BN14" i="12"/>
  <c r="BH14" i="12"/>
  <c r="BC14" i="12"/>
  <c r="AS14" i="12"/>
  <c r="AY14" i="12"/>
  <c r="AG14" i="12"/>
  <c r="J14" i="12"/>
  <c r="V14" i="12"/>
  <c r="I14" i="12"/>
  <c r="BP14" i="12"/>
  <c r="H14" i="12"/>
  <c r="BR14" i="12"/>
  <c r="AN14" i="12"/>
  <c r="AK11" i="12"/>
  <c r="AQ64" i="12"/>
  <c r="AV14" i="12"/>
  <c r="AW11" i="12"/>
  <c r="AE14" i="12"/>
  <c r="BP64" i="12"/>
  <c r="AO33" i="12"/>
  <c r="U33" i="12"/>
  <c r="AJ33" i="12"/>
  <c r="AD33" i="12"/>
  <c r="AF33" i="12"/>
  <c r="AE33" i="12"/>
  <c r="N33" i="12"/>
  <c r="Z33" i="12"/>
  <c r="P33" i="12"/>
  <c r="AR33" i="12"/>
  <c r="V33" i="12"/>
  <c r="AP33" i="12"/>
  <c r="AH33" i="12"/>
  <c r="AB33" i="12"/>
  <c r="AG33" i="12"/>
  <c r="T33" i="12"/>
  <c r="AN33" i="12"/>
  <c r="X33" i="12"/>
  <c r="AL33" i="12"/>
  <c r="T9" i="12"/>
  <c r="AF9" i="12"/>
  <c r="X14" i="12"/>
  <c r="R33" i="12"/>
  <c r="AI33" i="12"/>
  <c r="BK11" i="12"/>
  <c r="BI11" i="12"/>
  <c r="BR11" i="12"/>
  <c r="BT64" i="12"/>
  <c r="AD14" i="12"/>
  <c r="E4" i="19"/>
  <c r="AH63" i="12"/>
  <c r="AB63" i="12"/>
  <c r="S63" i="12"/>
  <c r="BN63" i="12"/>
  <c r="BS63" i="12"/>
  <c r="AZ63" i="12"/>
  <c r="BH63" i="12"/>
  <c r="AE63" i="12"/>
  <c r="BI63" i="12"/>
  <c r="BE63" i="12"/>
  <c r="W63" i="12"/>
  <c r="BL63" i="12"/>
  <c r="P63" i="12"/>
  <c r="AP63" i="12"/>
  <c r="BQ63" i="12"/>
  <c r="Q63" i="12"/>
  <c r="Z63" i="12"/>
  <c r="X63" i="12"/>
  <c r="AQ63" i="12"/>
  <c r="BC63" i="12"/>
  <c r="AM63" i="12"/>
  <c r="AY63" i="12"/>
  <c r="BP63" i="12"/>
  <c r="AF63" i="12"/>
  <c r="AL63" i="12"/>
  <c r="Y63" i="12"/>
  <c r="T63" i="12"/>
  <c r="O5" i="19"/>
  <c r="AG5" i="19"/>
  <c r="BE5" i="19"/>
  <c r="X5" i="19"/>
  <c r="AM5" i="19"/>
  <c r="BF5" i="19"/>
  <c r="AQ5" i="19"/>
  <c r="AN5" i="19"/>
  <c r="AD5" i="19"/>
  <c r="R5" i="19"/>
  <c r="AY5" i="19"/>
  <c r="BV5" i="19"/>
  <c r="BW5" i="19" s="1"/>
  <c r="BX5" i="19" s="1"/>
  <c r="BY5" i="19" s="1"/>
  <c r="BZ5" i="19" s="1"/>
  <c r="CA5" i="19" s="1"/>
  <c r="CB5" i="19" s="1"/>
  <c r="CC5" i="19" s="1"/>
  <c r="CD5" i="19" s="1"/>
  <c r="CE5" i="19" s="1"/>
  <c r="CF5" i="19" s="1"/>
  <c r="CG5" i="19" s="1"/>
  <c r="CH5" i="19" s="1"/>
  <c r="CI5" i="19" s="1"/>
  <c r="CJ5" i="19" s="1"/>
  <c r="CK5" i="19" s="1"/>
  <c r="CL5" i="19" s="1"/>
  <c r="CM5" i="19" s="1"/>
  <c r="CN5" i="19" s="1"/>
  <c r="CO5" i="19" s="1"/>
  <c r="CP5" i="19" s="1"/>
  <c r="CQ5" i="19" s="1"/>
  <c r="CR5" i="19" s="1"/>
  <c r="CS5" i="19" s="1"/>
  <c r="CT5" i="19" s="1"/>
  <c r="CU5" i="19" s="1"/>
  <c r="CV5" i="19" s="1"/>
  <c r="CW5" i="19" s="1"/>
  <c r="CX5" i="19" s="1"/>
  <c r="CY5" i="19" s="1"/>
  <c r="CZ5" i="19" s="1"/>
  <c r="BD5" i="19"/>
  <c r="M5" i="19"/>
  <c r="H5" i="19"/>
  <c r="AO5" i="19"/>
  <c r="BP5" i="19"/>
  <c r="AP5" i="19"/>
  <c r="D105" i="6"/>
  <c r="BS14" i="12"/>
  <c r="AY64" i="12"/>
  <c r="AR64" i="12"/>
  <c r="BD64" i="12"/>
  <c r="AF64" i="12"/>
  <c r="Q64" i="12"/>
  <c r="AX64" i="12"/>
  <c r="AD64" i="12"/>
  <c r="AM64" i="12"/>
  <c r="AT64" i="12"/>
  <c r="BR64" i="12"/>
  <c r="AE64" i="12"/>
  <c r="U64" i="12"/>
  <c r="AW64" i="12"/>
  <c r="AU64" i="12"/>
  <c r="S64" i="12"/>
  <c r="AS64" i="12"/>
  <c r="BI64" i="12"/>
  <c r="X64" i="12"/>
  <c r="V64" i="12"/>
  <c r="BB64" i="12"/>
  <c r="AH64" i="12"/>
  <c r="T64" i="12"/>
  <c r="AA64" i="12"/>
  <c r="BG64" i="12"/>
  <c r="W64" i="12"/>
  <c r="BC64" i="12"/>
  <c r="O64" i="12"/>
  <c r="AL14" i="12"/>
  <c r="Y33" i="12"/>
  <c r="Q11" i="12"/>
  <c r="AK64" i="12"/>
  <c r="Z64" i="12"/>
  <c r="BF14" i="12"/>
  <c r="AR14" i="12"/>
  <c r="O33" i="12"/>
  <c r="AM33" i="12"/>
  <c r="BB33" i="12" s="1"/>
  <c r="AZ14" i="12"/>
  <c r="BL64" i="12"/>
  <c r="AO14" i="12"/>
  <c r="BV64" i="12"/>
  <c r="BW64" i="12" s="1"/>
  <c r="BX64" i="12" s="1"/>
  <c r="BY64" i="12" s="1"/>
  <c r="BZ64" i="12" s="1"/>
  <c r="CA64" i="12" s="1"/>
  <c r="CB64" i="12" s="1"/>
  <c r="CC64" i="12" s="1"/>
  <c r="CD64" i="12" s="1"/>
  <c r="CE64" i="12" s="1"/>
  <c r="CF64" i="12" s="1"/>
  <c r="CG64" i="12" s="1"/>
  <c r="CH64" i="12" s="1"/>
  <c r="CI64" i="12" s="1"/>
  <c r="CJ64" i="12" s="1"/>
  <c r="CK64" i="12" s="1"/>
  <c r="CL64" i="12" s="1"/>
  <c r="CM64" i="12" s="1"/>
  <c r="CN64" i="12" s="1"/>
  <c r="CO64" i="12" s="1"/>
  <c r="CP64" i="12" s="1"/>
  <c r="CQ64" i="12" s="1"/>
  <c r="CR64" i="12" s="1"/>
  <c r="CS64" i="12" s="1"/>
  <c r="CT64" i="12" s="1"/>
  <c r="CU64" i="12" s="1"/>
  <c r="CV64" i="12" s="1"/>
  <c r="CW64" i="12" s="1"/>
  <c r="CX64" i="12" s="1"/>
  <c r="CY64" i="12" s="1"/>
  <c r="CZ64" i="12" s="1"/>
  <c r="S67" i="12"/>
  <c r="N67" i="12"/>
  <c r="AM67" i="12"/>
  <c r="BB67" i="12" s="1"/>
  <c r="BQ67" i="12" s="1"/>
  <c r="BV67" i="12" s="1"/>
  <c r="BW67" i="12" s="1"/>
  <c r="BX67" i="12" s="1"/>
  <c r="BY67" i="12" s="1"/>
  <c r="BZ67" i="12" s="1"/>
  <c r="CA67" i="12" s="1"/>
  <c r="CB67" i="12" s="1"/>
  <c r="CC67" i="12" s="1"/>
  <c r="CD67" i="12" s="1"/>
  <c r="CE67" i="12" s="1"/>
  <c r="CF67" i="12" s="1"/>
  <c r="CG67" i="12" s="1"/>
  <c r="CH67" i="12" s="1"/>
  <c r="CI67" i="12" s="1"/>
  <c r="CJ67" i="12" s="1"/>
  <c r="CK67" i="12" s="1"/>
  <c r="CL67" i="12" s="1"/>
  <c r="CM67" i="12" s="1"/>
  <c r="CN67" i="12" s="1"/>
  <c r="CO67" i="12" s="1"/>
  <c r="CP67" i="12" s="1"/>
  <c r="CQ67" i="12" s="1"/>
  <c r="CR67" i="12" s="1"/>
  <c r="CS67" i="12" s="1"/>
  <c r="CT67" i="12" s="1"/>
  <c r="CU67" i="12" s="1"/>
  <c r="CV67" i="12" s="1"/>
  <c r="CW67" i="12" s="1"/>
  <c r="CX67" i="12" s="1"/>
  <c r="CY67" i="12" s="1"/>
  <c r="CZ67" i="12" s="1"/>
  <c r="O67" i="12"/>
  <c r="AA67" i="12"/>
  <c r="Q67" i="12"/>
  <c r="V67" i="12"/>
  <c r="T67" i="12"/>
  <c r="AO67" i="12"/>
  <c r="AP67" i="12"/>
  <c r="AN67" i="12"/>
  <c r="AJ93" i="12"/>
  <c r="BH93" i="12"/>
  <c r="AU93" i="12"/>
  <c r="AK93" i="12"/>
  <c r="AP93" i="12"/>
  <c r="AA93" i="12"/>
  <c r="AR93" i="12"/>
  <c r="AZ93" i="12"/>
  <c r="AT93" i="12"/>
  <c r="AY2" i="19"/>
  <c r="BS2" i="19"/>
  <c r="AI2" i="19"/>
  <c r="AJ2" i="19"/>
  <c r="AV2" i="19"/>
  <c r="F2" i="19"/>
  <c r="AX2" i="19"/>
  <c r="AH2" i="19"/>
  <c r="J2" i="19"/>
  <c r="BL31" i="12"/>
  <c r="AV31" i="12"/>
  <c r="BF31" i="12"/>
  <c r="U31" i="12"/>
  <c r="BA31" i="12"/>
  <c r="AP31" i="12"/>
  <c r="AH31" i="12"/>
  <c r="BP31" i="12"/>
  <c r="AY31" i="12"/>
  <c r="BO31" i="12"/>
  <c r="AR31" i="12"/>
  <c r="AT31" i="12"/>
  <c r="V31" i="12"/>
  <c r="AS31" i="12"/>
  <c r="AM31" i="12"/>
  <c r="AJ31" i="12"/>
  <c r="BS31" i="12"/>
  <c r="BD31" i="12"/>
  <c r="AF31" i="12"/>
  <c r="AA31" i="12"/>
  <c r="AU31" i="12"/>
  <c r="AC31" i="12"/>
  <c r="BE31" i="12"/>
  <c r="AN31" i="12"/>
  <c r="BK31" i="12"/>
  <c r="BC31" i="12"/>
  <c r="AD31" i="12"/>
  <c r="AW31" i="12"/>
  <c r="BM31" i="12"/>
  <c r="AQ14" i="12"/>
  <c r="BV14" i="12"/>
  <c r="BW14" i="12" s="1"/>
  <c r="BX14" i="12" s="1"/>
  <c r="BY14" i="12" s="1"/>
  <c r="BZ14" i="12" s="1"/>
  <c r="CA14" i="12" s="1"/>
  <c r="CB14" i="12" s="1"/>
  <c r="CC14" i="12" s="1"/>
  <c r="CD14" i="12" s="1"/>
  <c r="CE14" i="12" s="1"/>
  <c r="CF14" i="12" s="1"/>
  <c r="CG14" i="12" s="1"/>
  <c r="CH14" i="12" s="1"/>
  <c r="CI14" i="12" s="1"/>
  <c r="CJ14" i="12" s="1"/>
  <c r="CK14" i="12" s="1"/>
  <c r="CL14" i="12" s="1"/>
  <c r="CM14" i="12" s="1"/>
  <c r="CN14" i="12" s="1"/>
  <c r="CO14" i="12" s="1"/>
  <c r="CP14" i="12" s="1"/>
  <c r="CQ14" i="12" s="1"/>
  <c r="CR14" i="12" s="1"/>
  <c r="CS14" i="12" s="1"/>
  <c r="CT14" i="12" s="1"/>
  <c r="CU14" i="12" s="1"/>
  <c r="CV14" i="12" s="1"/>
  <c r="CW14" i="12" s="1"/>
  <c r="CX14" i="12" s="1"/>
  <c r="CY14" i="12" s="1"/>
  <c r="CZ14" i="12" s="1"/>
  <c r="AA14" i="12"/>
  <c r="AX4" i="19"/>
  <c r="AK4" i="19"/>
  <c r="AQ4" i="19"/>
  <c r="J4" i="19"/>
  <c r="BL4" i="19"/>
  <c r="BU4" i="19"/>
  <c r="P4" i="19"/>
  <c r="I4" i="19"/>
  <c r="Q4" i="19"/>
  <c r="BI4" i="19"/>
  <c r="AE4" i="19"/>
  <c r="L4" i="19"/>
  <c r="AZ4" i="19"/>
  <c r="AO4" i="19"/>
  <c r="N4" i="19"/>
  <c r="BQ4" i="19"/>
  <c r="BK4" i="19"/>
  <c r="K4" i="19"/>
  <c r="BO4" i="19"/>
  <c r="U4" i="19"/>
  <c r="X4" i="19"/>
  <c r="AR11" i="12"/>
  <c r="AT11" i="12"/>
  <c r="M11" i="12"/>
  <c r="AA11" i="12"/>
  <c r="BS11" i="12"/>
  <c r="R11" i="12"/>
  <c r="BV11" i="12"/>
  <c r="BW11" i="12" s="1"/>
  <c r="BX11" i="12" s="1"/>
  <c r="BY11" i="12" s="1"/>
  <c r="BZ11" i="12" s="1"/>
  <c r="CA11" i="12" s="1"/>
  <c r="CB11" i="12" s="1"/>
  <c r="CC11" i="12" s="1"/>
  <c r="CD11" i="12" s="1"/>
  <c r="CE11" i="12" s="1"/>
  <c r="CF11" i="12" s="1"/>
  <c r="CG11" i="12" s="1"/>
  <c r="CH11" i="12" s="1"/>
  <c r="CI11" i="12" s="1"/>
  <c r="CJ11" i="12" s="1"/>
  <c r="CK11" i="12" s="1"/>
  <c r="CL11" i="12" s="1"/>
  <c r="CM11" i="12" s="1"/>
  <c r="CN11" i="12" s="1"/>
  <c r="CO11" i="12" s="1"/>
  <c r="CP11" i="12" s="1"/>
  <c r="CQ11" i="12" s="1"/>
  <c r="CR11" i="12" s="1"/>
  <c r="CS11" i="12" s="1"/>
  <c r="CT11" i="12" s="1"/>
  <c r="CU11" i="12" s="1"/>
  <c r="CV11" i="12" s="1"/>
  <c r="CW11" i="12" s="1"/>
  <c r="CX11" i="12" s="1"/>
  <c r="CY11" i="12" s="1"/>
  <c r="CZ11" i="12" s="1"/>
  <c r="AI11" i="12"/>
  <c r="AU11" i="12"/>
  <c r="AD11" i="12"/>
  <c r="AM11" i="12"/>
  <c r="AO11" i="12"/>
  <c r="BG11" i="12"/>
  <c r="BF11" i="12"/>
  <c r="BC11" i="12"/>
  <c r="BO11" i="12"/>
  <c r="AQ33" i="12"/>
  <c r="T11" i="12"/>
  <c r="BU14" i="12"/>
  <c r="AB14" i="12"/>
  <c r="W33" i="12"/>
  <c r="AJ14" i="12"/>
  <c r="R64" i="12"/>
  <c r="BG63" i="12"/>
  <c r="BI5" i="19"/>
  <c r="BO14" i="12"/>
  <c r="AE67" i="12"/>
  <c r="BU63" i="12"/>
  <c r="AS4" i="19"/>
  <c r="BG4" i="19"/>
  <c r="W4" i="19"/>
  <c r="D96" i="6"/>
  <c r="E96" i="6" s="1"/>
  <c r="D92" i="6"/>
  <c r="C21" i="24"/>
  <c r="H21" i="24" s="1"/>
  <c r="D95" i="6"/>
  <c r="Q34" i="12"/>
  <c r="T34" i="12"/>
  <c r="T12" i="12"/>
  <c r="BO12" i="12"/>
  <c r="AJ12" i="12"/>
  <c r="O34" i="12"/>
  <c r="AM29" i="12"/>
  <c r="AA29" i="12"/>
  <c r="BM29" i="12"/>
  <c r="BO29" i="12"/>
  <c r="AC66" i="12"/>
  <c r="V66" i="12"/>
  <c r="N66" i="12"/>
  <c r="Q66" i="12"/>
  <c r="AA66" i="12"/>
  <c r="AQ66" i="12"/>
  <c r="AF66" i="12"/>
  <c r="AH95" i="12"/>
  <c r="X95" i="12"/>
  <c r="AI95" i="12"/>
  <c r="Z95" i="12"/>
  <c r="AC95" i="12"/>
  <c r="V95" i="12"/>
  <c r="AF95" i="12"/>
  <c r="S95" i="12"/>
  <c r="AR95" i="12"/>
  <c r="O95" i="12"/>
  <c r="AE95" i="12"/>
  <c r="Q95" i="12"/>
  <c r="AF3" i="19"/>
  <c r="BG3" i="19"/>
  <c r="AZ3" i="19"/>
  <c r="X35" i="12"/>
  <c r="AD35" i="12"/>
  <c r="AM35" i="12"/>
  <c r="BB35" i="12" s="1"/>
  <c r="BQ35" i="12" s="1"/>
  <c r="AX29" i="12"/>
  <c r="AF29" i="12"/>
  <c r="BP29" i="12"/>
  <c r="AL29" i="12"/>
  <c r="BC29" i="12"/>
  <c r="BJ29" i="12"/>
  <c r="W29" i="12"/>
  <c r="BD29" i="12"/>
  <c r="BH29" i="12"/>
  <c r="AC29" i="12"/>
  <c r="AZ29" i="12"/>
  <c r="BI29" i="12"/>
  <c r="AR29" i="12"/>
  <c r="U29" i="12"/>
  <c r="AS29" i="12"/>
  <c r="AT12" i="12"/>
  <c r="S12" i="12"/>
  <c r="U12" i="12"/>
  <c r="W12" i="12"/>
  <c r="AC12" i="12"/>
  <c r="X12" i="12"/>
  <c r="AA12" i="12"/>
  <c r="BB12" i="12"/>
  <c r="AS12" i="12"/>
  <c r="AW12" i="12"/>
  <c r="BA12" i="12"/>
  <c r="BI12" i="12"/>
  <c r="BF12" i="12"/>
  <c r="BR12" i="12"/>
  <c r="R12" i="12"/>
  <c r="BM12" i="12"/>
  <c r="AK12" i="12"/>
  <c r="AZ12" i="12"/>
  <c r="AX12" i="12"/>
  <c r="AV12" i="12"/>
  <c r="AR12" i="12"/>
  <c r="AH17" i="12"/>
  <c r="BB17" i="12" s="1"/>
  <c r="BQ17" i="12" s="1"/>
  <c r="H17" i="12"/>
  <c r="P17" i="12"/>
  <c r="L17" i="12"/>
  <c r="AG17" i="12"/>
  <c r="AR34" i="12"/>
  <c r="V34" i="12"/>
  <c r="BS12" i="12"/>
  <c r="AH12" i="12"/>
  <c r="S17" i="12"/>
  <c r="BD12" i="12"/>
  <c r="V12" i="12"/>
  <c r="O17" i="12"/>
  <c r="X34" i="12"/>
  <c r="AI29" i="12"/>
  <c r="BB29" i="12"/>
  <c r="AD12" i="12"/>
  <c r="BT29" i="12"/>
  <c r="AY29" i="12"/>
  <c r="BS29" i="12"/>
  <c r="J7" i="19"/>
  <c r="AK7" i="19"/>
  <c r="BD7" i="19"/>
  <c r="AE7" i="19"/>
  <c r="F7" i="19"/>
  <c r="AZ7" i="19"/>
  <c r="AS7" i="19"/>
  <c r="AJ7" i="19"/>
  <c r="BF7" i="19"/>
  <c r="AR7" i="19"/>
  <c r="AH7" i="19"/>
  <c r="BA7" i="19"/>
  <c r="BU7" i="19"/>
  <c r="BO7" i="19"/>
  <c r="AL7" i="19"/>
  <c r="N7" i="19"/>
  <c r="AV7" i="19"/>
  <c r="BR7" i="19"/>
  <c r="AM7" i="19"/>
  <c r="BI7" i="19"/>
  <c r="BJ7" i="19"/>
  <c r="BV7" i="19"/>
  <c r="BW7" i="19" s="1"/>
  <c r="BX7" i="19" s="1"/>
  <c r="BY7" i="19" s="1"/>
  <c r="BZ7" i="19" s="1"/>
  <c r="CA7" i="19" s="1"/>
  <c r="CB7" i="19" s="1"/>
  <c r="CC7" i="19" s="1"/>
  <c r="CD7" i="19" s="1"/>
  <c r="CE7" i="19" s="1"/>
  <c r="CF7" i="19" s="1"/>
  <c r="CG7" i="19" s="1"/>
  <c r="CH7" i="19" s="1"/>
  <c r="CI7" i="19" s="1"/>
  <c r="CJ7" i="19" s="1"/>
  <c r="CK7" i="19" s="1"/>
  <c r="CL7" i="19" s="1"/>
  <c r="CM7" i="19" s="1"/>
  <c r="CN7" i="19" s="1"/>
  <c r="CO7" i="19" s="1"/>
  <c r="CP7" i="19" s="1"/>
  <c r="CQ7" i="19" s="1"/>
  <c r="CR7" i="19" s="1"/>
  <c r="CS7" i="19" s="1"/>
  <c r="CT7" i="19" s="1"/>
  <c r="CU7" i="19" s="1"/>
  <c r="CV7" i="19" s="1"/>
  <c r="CW7" i="19" s="1"/>
  <c r="CX7" i="19" s="1"/>
  <c r="CY7" i="19" s="1"/>
  <c r="CZ7" i="19" s="1"/>
  <c r="T7" i="19"/>
  <c r="C146" i="6"/>
  <c r="I17" i="12"/>
  <c r="Z34" i="12"/>
  <c r="AM12" i="12"/>
  <c r="BN12" i="12"/>
  <c r="K17" i="12"/>
  <c r="T66" i="12"/>
  <c r="H12" i="12"/>
  <c r="M12" i="12"/>
  <c r="D97" i="6"/>
  <c r="E97" i="6" s="1"/>
  <c r="AL95" i="12"/>
  <c r="AK95" i="12"/>
  <c r="BE29" i="12"/>
  <c r="BG29" i="12"/>
  <c r="J12" i="12"/>
  <c r="M7" i="19"/>
  <c r="AQ12" i="12"/>
  <c r="AH29" i="12"/>
  <c r="AA56" i="15"/>
  <c r="Y56" i="15"/>
  <c r="AP3" i="19"/>
  <c r="L3" i="19"/>
  <c r="BB3" i="19"/>
  <c r="V3" i="19"/>
  <c r="AJ3" i="19"/>
  <c r="BF3" i="19"/>
  <c r="BN3" i="19"/>
  <c r="BL3" i="19"/>
  <c r="AB3" i="19"/>
  <c r="N3" i="19"/>
  <c r="AR3" i="19"/>
  <c r="AI3" i="19"/>
  <c r="AU3" i="19"/>
  <c r="AL3" i="19"/>
  <c r="BR3" i="19"/>
  <c r="AE3" i="19"/>
  <c r="BI3" i="19"/>
  <c r="AK3" i="19"/>
  <c r="BC3" i="19"/>
  <c r="Y3" i="19"/>
  <c r="U3" i="19"/>
  <c r="Z3" i="19"/>
  <c r="I3" i="19"/>
  <c r="BA3" i="19"/>
  <c r="AQ3" i="19"/>
  <c r="J3" i="19"/>
  <c r="W3" i="19"/>
  <c r="AS3" i="19"/>
  <c r="BV3" i="19"/>
  <c r="BW3" i="19" s="1"/>
  <c r="BX3" i="19" s="1"/>
  <c r="BY3" i="19" s="1"/>
  <c r="BZ3" i="19" s="1"/>
  <c r="CA3" i="19" s="1"/>
  <c r="CB3" i="19" s="1"/>
  <c r="CC3" i="19" s="1"/>
  <c r="CD3" i="19" s="1"/>
  <c r="CE3" i="19" s="1"/>
  <c r="CF3" i="19" s="1"/>
  <c r="CG3" i="19" s="1"/>
  <c r="CH3" i="19" s="1"/>
  <c r="CI3" i="19" s="1"/>
  <c r="CJ3" i="19" s="1"/>
  <c r="CK3" i="19" s="1"/>
  <c r="CL3" i="19" s="1"/>
  <c r="CM3" i="19" s="1"/>
  <c r="CN3" i="19" s="1"/>
  <c r="CO3" i="19" s="1"/>
  <c r="CP3" i="19" s="1"/>
  <c r="CQ3" i="19" s="1"/>
  <c r="CR3" i="19" s="1"/>
  <c r="CS3" i="19" s="1"/>
  <c r="CT3" i="19" s="1"/>
  <c r="CU3" i="19" s="1"/>
  <c r="CV3" i="19" s="1"/>
  <c r="CW3" i="19" s="1"/>
  <c r="CX3" i="19" s="1"/>
  <c r="CY3" i="19" s="1"/>
  <c r="CZ3" i="19" s="1"/>
  <c r="BP3" i="19"/>
  <c r="AX3" i="19"/>
  <c r="AC3" i="19"/>
  <c r="BO3" i="19"/>
  <c r="BU3" i="19"/>
  <c r="BJ3" i="19"/>
  <c r="BD3" i="19"/>
  <c r="BQ3" i="19"/>
  <c r="AW3" i="19"/>
  <c r="AM3" i="19"/>
  <c r="H3" i="19"/>
  <c r="X3" i="19"/>
  <c r="AO3" i="19"/>
  <c r="AY3" i="19"/>
  <c r="BK3" i="19"/>
  <c r="AV3" i="19"/>
  <c r="T3" i="19"/>
  <c r="BE3" i="19"/>
  <c r="F3" i="19"/>
  <c r="AA3" i="19"/>
  <c r="AT3" i="19"/>
  <c r="Q3" i="19"/>
  <c r="G3" i="19"/>
  <c r="BM3" i="19"/>
  <c r="M3" i="19"/>
  <c r="S3" i="19"/>
  <c r="O3" i="19"/>
  <c r="AG3" i="19"/>
  <c r="AH3" i="19"/>
  <c r="BH3" i="19"/>
  <c r="BT3" i="19"/>
  <c r="K3" i="19"/>
  <c r="E3" i="19"/>
  <c r="P3" i="19"/>
  <c r="AN3" i="19"/>
  <c r="BS3" i="19"/>
  <c r="AD3" i="19"/>
  <c r="P35" i="12"/>
  <c r="AQ35" i="12"/>
  <c r="AC35" i="12"/>
  <c r="N35" i="12"/>
  <c r="Z35" i="12"/>
  <c r="AH35" i="12"/>
  <c r="AJ35" i="12"/>
  <c r="O35" i="12"/>
  <c r="R35" i="12"/>
  <c r="Y35" i="12"/>
  <c r="AE35" i="12"/>
  <c r="AK35" i="12"/>
  <c r="W35" i="12"/>
  <c r="U35" i="12"/>
  <c r="AP35" i="12"/>
  <c r="AL35" i="12"/>
  <c r="V35" i="12"/>
  <c r="AI35" i="12"/>
  <c r="T35" i="12"/>
  <c r="AB35" i="12"/>
  <c r="AG35" i="12"/>
  <c r="Q35" i="12"/>
  <c r="S35" i="12"/>
  <c r="AO35" i="12"/>
  <c r="AF35" i="12"/>
  <c r="AN35" i="12"/>
  <c r="AA35" i="12"/>
  <c r="R3" i="19"/>
  <c r="AR35" i="12"/>
  <c r="AE100" i="12"/>
  <c r="AQ99" i="12"/>
  <c r="U99" i="12"/>
  <c r="W99" i="12"/>
  <c r="X99" i="12"/>
  <c r="AP99" i="12"/>
  <c r="AR99" i="12"/>
  <c r="AC99" i="12"/>
  <c r="AL99" i="12"/>
  <c r="V99" i="12"/>
  <c r="P99" i="12"/>
  <c r="Z99" i="12"/>
  <c r="AB99" i="12"/>
  <c r="AM99" i="12"/>
  <c r="BB99" i="12" s="1"/>
  <c r="O99" i="12"/>
  <c r="AO99" i="12"/>
  <c r="S99" i="12"/>
  <c r="AN99" i="12"/>
  <c r="AJ99" i="12"/>
  <c r="AA99" i="12"/>
  <c r="AF99" i="12"/>
  <c r="Q99" i="12"/>
  <c r="AD99" i="12"/>
  <c r="T99" i="12"/>
  <c r="AI99" i="12"/>
  <c r="AH99" i="12"/>
  <c r="AE99" i="12"/>
  <c r="R99" i="12"/>
  <c r="A97" i="14"/>
  <c r="C97" i="14" s="1"/>
  <c r="L65" i="15"/>
  <c r="W65" i="15"/>
  <c r="O65" i="15"/>
  <c r="U65" i="15"/>
  <c r="D65" i="15"/>
  <c r="M65" i="15" s="1"/>
  <c r="J65" i="15"/>
  <c r="AF65" i="15"/>
  <c r="I65" i="15"/>
  <c r="P65" i="15"/>
  <c r="R65" i="15"/>
  <c r="N65" i="15"/>
  <c r="F65" i="15"/>
  <c r="R100" i="12"/>
  <c r="AK100" i="12"/>
  <c r="AJ100" i="12"/>
  <c r="AD100" i="12"/>
  <c r="O100" i="12"/>
  <c r="AP100" i="12"/>
  <c r="T100" i="12"/>
  <c r="AN100" i="12"/>
  <c r="AC100" i="12"/>
  <c r="V100" i="12"/>
  <c r="AG100" i="12"/>
  <c r="AI100" i="12"/>
  <c r="AH100" i="12"/>
  <c r="AO100" i="12"/>
  <c r="AR100" i="12"/>
  <c r="AM100" i="12"/>
  <c r="BB100" i="12" s="1"/>
  <c r="P100" i="12"/>
  <c r="AB100" i="12"/>
  <c r="AL100" i="12"/>
  <c r="X100" i="12"/>
  <c r="AF100" i="12"/>
  <c r="AQ100" i="12"/>
  <c r="Z100" i="12"/>
  <c r="Y100" i="12"/>
  <c r="C66" i="15"/>
  <c r="Q66" i="15" s="1"/>
  <c r="AV93" i="12"/>
  <c r="AC93" i="12"/>
  <c r="AL93" i="12"/>
  <c r="BA93" i="12"/>
  <c r="BS93" i="12"/>
  <c r="AB93" i="12"/>
  <c r="AN93" i="12"/>
  <c r="AE93" i="12"/>
  <c r="W93" i="12"/>
  <c r="AY93" i="12"/>
  <c r="BI93" i="12"/>
  <c r="BG93" i="12"/>
  <c r="BE93" i="12"/>
  <c r="BD93" i="12"/>
  <c r="BF93" i="12"/>
  <c r="Q93" i="12"/>
  <c r="P93" i="12"/>
  <c r="X93" i="12"/>
  <c r="AD93" i="12"/>
  <c r="AQ93" i="12"/>
  <c r="BB93" i="12"/>
  <c r="AH93" i="12"/>
  <c r="BR93" i="12"/>
  <c r="S93" i="12"/>
  <c r="BV93" i="12"/>
  <c r="BW93" i="12" s="1"/>
  <c r="BX93" i="12" s="1"/>
  <c r="BY93" i="12" s="1"/>
  <c r="BZ93" i="12" s="1"/>
  <c r="CA93" i="12" s="1"/>
  <c r="CB93" i="12" s="1"/>
  <c r="CC93" i="12" s="1"/>
  <c r="CD93" i="12" s="1"/>
  <c r="CE93" i="12" s="1"/>
  <c r="CF93" i="12" s="1"/>
  <c r="CG93" i="12" s="1"/>
  <c r="CH93" i="12" s="1"/>
  <c r="CI93" i="12" s="1"/>
  <c r="CJ93" i="12" s="1"/>
  <c r="CK93" i="12" s="1"/>
  <c r="CL93" i="12" s="1"/>
  <c r="CM93" i="12" s="1"/>
  <c r="CN93" i="12" s="1"/>
  <c r="CO93" i="12" s="1"/>
  <c r="CP93" i="12" s="1"/>
  <c r="CQ93" i="12" s="1"/>
  <c r="CR93" i="12" s="1"/>
  <c r="CS93" i="12" s="1"/>
  <c r="CT93" i="12" s="1"/>
  <c r="CU93" i="12" s="1"/>
  <c r="CV93" i="12" s="1"/>
  <c r="CW93" i="12" s="1"/>
  <c r="CX93" i="12" s="1"/>
  <c r="CY93" i="12" s="1"/>
  <c r="CZ93" i="12" s="1"/>
  <c r="Y93" i="12"/>
  <c r="BU93" i="12"/>
  <c r="AX93" i="12"/>
  <c r="BK93" i="12"/>
  <c r="BN93" i="12"/>
  <c r="Z93" i="12"/>
  <c r="AF93" i="12"/>
  <c r="BM93" i="12"/>
  <c r="T93" i="12"/>
  <c r="BQ93" i="12"/>
  <c r="U93" i="12"/>
  <c r="BP93" i="12"/>
  <c r="O93" i="12"/>
  <c r="AI93" i="12"/>
  <c r="AG93" i="12"/>
  <c r="AW93" i="12"/>
  <c r="AO93" i="12"/>
  <c r="BL93" i="12"/>
  <c r="V93" i="12"/>
  <c r="BC93" i="12"/>
  <c r="AC2" i="19"/>
  <c r="X2" i="19"/>
  <c r="E2" i="19"/>
  <c r="BL2" i="19"/>
  <c r="BK2" i="19"/>
  <c r="W2" i="19"/>
  <c r="H2" i="19"/>
  <c r="AO2" i="19"/>
  <c r="BO2" i="19"/>
  <c r="BR2" i="19"/>
  <c r="S2" i="19"/>
  <c r="V2" i="19"/>
  <c r="U2" i="19"/>
  <c r="T2" i="19"/>
  <c r="Z2" i="19"/>
  <c r="Q2" i="19"/>
  <c r="AS2" i="19"/>
  <c r="BM2" i="19"/>
  <c r="BQ2" i="19"/>
  <c r="BP2" i="19"/>
  <c r="AR2" i="19"/>
  <c r="BD2" i="19"/>
  <c r="AF2" i="19"/>
  <c r="AG2" i="19"/>
  <c r="AL2" i="19"/>
  <c r="R2" i="19"/>
  <c r="AT2" i="19"/>
  <c r="AK2" i="19"/>
  <c r="BC2" i="19"/>
  <c r="AB2" i="19"/>
  <c r="BA2" i="19"/>
  <c r="AM2" i="19"/>
  <c r="BN2" i="19"/>
  <c r="AE2" i="19"/>
  <c r="BI2" i="19"/>
  <c r="I2" i="19"/>
  <c r="BF2" i="19"/>
  <c r="AZ2" i="19"/>
  <c r="AQ2" i="19"/>
  <c r="M2" i="19"/>
  <c r="AD2" i="19"/>
  <c r="BU2" i="19"/>
  <c r="BJ2" i="19"/>
  <c r="N2" i="19"/>
  <c r="L2" i="19"/>
  <c r="AU2" i="19"/>
  <c r="AW2" i="19"/>
  <c r="AN2" i="19"/>
  <c r="Y2" i="19"/>
  <c r="BG2" i="19"/>
  <c r="BV2" i="19"/>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CW2" i="19" s="1"/>
  <c r="CX2" i="19" s="1"/>
  <c r="CY2" i="19" s="1"/>
  <c r="CZ2" i="19" s="1"/>
  <c r="BH2" i="19"/>
  <c r="BB2" i="19"/>
  <c r="BJ11" i="12"/>
  <c r="AX11" i="12"/>
  <c r="BL11" i="12"/>
  <c r="Y11" i="12"/>
  <c r="N11" i="12"/>
  <c r="BM11" i="12"/>
  <c r="S11" i="12"/>
  <c r="U11" i="12"/>
  <c r="K11" i="12"/>
  <c r="H11" i="12"/>
  <c r="BD11" i="12"/>
  <c r="AG11" i="12"/>
  <c r="BN11" i="12"/>
  <c r="AH11" i="12"/>
  <c r="AY11" i="12"/>
  <c r="BA11" i="12"/>
  <c r="AQ11" i="12"/>
  <c r="BT11" i="12"/>
  <c r="P11" i="12"/>
  <c r="BP11" i="12"/>
  <c r="BQ11" i="12"/>
  <c r="W11" i="12"/>
  <c r="AS11" i="12"/>
  <c r="BE11" i="12"/>
  <c r="O11" i="12"/>
  <c r="BU11" i="12"/>
  <c r="AL11" i="12"/>
  <c r="BH11" i="12"/>
  <c r="AV11" i="12"/>
  <c r="I11" i="12"/>
  <c r="Z11" i="12"/>
  <c r="AJ11" i="12"/>
  <c r="L11" i="12"/>
  <c r="AP11" i="12"/>
  <c r="J11" i="12"/>
  <c r="AZ11" i="12"/>
  <c r="AB11" i="12"/>
  <c r="AS93" i="12"/>
  <c r="R93" i="12"/>
  <c r="BJ93" i="12"/>
  <c r="K14" i="8"/>
  <c r="M8" i="19"/>
  <c r="BP8" i="19"/>
  <c r="L8" i="19"/>
  <c r="AQ8" i="19"/>
  <c r="BT8" i="19"/>
  <c r="AK8" i="19"/>
  <c r="BR8" i="19"/>
  <c r="AC8" i="19"/>
  <c r="AB8" i="19"/>
  <c r="BH8" i="19"/>
  <c r="AO8" i="19"/>
  <c r="BF8" i="19"/>
  <c r="I8" i="19"/>
  <c r="BS8" i="19"/>
  <c r="BG8" i="19"/>
  <c r="AV8" i="19"/>
  <c r="BL8" i="19"/>
  <c r="S8" i="19"/>
  <c r="Q8" i="19"/>
  <c r="AT8" i="19"/>
  <c r="BQ8" i="19"/>
  <c r="AW8" i="19"/>
  <c r="AX8" i="19"/>
  <c r="AM8" i="19"/>
  <c r="AN8" i="19"/>
  <c r="U8" i="19"/>
  <c r="BC8" i="19"/>
  <c r="G8" i="19"/>
  <c r="BV8" i="19"/>
  <c r="BW8" i="19" s="1"/>
  <c r="BX8" i="19" s="1"/>
  <c r="BY8" i="19" s="1"/>
  <c r="BZ8" i="19" s="1"/>
  <c r="CA8" i="19" s="1"/>
  <c r="CB8" i="19" s="1"/>
  <c r="CC8" i="19" s="1"/>
  <c r="CD8" i="19" s="1"/>
  <c r="CE8" i="19" s="1"/>
  <c r="CF8" i="19" s="1"/>
  <c r="CG8" i="19" s="1"/>
  <c r="CH8" i="19" s="1"/>
  <c r="CI8" i="19" s="1"/>
  <c r="CJ8" i="19" s="1"/>
  <c r="CK8" i="19" s="1"/>
  <c r="CL8" i="19" s="1"/>
  <c r="CM8" i="19" s="1"/>
  <c r="CN8" i="19" s="1"/>
  <c r="CO8" i="19" s="1"/>
  <c r="CP8" i="19" s="1"/>
  <c r="CQ8" i="19" s="1"/>
  <c r="CR8" i="19" s="1"/>
  <c r="CS8" i="19" s="1"/>
  <c r="CT8" i="19" s="1"/>
  <c r="CU8" i="19" s="1"/>
  <c r="CV8" i="19" s="1"/>
  <c r="CW8" i="19" s="1"/>
  <c r="CX8" i="19" s="1"/>
  <c r="CY8" i="19" s="1"/>
  <c r="CZ8" i="19" s="1"/>
  <c r="H8" i="19"/>
  <c r="O8" i="19"/>
  <c r="BK8" i="19"/>
  <c r="AL8" i="19"/>
  <c r="BE8" i="19"/>
  <c r="BO8" i="19"/>
  <c r="AD8" i="19"/>
  <c r="AI8" i="19"/>
  <c r="AP8" i="19"/>
  <c r="AE8" i="19"/>
  <c r="N8" i="19"/>
  <c r="AU8" i="19"/>
  <c r="AY8" i="19"/>
  <c r="BB8" i="19"/>
  <c r="AA8" i="19"/>
  <c r="V8" i="19"/>
  <c r="AF8" i="19"/>
  <c r="R8" i="19"/>
  <c r="BN8" i="19"/>
  <c r="AR8" i="19"/>
  <c r="AH8" i="19"/>
  <c r="BI8" i="19"/>
  <c r="T8" i="19"/>
  <c r="Y8" i="19"/>
  <c r="BD8" i="19"/>
  <c r="H16" i="12"/>
  <c r="W16" i="12"/>
  <c r="AH16" i="12"/>
  <c r="BB16" i="12" s="1"/>
  <c r="J16" i="12"/>
  <c r="AA16" i="12"/>
  <c r="K16" i="12"/>
  <c r="AG16" i="12"/>
  <c r="U16" i="12"/>
  <c r="AD16" i="12"/>
  <c r="AC16" i="12"/>
  <c r="Z16" i="12"/>
  <c r="P16" i="12"/>
  <c r="AB16" i="12"/>
  <c r="O16" i="12"/>
  <c r="Y16" i="12"/>
  <c r="M16" i="12"/>
  <c r="AF16" i="12"/>
  <c r="R16" i="12"/>
  <c r="I16" i="12"/>
  <c r="AE16" i="12"/>
  <c r="AE11" i="12"/>
  <c r="X11" i="12"/>
  <c r="AF11" i="12"/>
  <c r="BB11" i="12"/>
  <c r="G2" i="19"/>
  <c r="AN11" i="12"/>
  <c r="Z8" i="19"/>
  <c r="W8" i="19"/>
  <c r="BM8" i="19"/>
  <c r="B67" i="15"/>
  <c r="A16" i="13" s="1"/>
  <c r="BC5" i="19"/>
  <c r="AV5" i="19"/>
  <c r="BL5" i="19"/>
  <c r="BK5" i="19"/>
  <c r="F5" i="19"/>
  <c r="BM5" i="19"/>
  <c r="AX5" i="19"/>
  <c r="BG5" i="19"/>
  <c r="E5" i="19"/>
  <c r="K5" i="19"/>
  <c r="AE5" i="19"/>
  <c r="BU5" i="19"/>
  <c r="N5" i="19"/>
  <c r="AC5" i="19"/>
  <c r="BO5" i="19"/>
  <c r="U5" i="19"/>
  <c r="AI5" i="19"/>
  <c r="Y5" i="19"/>
  <c r="BQ5" i="19"/>
  <c r="AK5" i="19"/>
  <c r="AL5" i="19"/>
  <c r="BS5" i="19"/>
  <c r="Z5" i="19"/>
  <c r="AW5" i="19"/>
  <c r="AS5" i="19"/>
  <c r="W5" i="19"/>
  <c r="BH5" i="19"/>
  <c r="AA5" i="19"/>
  <c r="BT5" i="19"/>
  <c r="S5" i="19"/>
  <c r="G5" i="19"/>
  <c r="BR5" i="19"/>
  <c r="AJ5" i="19"/>
  <c r="BB5" i="19"/>
  <c r="T5" i="19"/>
  <c r="AU5" i="19"/>
  <c r="AZ5" i="19"/>
  <c r="BN5" i="19"/>
  <c r="L5" i="19"/>
  <c r="AF5" i="19"/>
  <c r="I5" i="19"/>
  <c r="J5" i="19"/>
  <c r="AI63" i="12"/>
  <c r="AC63" i="12"/>
  <c r="BF63" i="12"/>
  <c r="AG63" i="12"/>
  <c r="AW63" i="12"/>
  <c r="AN63" i="12"/>
  <c r="AX63" i="12"/>
  <c r="BO63" i="12"/>
  <c r="AO63" i="12"/>
  <c r="AR63" i="12"/>
  <c r="BA63" i="12"/>
  <c r="BJ63" i="12"/>
  <c r="BV63" i="12"/>
  <c r="BW63" i="12" s="1"/>
  <c r="BX63" i="12" s="1"/>
  <c r="BY63" i="12" s="1"/>
  <c r="BZ63" i="12" s="1"/>
  <c r="CA63" i="12" s="1"/>
  <c r="CB63" i="12" s="1"/>
  <c r="CC63" i="12" s="1"/>
  <c r="CD63" i="12" s="1"/>
  <c r="CE63" i="12" s="1"/>
  <c r="CF63" i="12" s="1"/>
  <c r="CG63" i="12" s="1"/>
  <c r="CH63" i="12" s="1"/>
  <c r="CI63" i="12" s="1"/>
  <c r="CJ63" i="12" s="1"/>
  <c r="CK63" i="12" s="1"/>
  <c r="CL63" i="12" s="1"/>
  <c r="CM63" i="12" s="1"/>
  <c r="CN63" i="12" s="1"/>
  <c r="CO63" i="12" s="1"/>
  <c r="CP63" i="12" s="1"/>
  <c r="CQ63" i="12" s="1"/>
  <c r="CR63" i="12" s="1"/>
  <c r="CS63" i="12" s="1"/>
  <c r="CT63" i="12" s="1"/>
  <c r="CU63" i="12" s="1"/>
  <c r="CV63" i="12" s="1"/>
  <c r="CW63" i="12" s="1"/>
  <c r="CX63" i="12" s="1"/>
  <c r="CY63" i="12" s="1"/>
  <c r="CZ63" i="12" s="1"/>
  <c r="AU63" i="12"/>
  <c r="AT63" i="12"/>
  <c r="BT63" i="12"/>
  <c r="BR63" i="12"/>
  <c r="N63" i="12"/>
  <c r="O63" i="12"/>
  <c r="AS63" i="12"/>
  <c r="R63" i="12"/>
  <c r="BB63" i="12"/>
  <c r="X17" i="12"/>
  <c r="AA17" i="12"/>
  <c r="T17" i="12"/>
  <c r="AF17" i="12"/>
  <c r="AC17" i="12"/>
  <c r="U17" i="12"/>
  <c r="J17" i="12"/>
  <c r="Y17" i="12"/>
  <c r="Y68" i="12"/>
  <c r="U68" i="12"/>
  <c r="AA68" i="12"/>
  <c r="AE68" i="12"/>
  <c r="P68" i="12"/>
  <c r="AK68" i="12"/>
  <c r="AQ68" i="12"/>
  <c r="Z68" i="12"/>
  <c r="U30" i="12"/>
  <c r="AZ30" i="12"/>
  <c r="W30" i="12"/>
  <c r="AC30" i="12"/>
  <c r="AX30" i="12"/>
  <c r="BM30" i="12"/>
  <c r="S30" i="12"/>
  <c r="AP30" i="12"/>
  <c r="AQ30" i="12"/>
  <c r="BV30" i="12"/>
  <c r="BW30" i="12" s="1"/>
  <c r="BX30" i="12" s="1"/>
  <c r="BY30" i="12" s="1"/>
  <c r="BZ30" i="12" s="1"/>
  <c r="CA30" i="12" s="1"/>
  <c r="CB30" i="12" s="1"/>
  <c r="CC30" i="12" s="1"/>
  <c r="CD30" i="12" s="1"/>
  <c r="CE30" i="12" s="1"/>
  <c r="CF30" i="12" s="1"/>
  <c r="CG30" i="12" s="1"/>
  <c r="CH30" i="12" s="1"/>
  <c r="CI30" i="12" s="1"/>
  <c r="CJ30" i="12" s="1"/>
  <c r="CK30" i="12" s="1"/>
  <c r="CL30" i="12" s="1"/>
  <c r="CM30" i="12" s="1"/>
  <c r="CN30" i="12" s="1"/>
  <c r="CO30" i="12" s="1"/>
  <c r="CP30" i="12" s="1"/>
  <c r="CQ30" i="12" s="1"/>
  <c r="CR30" i="12" s="1"/>
  <c r="CS30" i="12" s="1"/>
  <c r="CT30" i="12" s="1"/>
  <c r="CU30" i="12" s="1"/>
  <c r="CV30" i="12" s="1"/>
  <c r="CW30" i="12" s="1"/>
  <c r="CX30" i="12" s="1"/>
  <c r="CY30" i="12" s="1"/>
  <c r="CZ30" i="12" s="1"/>
  <c r="BC30" i="12"/>
  <c r="AU30" i="12"/>
  <c r="BI30" i="12"/>
  <c r="AT30" i="12"/>
  <c r="BT30" i="12"/>
  <c r="AL30" i="12"/>
  <c r="AV30" i="12"/>
  <c r="BJ30" i="12"/>
  <c r="AM30" i="12"/>
  <c r="N30" i="12"/>
  <c r="BD30" i="12"/>
  <c r="AR30" i="12"/>
  <c r="AS30" i="12"/>
  <c r="AY30" i="12"/>
  <c r="R30" i="12"/>
  <c r="AD30" i="12"/>
  <c r="BS30" i="12"/>
  <c r="BG30" i="12"/>
  <c r="AG30" i="12"/>
  <c r="AJ30" i="12"/>
  <c r="AM34" i="12"/>
  <c r="BB34" i="12" s="1"/>
  <c r="AF34" i="12"/>
  <c r="AO34" i="12"/>
  <c r="W34" i="12"/>
  <c r="AN34" i="12"/>
  <c r="AK34" i="12"/>
  <c r="R34" i="12"/>
  <c r="AD34" i="12"/>
  <c r="P34" i="12"/>
  <c r="AB34" i="12"/>
  <c r="N34" i="12"/>
  <c r="U34" i="12"/>
  <c r="BV94" i="12"/>
  <c r="BW94" i="12" s="1"/>
  <c r="BX94" i="12" s="1"/>
  <c r="BY94" i="12" s="1"/>
  <c r="BZ94" i="12" s="1"/>
  <c r="CA94" i="12" s="1"/>
  <c r="CB94" i="12" s="1"/>
  <c r="CC94" i="12" s="1"/>
  <c r="CD94" i="12" s="1"/>
  <c r="CE94" i="12" s="1"/>
  <c r="CF94" i="12" s="1"/>
  <c r="CG94" i="12" s="1"/>
  <c r="CH94" i="12" s="1"/>
  <c r="CI94" i="12" s="1"/>
  <c r="CJ94" i="12" s="1"/>
  <c r="CK94" i="12" s="1"/>
  <c r="CL94" i="12" s="1"/>
  <c r="CM94" i="12" s="1"/>
  <c r="CN94" i="12" s="1"/>
  <c r="CO94" i="12" s="1"/>
  <c r="CP94" i="12" s="1"/>
  <c r="CQ94" i="12" s="1"/>
  <c r="CR94" i="12" s="1"/>
  <c r="CS94" i="12" s="1"/>
  <c r="CT94" i="12" s="1"/>
  <c r="CU94" i="12" s="1"/>
  <c r="CV94" i="12" s="1"/>
  <c r="CW94" i="12" s="1"/>
  <c r="CX94" i="12" s="1"/>
  <c r="CY94" i="12" s="1"/>
  <c r="CZ94" i="12" s="1"/>
  <c r="BE94" i="12"/>
  <c r="X94" i="12"/>
  <c r="AX94" i="12"/>
  <c r="AB94" i="12"/>
  <c r="AU6" i="19"/>
  <c r="BI6" i="19"/>
  <c r="BR6" i="19"/>
  <c r="BJ6" i="19"/>
  <c r="AS6" i="19"/>
  <c r="AK6" i="19"/>
  <c r="AH6" i="19"/>
  <c r="AZ6" i="19"/>
  <c r="AG6" i="19"/>
  <c r="X6" i="19"/>
  <c r="AL6" i="19"/>
  <c r="AY6" i="19"/>
  <c r="R6" i="19"/>
  <c r="K6" i="19"/>
  <c r="AA6" i="19"/>
  <c r="G6" i="19"/>
  <c r="I6" i="19"/>
  <c r="J6" i="19"/>
  <c r="BU6" i="19"/>
  <c r="BH6" i="19"/>
  <c r="L6" i="19"/>
  <c r="AW6" i="19"/>
  <c r="BC6" i="19"/>
  <c r="W6" i="19"/>
  <c r="AX6" i="19"/>
  <c r="BS6" i="19"/>
  <c r="AN12" i="12"/>
  <c r="Y12" i="12"/>
  <c r="I12" i="12"/>
  <c r="BU12" i="12"/>
  <c r="AO12" i="12"/>
  <c r="BJ12" i="12"/>
  <c r="O12" i="12"/>
  <c r="BT12" i="12"/>
  <c r="BQ12" i="12"/>
  <c r="AL12" i="12"/>
  <c r="C61" i="6"/>
  <c r="B69" i="6"/>
  <c r="BS64" i="12"/>
  <c r="AZ64" i="12"/>
  <c r="AJ64" i="12"/>
  <c r="AV64" i="12"/>
  <c r="AL64" i="12"/>
  <c r="N64" i="12"/>
  <c r="BM64" i="12"/>
  <c r="Y64" i="12"/>
  <c r="BH64" i="12"/>
  <c r="BU64" i="12"/>
  <c r="BA64" i="12"/>
  <c r="P64" i="12"/>
  <c r="BJ64" i="12"/>
  <c r="BO64" i="12"/>
  <c r="BK64" i="12"/>
  <c r="AG64" i="12"/>
  <c r="AI64" i="12"/>
  <c r="BN64" i="12"/>
  <c r="AP64" i="12"/>
  <c r="AI4" i="19"/>
  <c r="AT4" i="19"/>
  <c r="AL4" i="19"/>
  <c r="AF4" i="19"/>
  <c r="BV4" i="19"/>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BD4" i="19"/>
  <c r="AH4" i="19"/>
  <c r="S4" i="19"/>
  <c r="AJ4" i="19"/>
  <c r="BN4" i="19"/>
  <c r="Y4" i="19"/>
  <c r="R4" i="19"/>
  <c r="BJ4" i="19"/>
  <c r="BF4" i="19"/>
  <c r="G4" i="19"/>
  <c r="AP4" i="19"/>
  <c r="BT4" i="19"/>
  <c r="BP4" i="19"/>
  <c r="V4" i="19"/>
  <c r="AN4" i="19"/>
  <c r="BH4" i="19"/>
  <c r="BR4" i="19"/>
  <c r="T4" i="19"/>
  <c r="AY4" i="19"/>
  <c r="AB4" i="19"/>
  <c r="AA4" i="19"/>
  <c r="AR4" i="19"/>
  <c r="H4" i="19"/>
  <c r="AM4" i="19"/>
  <c r="Z4" i="19"/>
  <c r="BS4" i="19"/>
  <c r="AG4" i="19"/>
  <c r="AD4" i="19"/>
  <c r="BE4" i="19"/>
  <c r="BV29" i="12"/>
  <c r="BW29" i="12" s="1"/>
  <c r="BX29" i="12" s="1"/>
  <c r="BY29" i="12" s="1"/>
  <c r="BZ29" i="12" s="1"/>
  <c r="CA29" i="12" s="1"/>
  <c r="CB29" i="12" s="1"/>
  <c r="CC29" i="12" s="1"/>
  <c r="CD29" i="12" s="1"/>
  <c r="CE29" i="12" s="1"/>
  <c r="CF29" i="12" s="1"/>
  <c r="CG29" i="12" s="1"/>
  <c r="CH29" i="12" s="1"/>
  <c r="CI29" i="12" s="1"/>
  <c r="CJ29" i="12" s="1"/>
  <c r="CK29" i="12" s="1"/>
  <c r="CL29" i="12" s="1"/>
  <c r="CM29" i="12" s="1"/>
  <c r="CN29" i="12" s="1"/>
  <c r="CO29" i="12" s="1"/>
  <c r="CP29" i="12" s="1"/>
  <c r="CQ29" i="12" s="1"/>
  <c r="CR29" i="12" s="1"/>
  <c r="CS29" i="12" s="1"/>
  <c r="CT29" i="12" s="1"/>
  <c r="CU29" i="12" s="1"/>
  <c r="CV29" i="12" s="1"/>
  <c r="CW29" i="12" s="1"/>
  <c r="CX29" i="12" s="1"/>
  <c r="CY29" i="12" s="1"/>
  <c r="CZ29" i="12" s="1"/>
  <c r="AA18" i="12"/>
  <c r="AE18" i="12"/>
  <c r="BR29" i="12"/>
  <c r="P29" i="12"/>
  <c r="X29" i="12"/>
  <c r="AN29" i="12"/>
  <c r="BA29" i="12"/>
  <c r="AW29" i="12"/>
  <c r="AG29" i="12"/>
  <c r="BF29" i="12"/>
  <c r="Y29" i="12"/>
  <c r="AB29" i="12"/>
  <c r="BK29" i="12"/>
  <c r="T29" i="12"/>
  <c r="BU29" i="12"/>
  <c r="AU29" i="12"/>
  <c r="N29" i="12"/>
  <c r="Z29" i="12"/>
  <c r="AV29" i="12"/>
  <c r="Y7" i="19"/>
  <c r="AY7" i="19"/>
  <c r="K7" i="19"/>
  <c r="AF7" i="19"/>
  <c r="BG7" i="19"/>
  <c r="BL7" i="19"/>
  <c r="AQ31" i="12"/>
  <c r="BG31" i="12"/>
  <c r="AO31" i="12"/>
  <c r="BJ31" i="12"/>
  <c r="Z31" i="12"/>
  <c r="AK31" i="12"/>
  <c r="BN31" i="12"/>
  <c r="AX31" i="12"/>
  <c r="D98" i="6"/>
  <c r="D159" i="6"/>
  <c r="D49" i="34"/>
  <c r="H49" i="34"/>
  <c r="E49" i="34"/>
  <c r="G49" i="34"/>
  <c r="C49" i="34"/>
  <c r="H37" i="34"/>
  <c r="G48" i="34"/>
  <c r="H48" i="34"/>
  <c r="D48" i="34"/>
  <c r="E48" i="34"/>
  <c r="E33" i="34"/>
  <c r="H33" i="34"/>
  <c r="G33" i="34"/>
  <c r="B111" i="34"/>
  <c r="B96" i="34"/>
  <c r="C40" i="34"/>
  <c r="B103" i="34"/>
  <c r="B69" i="34"/>
  <c r="G40" i="34"/>
  <c r="H40" i="34"/>
  <c r="B118" i="34"/>
  <c r="A18" i="17"/>
  <c r="E65" i="15"/>
  <c r="A66" i="15"/>
  <c r="A139" i="15"/>
  <c r="A186" i="15" s="1"/>
  <c r="E50" i="34"/>
  <c r="H50" i="34"/>
  <c r="C50" i="34"/>
  <c r="B113" i="34"/>
  <c r="E35" i="34"/>
  <c r="H7" i="119"/>
  <c r="C89" i="119" s="1"/>
  <c r="D89" i="119" s="1"/>
  <c r="F59" i="119"/>
  <c r="B81" i="119"/>
  <c r="B80" i="119"/>
  <c r="D91" i="119"/>
  <c r="I6" i="119"/>
  <c r="C88" i="119" s="1"/>
  <c r="D88" i="119" s="1"/>
  <c r="F58" i="119"/>
  <c r="N101" i="119"/>
  <c r="N107" i="119"/>
  <c r="N103" i="119"/>
  <c r="N105" i="119"/>
  <c r="N104" i="119"/>
  <c r="N106" i="119"/>
  <c r="N102" i="119"/>
  <c r="B68" i="6"/>
  <c r="B67" i="6"/>
  <c r="B66" i="6"/>
  <c r="C281" i="15"/>
  <c r="C67" i="6"/>
  <c r="C25" i="33"/>
  <c r="F10" i="113" l="1"/>
  <c r="I9" i="113" s="1"/>
  <c r="E75" i="6" s="1"/>
  <c r="B133" i="15" s="1"/>
  <c r="C34" i="24"/>
  <c r="H34" i="24" s="1"/>
  <c r="F37" i="35"/>
  <c r="C26" i="24"/>
  <c r="H26" i="24" s="1"/>
  <c r="F29" i="35"/>
  <c r="F36" i="35"/>
  <c r="C33" i="24"/>
  <c r="H33" i="24" s="1"/>
  <c r="C31" i="24"/>
  <c r="H31" i="24" s="1"/>
  <c r="F34" i="35"/>
  <c r="C32" i="24"/>
  <c r="H32" i="24" s="1"/>
  <c r="F35" i="35"/>
  <c r="F39" i="35"/>
  <c r="C36" i="24"/>
  <c r="H36" i="24" s="1"/>
  <c r="F32" i="35"/>
  <c r="C29" i="24"/>
  <c r="H29" i="24" s="1"/>
  <c r="F31" i="35"/>
  <c r="C28" i="24"/>
  <c r="H28" i="24" s="1"/>
  <c r="C27" i="24"/>
  <c r="H27" i="24" s="1"/>
  <c r="F30" i="35"/>
  <c r="F33" i="35"/>
  <c r="C30" i="24"/>
  <c r="H30" i="24" s="1"/>
  <c r="F38" i="35"/>
  <c r="C35" i="24"/>
  <c r="H35" i="24" s="1"/>
  <c r="B16" i="13"/>
  <c r="F15" i="13"/>
  <c r="AY480" i="11"/>
  <c r="AZ480" i="11" s="1"/>
  <c r="BA480" i="11" s="1"/>
  <c r="BB480" i="11" s="1"/>
  <c r="BC480" i="11" s="1"/>
  <c r="BD480" i="11" s="1"/>
  <c r="BE480" i="11" s="1"/>
  <c r="BF480" i="11" s="1"/>
  <c r="BG480" i="11" s="1"/>
  <c r="BH480" i="11" s="1"/>
  <c r="BI480" i="11" s="1"/>
  <c r="BJ480" i="11" s="1"/>
  <c r="BK480" i="11" s="1"/>
  <c r="BL480" i="11" s="1"/>
  <c r="E249" i="119"/>
  <c r="I249" i="119"/>
  <c r="G249" i="119"/>
  <c r="F249" i="119"/>
  <c r="D249" i="119"/>
  <c r="H249" i="119"/>
  <c r="C249" i="119"/>
  <c r="BR18" i="12"/>
  <c r="BS18" i="12" s="1"/>
  <c r="BT18" i="12" s="1"/>
  <c r="BU18" i="12" s="1"/>
  <c r="BW18" i="12"/>
  <c r="BX18" i="12" s="1"/>
  <c r="BY18" i="12" s="1"/>
  <c r="BZ18" i="12" s="1"/>
  <c r="CA18" i="12" s="1"/>
  <c r="CB18" i="12" s="1"/>
  <c r="CC18" i="12" s="1"/>
  <c r="CD18" i="12" s="1"/>
  <c r="CE18" i="12" s="1"/>
  <c r="CF18" i="12" s="1"/>
  <c r="CG18" i="12" s="1"/>
  <c r="CH18" i="12" s="1"/>
  <c r="CI18" i="12" s="1"/>
  <c r="CJ18" i="12" s="1"/>
  <c r="CK18" i="12" s="1"/>
  <c r="CL18" i="12" s="1"/>
  <c r="CM18" i="12" s="1"/>
  <c r="CN18" i="12" s="1"/>
  <c r="CO18" i="12" s="1"/>
  <c r="CP18" i="12" s="1"/>
  <c r="CQ18" i="12" s="1"/>
  <c r="CR18" i="12" s="1"/>
  <c r="CS18" i="12" s="1"/>
  <c r="CT18" i="12" s="1"/>
  <c r="CU18" i="12" s="1"/>
  <c r="CV18" i="12" s="1"/>
  <c r="CW18" i="12" s="1"/>
  <c r="CX18" i="12" s="1"/>
  <c r="CY18" i="12" s="1"/>
  <c r="CZ18" i="12" s="1"/>
  <c r="N7" i="12"/>
  <c r="Y25" i="12"/>
  <c r="AC7" i="12"/>
  <c r="F16" i="35"/>
  <c r="AF91" i="12"/>
  <c r="AR65" i="12"/>
  <c r="AQ91" i="12"/>
  <c r="AA65" i="12"/>
  <c r="AH26" i="12"/>
  <c r="AH27" i="12"/>
  <c r="M9" i="12"/>
  <c r="AO61" i="12"/>
  <c r="AN90" i="12"/>
  <c r="R96" i="12"/>
  <c r="AJ494" i="11"/>
  <c r="AK494" i="11" s="1"/>
  <c r="AL494" i="11" s="1"/>
  <c r="AM494" i="11" s="1"/>
  <c r="AN494" i="11" s="1"/>
  <c r="AO494" i="11" s="1"/>
  <c r="AP494" i="11" s="1"/>
  <c r="AQ494" i="11" s="1"/>
  <c r="AR494" i="11" s="1"/>
  <c r="AS494" i="11" s="1"/>
  <c r="AT494" i="11" s="1"/>
  <c r="AU494" i="11" s="1"/>
  <c r="AV494" i="11" s="1"/>
  <c r="AW494" i="11" s="1"/>
  <c r="AJ276" i="11"/>
  <c r="AK276" i="11" s="1"/>
  <c r="AL276" i="11" s="1"/>
  <c r="AM276" i="11" s="1"/>
  <c r="AN276" i="11" s="1"/>
  <c r="AO276" i="11" s="1"/>
  <c r="AP276" i="11" s="1"/>
  <c r="AQ276" i="11" s="1"/>
  <c r="AR276" i="11" s="1"/>
  <c r="AS276" i="11" s="1"/>
  <c r="AT276" i="11" s="1"/>
  <c r="AU276" i="11" s="1"/>
  <c r="AV276" i="11" s="1"/>
  <c r="AW276" i="11" s="1"/>
  <c r="AH8" i="12"/>
  <c r="BB8" i="12" s="1"/>
  <c r="AI8" i="12" s="1"/>
  <c r="AJ8" i="12" s="1"/>
  <c r="AK8" i="12" s="1"/>
  <c r="AL8" i="12" s="1"/>
  <c r="AM8" i="12" s="1"/>
  <c r="AN8" i="12" s="1"/>
  <c r="AO8" i="12" s="1"/>
  <c r="AP8" i="12" s="1"/>
  <c r="AQ8" i="12" s="1"/>
  <c r="AR8" i="12" s="1"/>
  <c r="AS8" i="12" s="1"/>
  <c r="AT8" i="12" s="1"/>
  <c r="AU8" i="12" s="1"/>
  <c r="AV8" i="12" s="1"/>
  <c r="AW8" i="12" s="1"/>
  <c r="AX8" i="12" s="1"/>
  <c r="AY8" i="12" s="1"/>
  <c r="AZ8" i="12" s="1"/>
  <c r="BA8" i="12" s="1"/>
  <c r="S7" i="12"/>
  <c r="V89" i="12"/>
  <c r="AY277" i="11"/>
  <c r="AZ277" i="11" s="1"/>
  <c r="BA277" i="11" s="1"/>
  <c r="BB277" i="11" s="1"/>
  <c r="BC277" i="11" s="1"/>
  <c r="BD277" i="11" s="1"/>
  <c r="BE277" i="11" s="1"/>
  <c r="BF277" i="11" s="1"/>
  <c r="BG277" i="11" s="1"/>
  <c r="BH277" i="11" s="1"/>
  <c r="BI277" i="11" s="1"/>
  <c r="BJ277" i="11" s="1"/>
  <c r="BK277" i="11" s="1"/>
  <c r="BL277" i="11" s="1"/>
  <c r="Z65" i="12"/>
  <c r="W9" i="12"/>
  <c r="P9" i="12"/>
  <c r="Q7" i="12"/>
  <c r="Q9" i="12"/>
  <c r="W89" i="12"/>
  <c r="Z8" i="12"/>
  <c r="S9" i="12"/>
  <c r="AA9" i="12"/>
  <c r="N9" i="12"/>
  <c r="T89" i="12"/>
  <c r="AJ480" i="11"/>
  <c r="AK480" i="11" s="1"/>
  <c r="AL480" i="11" s="1"/>
  <c r="AM480" i="11" s="1"/>
  <c r="AN480" i="11" s="1"/>
  <c r="AO480" i="11" s="1"/>
  <c r="AP480" i="11" s="1"/>
  <c r="AQ480" i="11" s="1"/>
  <c r="AR480" i="11" s="1"/>
  <c r="AS480" i="11" s="1"/>
  <c r="AT480" i="11" s="1"/>
  <c r="AU480" i="11" s="1"/>
  <c r="AV480" i="11" s="1"/>
  <c r="AW480" i="11" s="1"/>
  <c r="AJ277" i="11"/>
  <c r="AK277" i="11" s="1"/>
  <c r="AL277" i="11" s="1"/>
  <c r="AM277" i="11" s="1"/>
  <c r="AN277" i="11" s="1"/>
  <c r="AO277" i="11" s="1"/>
  <c r="AP277" i="11" s="1"/>
  <c r="AQ277" i="11" s="1"/>
  <c r="AR277" i="11" s="1"/>
  <c r="AS277" i="11" s="1"/>
  <c r="AT277" i="11" s="1"/>
  <c r="AU277" i="11" s="1"/>
  <c r="AV277" i="11" s="1"/>
  <c r="AW277" i="11" s="1"/>
  <c r="AL91" i="12"/>
  <c r="AP90" i="12"/>
  <c r="AI92" i="12"/>
  <c r="AG91" i="12"/>
  <c r="AO89" i="12"/>
  <c r="AK59" i="12"/>
  <c r="P65" i="12"/>
  <c r="J7" i="12"/>
  <c r="S96" i="12"/>
  <c r="H7" i="12"/>
  <c r="AE277" i="11"/>
  <c r="AF277" i="11" s="1"/>
  <c r="AG277" i="11" s="1"/>
  <c r="AH277" i="11" s="1"/>
  <c r="BN277" i="11"/>
  <c r="BO277" i="11" s="1"/>
  <c r="BP277" i="11" s="1"/>
  <c r="BQ277" i="11" s="1"/>
  <c r="P28" i="12"/>
  <c r="Y32" i="12"/>
  <c r="T25" i="12"/>
  <c r="AB27" i="12"/>
  <c r="AH28" i="12"/>
  <c r="S59" i="12"/>
  <c r="AM27" i="12"/>
  <c r="BB27" i="12" s="1"/>
  <c r="BQ27" i="12" s="1"/>
  <c r="BC27" i="12" s="1"/>
  <c r="BD27" i="12" s="1"/>
  <c r="BE27" i="12" s="1"/>
  <c r="BF27" i="12" s="1"/>
  <c r="BG27" i="12" s="1"/>
  <c r="BH27" i="12" s="1"/>
  <c r="BI27" i="12" s="1"/>
  <c r="BJ27" i="12" s="1"/>
  <c r="BK27" i="12" s="1"/>
  <c r="BL27" i="12" s="1"/>
  <c r="BM27" i="12" s="1"/>
  <c r="BN27" i="12" s="1"/>
  <c r="BO27" i="12" s="1"/>
  <c r="BP27" i="12" s="1"/>
  <c r="AG7" i="12"/>
  <c r="U89" i="12"/>
  <c r="AR25" i="12"/>
  <c r="AQ28" i="12"/>
  <c r="S8" i="12"/>
  <c r="Q27" i="12"/>
  <c r="N27" i="12"/>
  <c r="AQ65" i="12"/>
  <c r="Q91" i="12"/>
  <c r="AE96" i="12"/>
  <c r="AC25" i="12"/>
  <c r="AF90" i="12"/>
  <c r="AG32" i="12"/>
  <c r="X91" i="12"/>
  <c r="AQ89" i="12"/>
  <c r="R8" i="12"/>
  <c r="AF92" i="12"/>
  <c r="AG9" i="12"/>
  <c r="AE10" i="12"/>
  <c r="P32" i="12"/>
  <c r="R65" i="12"/>
  <c r="AP91" i="12"/>
  <c r="V25" i="12"/>
  <c r="AB32" i="12"/>
  <c r="AC91" i="12"/>
  <c r="AA89" i="12"/>
  <c r="AJ89" i="12"/>
  <c r="AC62" i="12"/>
  <c r="T60" i="12"/>
  <c r="AJ97" i="12"/>
  <c r="W91" i="12"/>
  <c r="AD25" i="12"/>
  <c r="Z90" i="12"/>
  <c r="AH25" i="12"/>
  <c r="AA25" i="12"/>
  <c r="Q8" i="12"/>
  <c r="AH32" i="12"/>
  <c r="AQ32" i="12"/>
  <c r="U27" i="12"/>
  <c r="AF27" i="12"/>
  <c r="AK91" i="12"/>
  <c r="Y59" i="12"/>
  <c r="R91" i="12"/>
  <c r="AE92" i="12"/>
  <c r="AK65" i="12"/>
  <c r="AE91" i="12"/>
  <c r="AM25" i="12"/>
  <c r="BB25" i="12" s="1"/>
  <c r="BQ25" i="12" s="1"/>
  <c r="BV25" i="12" s="1"/>
  <c r="BW25" i="12" s="1"/>
  <c r="BX25" i="12" s="1"/>
  <c r="BY25" i="12" s="1"/>
  <c r="BZ25" i="12" s="1"/>
  <c r="CA25" i="12" s="1"/>
  <c r="CB25" i="12" s="1"/>
  <c r="CC25" i="12" s="1"/>
  <c r="CD25" i="12" s="1"/>
  <c r="CE25" i="12" s="1"/>
  <c r="CF25" i="12" s="1"/>
  <c r="CG25" i="12" s="1"/>
  <c r="CH25" i="12" s="1"/>
  <c r="CI25" i="12" s="1"/>
  <c r="CJ25" i="12" s="1"/>
  <c r="CK25" i="12" s="1"/>
  <c r="CL25" i="12" s="1"/>
  <c r="CM25" i="12" s="1"/>
  <c r="CN25" i="12" s="1"/>
  <c r="CO25" i="12" s="1"/>
  <c r="CP25" i="12" s="1"/>
  <c r="CQ25" i="12" s="1"/>
  <c r="CR25" i="12" s="1"/>
  <c r="CS25" i="12" s="1"/>
  <c r="CT25" i="12" s="1"/>
  <c r="CU25" i="12" s="1"/>
  <c r="CV25" i="12" s="1"/>
  <c r="CW25" i="12" s="1"/>
  <c r="CX25" i="12" s="1"/>
  <c r="CY25" i="12" s="1"/>
  <c r="CZ25" i="12" s="1"/>
  <c r="AO25" i="12"/>
  <c r="Z25" i="12"/>
  <c r="AJ61" i="12"/>
  <c r="O25" i="12"/>
  <c r="AL32" i="12"/>
  <c r="AR89" i="12"/>
  <c r="AR27" i="12"/>
  <c r="AD65" i="12"/>
  <c r="U91" i="12"/>
  <c r="AJ393" i="11"/>
  <c r="AK393" i="11" s="1"/>
  <c r="AL393" i="11" s="1"/>
  <c r="AM393" i="11" s="1"/>
  <c r="AN393" i="11" s="1"/>
  <c r="AO393" i="11" s="1"/>
  <c r="AP393" i="11" s="1"/>
  <c r="AQ393" i="11" s="1"/>
  <c r="AR393" i="11" s="1"/>
  <c r="AS393" i="11" s="1"/>
  <c r="AT393" i="11" s="1"/>
  <c r="AU393" i="11" s="1"/>
  <c r="AV393" i="11" s="1"/>
  <c r="AW393" i="11" s="1"/>
  <c r="AL27" i="12"/>
  <c r="AI25" i="12"/>
  <c r="AI61" i="12"/>
  <c r="G37" i="34"/>
  <c r="AJ91" i="12"/>
  <c r="X96" i="12"/>
  <c r="W25" i="12"/>
  <c r="AC92" i="12"/>
  <c r="BN480" i="11"/>
  <c r="BO480" i="11" s="1"/>
  <c r="BP480" i="11" s="1"/>
  <c r="BQ480" i="11" s="1"/>
  <c r="Z96" i="12"/>
  <c r="D116" i="34"/>
  <c r="AO28" i="12"/>
  <c r="AB62" i="12"/>
  <c r="AB96" i="12"/>
  <c r="W96" i="12"/>
  <c r="AJ96" i="12"/>
  <c r="AG92" i="12"/>
  <c r="AF60" i="12"/>
  <c r="S32" i="12"/>
  <c r="Q32" i="12"/>
  <c r="AR32" i="12"/>
  <c r="O32" i="12"/>
  <c r="AM32" i="12"/>
  <c r="BB32" i="12" s="1"/>
  <c r="BQ32" i="12" s="1"/>
  <c r="BV32" i="12" s="1"/>
  <c r="BW32" i="12" s="1"/>
  <c r="BX32" i="12" s="1"/>
  <c r="BY32" i="12" s="1"/>
  <c r="BZ32" i="12" s="1"/>
  <c r="CA32" i="12" s="1"/>
  <c r="CB32" i="12" s="1"/>
  <c r="CC32" i="12" s="1"/>
  <c r="CD32" i="12" s="1"/>
  <c r="CE32" i="12" s="1"/>
  <c r="CF32" i="12" s="1"/>
  <c r="CG32" i="12" s="1"/>
  <c r="CH32" i="12" s="1"/>
  <c r="CI32" i="12" s="1"/>
  <c r="CJ32" i="12" s="1"/>
  <c r="CK32" i="12" s="1"/>
  <c r="CL32" i="12" s="1"/>
  <c r="CM32" i="12" s="1"/>
  <c r="CN32" i="12" s="1"/>
  <c r="CO32" i="12" s="1"/>
  <c r="CP32" i="12" s="1"/>
  <c r="CQ32" i="12" s="1"/>
  <c r="CR32" i="12" s="1"/>
  <c r="CS32" i="12" s="1"/>
  <c r="CT32" i="12" s="1"/>
  <c r="CU32" i="12" s="1"/>
  <c r="CV32" i="12" s="1"/>
  <c r="CW32" i="12" s="1"/>
  <c r="CX32" i="12" s="1"/>
  <c r="CY32" i="12" s="1"/>
  <c r="CZ32" i="12" s="1"/>
  <c r="L8" i="12"/>
  <c r="E116" i="34"/>
  <c r="AH91" i="12"/>
  <c r="AF7" i="12"/>
  <c r="M7" i="12"/>
  <c r="AP28" i="12"/>
  <c r="U96" i="12"/>
  <c r="AO96" i="12"/>
  <c r="O96" i="12"/>
  <c r="AP96" i="12"/>
  <c r="AI32" i="12"/>
  <c r="X7" i="12"/>
  <c r="AE60" i="12"/>
  <c r="N32" i="12"/>
  <c r="AG8" i="12"/>
  <c r="Z32" i="12"/>
  <c r="AB92" i="12"/>
  <c r="AH89" i="12"/>
  <c r="K7" i="12"/>
  <c r="X89" i="12"/>
  <c r="AA8" i="12"/>
  <c r="P90" i="12"/>
  <c r="AC32" i="12"/>
  <c r="O92" i="12"/>
  <c r="U32" i="12"/>
  <c r="BR532" i="11"/>
  <c r="BN532" i="11" s="1"/>
  <c r="BO532" i="11" s="1"/>
  <c r="BP532" i="11" s="1"/>
  <c r="BQ532" i="11" s="1"/>
  <c r="AJ392" i="11"/>
  <c r="AK392" i="11" s="1"/>
  <c r="AL392" i="11" s="1"/>
  <c r="AM392" i="11" s="1"/>
  <c r="AN392" i="11" s="1"/>
  <c r="AO392" i="11" s="1"/>
  <c r="AP392" i="11" s="1"/>
  <c r="AQ392" i="11" s="1"/>
  <c r="AR392" i="11" s="1"/>
  <c r="AS392" i="11" s="1"/>
  <c r="AT392" i="11" s="1"/>
  <c r="AU392" i="11" s="1"/>
  <c r="AV392" i="11" s="1"/>
  <c r="AW392" i="11" s="1"/>
  <c r="O28" i="12"/>
  <c r="AA32" i="12"/>
  <c r="R25" i="12"/>
  <c r="AY494" i="11"/>
  <c r="AZ494" i="11" s="1"/>
  <c r="BA494" i="11" s="1"/>
  <c r="BB494" i="11" s="1"/>
  <c r="BC494" i="11" s="1"/>
  <c r="BD494" i="11" s="1"/>
  <c r="BE494" i="11" s="1"/>
  <c r="BF494" i="11" s="1"/>
  <c r="BG494" i="11" s="1"/>
  <c r="BH494" i="11" s="1"/>
  <c r="BI494" i="11" s="1"/>
  <c r="BJ494" i="11" s="1"/>
  <c r="BK494" i="11" s="1"/>
  <c r="BL494" i="11" s="1"/>
  <c r="Z642" i="11"/>
  <c r="AA472" i="11" s="1"/>
  <c r="AB472" i="11" s="1"/>
  <c r="AC472" i="11" s="1"/>
  <c r="AD472" i="11" s="1"/>
  <c r="AE472" i="11" s="1"/>
  <c r="AF472" i="11" s="1"/>
  <c r="AG472" i="11" s="1"/>
  <c r="AH472" i="11" s="1"/>
  <c r="AX472" i="11"/>
  <c r="AD28" i="12"/>
  <c r="T96" i="12"/>
  <c r="R92" i="12"/>
  <c r="AI62" i="12"/>
  <c r="AF28" i="12"/>
  <c r="AR96" i="12"/>
  <c r="T32" i="12"/>
  <c r="Z641" i="11"/>
  <c r="AA471" i="11" s="1"/>
  <c r="AB471" i="11" s="1"/>
  <c r="AC471" i="11" s="1"/>
  <c r="AD471" i="11" s="1"/>
  <c r="AE471" i="11" s="1"/>
  <c r="AF471" i="11" s="1"/>
  <c r="AG471" i="11" s="1"/>
  <c r="AH471" i="11" s="1"/>
  <c r="AX471" i="11"/>
  <c r="W26" i="12"/>
  <c r="V59" i="12"/>
  <c r="AM91" i="12"/>
  <c r="BB91" i="12" s="1"/>
  <c r="BQ91" i="12" s="1"/>
  <c r="AA91" i="12"/>
  <c r="V7" i="12"/>
  <c r="N28" i="12"/>
  <c r="AN96" i="12"/>
  <c r="Q96" i="12"/>
  <c r="P96" i="12"/>
  <c r="AK96" i="12"/>
  <c r="AH96" i="12"/>
  <c r="V10" i="12"/>
  <c r="O90" i="12"/>
  <c r="U92" i="12"/>
  <c r="AK32" i="12"/>
  <c r="R32" i="12"/>
  <c r="AM92" i="12"/>
  <c r="BB92" i="12" s="1"/>
  <c r="BQ92" i="12" s="1"/>
  <c r="BV92" i="12" s="1"/>
  <c r="S92" i="12"/>
  <c r="W90" i="12"/>
  <c r="AD32" i="12"/>
  <c r="AF32" i="12"/>
  <c r="AQ90" i="12"/>
  <c r="AL97" i="12"/>
  <c r="H8" i="12"/>
  <c r="AB28" i="12"/>
  <c r="AP92" i="12"/>
  <c r="AF96" i="12"/>
  <c r="AA96" i="12"/>
  <c r="C116" i="34"/>
  <c r="AB89" i="12"/>
  <c r="AN59" i="12"/>
  <c r="AD91" i="12"/>
  <c r="AD7" i="12"/>
  <c r="I7" i="12"/>
  <c r="AJ28" i="12"/>
  <c r="AG96" i="12"/>
  <c r="AI96" i="12"/>
  <c r="AC96" i="12"/>
  <c r="AD96" i="12"/>
  <c r="AJ90" i="12"/>
  <c r="O8" i="12"/>
  <c r="X32" i="12"/>
  <c r="AE32" i="12"/>
  <c r="AE89" i="12"/>
  <c r="AO32" i="12"/>
  <c r="W32" i="12"/>
  <c r="R62" i="12"/>
  <c r="AG26" i="12"/>
  <c r="X59" i="12"/>
  <c r="AR61" i="12"/>
  <c r="AO90" i="12"/>
  <c r="AX358" i="11"/>
  <c r="BM358" i="11" s="1"/>
  <c r="AX483" i="11"/>
  <c r="Z653" i="11"/>
  <c r="AA483" i="11" s="1"/>
  <c r="AB483" i="11" s="1"/>
  <c r="AC483" i="11" s="1"/>
  <c r="AD483" i="11" s="1"/>
  <c r="AE483" i="11" s="1"/>
  <c r="AF483" i="11" s="1"/>
  <c r="AG483" i="11" s="1"/>
  <c r="AH483" i="11" s="1"/>
  <c r="Z539" i="11"/>
  <c r="AA369" i="11" s="1"/>
  <c r="AB369" i="11" s="1"/>
  <c r="AC369" i="11" s="1"/>
  <c r="AD369" i="11" s="1"/>
  <c r="AE369" i="11" s="1"/>
  <c r="AF369" i="11" s="1"/>
  <c r="AG369" i="11" s="1"/>
  <c r="AH369" i="11" s="1"/>
  <c r="AX369" i="11"/>
  <c r="AM96" i="12"/>
  <c r="BB96" i="12" s="1"/>
  <c r="BQ96" i="12" s="1"/>
  <c r="AM28" i="12"/>
  <c r="BB28" i="12" s="1"/>
  <c r="BQ28" i="12" s="1"/>
  <c r="AL96" i="12"/>
  <c r="AP32" i="12"/>
  <c r="AH92" i="12"/>
  <c r="AX263" i="11"/>
  <c r="AE263" i="11"/>
  <c r="AF263" i="11" s="1"/>
  <c r="AG263" i="11" s="1"/>
  <c r="AH263" i="11" s="1"/>
  <c r="AK89" i="12"/>
  <c r="Z7" i="12"/>
  <c r="U7" i="12"/>
  <c r="V96" i="12"/>
  <c r="AQ96" i="12"/>
  <c r="K15" i="12"/>
  <c r="AF89" i="12"/>
  <c r="AN32" i="12"/>
  <c r="V32" i="12"/>
  <c r="AN89" i="12"/>
  <c r="Q92" i="12"/>
  <c r="AG89" i="12"/>
  <c r="AP89" i="12"/>
  <c r="BN494" i="11"/>
  <c r="BO494" i="11" s="1"/>
  <c r="BP494" i="11" s="1"/>
  <c r="BQ494" i="11" s="1"/>
  <c r="W8" i="12"/>
  <c r="T28" i="12"/>
  <c r="AE253" i="11"/>
  <c r="AF253" i="11" s="1"/>
  <c r="AG253" i="11" s="1"/>
  <c r="AH253" i="11" s="1"/>
  <c r="AX253" i="11"/>
  <c r="AJ253" i="11" s="1"/>
  <c r="AK253" i="11" s="1"/>
  <c r="AL253" i="11" s="1"/>
  <c r="AM253" i="11" s="1"/>
  <c r="AN253" i="11" s="1"/>
  <c r="AO253" i="11" s="1"/>
  <c r="AP253" i="11" s="1"/>
  <c r="AQ253" i="11" s="1"/>
  <c r="AR253" i="11" s="1"/>
  <c r="AS253" i="11" s="1"/>
  <c r="AT253" i="11" s="1"/>
  <c r="AU253" i="11" s="1"/>
  <c r="AV253" i="11" s="1"/>
  <c r="AW253" i="11" s="1"/>
  <c r="AC26" i="12"/>
  <c r="T59" i="12"/>
  <c r="Q59" i="12"/>
  <c r="AP62" i="12"/>
  <c r="W10" i="12"/>
  <c r="Y10" i="12"/>
  <c r="AB61" i="12"/>
  <c r="X97" i="12"/>
  <c r="AQ60" i="12"/>
  <c r="AF8" i="12"/>
  <c r="Y27" i="12"/>
  <c r="Z27" i="12"/>
  <c r="AB59" i="12"/>
  <c r="AN61" i="12"/>
  <c r="AC65" i="12"/>
  <c r="AG65" i="12"/>
  <c r="O26" i="12"/>
  <c r="P59" i="12"/>
  <c r="V91" i="12"/>
  <c r="AR91" i="12"/>
  <c r="O91" i="12"/>
  <c r="X28" i="12"/>
  <c r="AN28" i="12"/>
  <c r="AG28" i="12"/>
  <c r="AQ62" i="12"/>
  <c r="AG10" i="12"/>
  <c r="AA10" i="12"/>
  <c r="W97" i="12"/>
  <c r="P97" i="12"/>
  <c r="AB91" i="12"/>
  <c r="AJ60" i="12"/>
  <c r="Q89" i="12"/>
  <c r="AB8" i="12"/>
  <c r="AC89" i="12"/>
  <c r="AD8" i="12"/>
  <c r="Y89" i="12"/>
  <c r="AB90" i="12"/>
  <c r="AM89" i="12"/>
  <c r="BB89" i="12" s="1"/>
  <c r="BQ89" i="12" s="1"/>
  <c r="BC89" i="12" s="1"/>
  <c r="BD89" i="12" s="1"/>
  <c r="BE89" i="12" s="1"/>
  <c r="BF89" i="12" s="1"/>
  <c r="BG89" i="12" s="1"/>
  <c r="BH89" i="12" s="1"/>
  <c r="BI89" i="12" s="1"/>
  <c r="BJ89" i="12" s="1"/>
  <c r="BK89" i="12" s="1"/>
  <c r="BL89" i="12" s="1"/>
  <c r="BM89" i="12" s="1"/>
  <c r="BN89" i="12" s="1"/>
  <c r="BO89" i="12" s="1"/>
  <c r="BP89" i="12" s="1"/>
  <c r="P8" i="12"/>
  <c r="W27" i="12"/>
  <c r="AK27" i="12"/>
  <c r="AQ27" i="12"/>
  <c r="V90" i="12"/>
  <c r="X25" i="12"/>
  <c r="Y96" i="12"/>
  <c r="AR59" i="12"/>
  <c r="R61" i="12"/>
  <c r="AS98" i="12"/>
  <c r="AT98" i="12" s="1"/>
  <c r="AU98" i="12" s="1"/>
  <c r="AV98" i="12" s="1"/>
  <c r="AW98" i="12" s="1"/>
  <c r="AX98" i="12" s="1"/>
  <c r="AY98" i="12" s="1"/>
  <c r="AZ98" i="12" s="1"/>
  <c r="BA98" i="12" s="1"/>
  <c r="AG59" i="12"/>
  <c r="AH60" i="12"/>
  <c r="BM266" i="11"/>
  <c r="BR266" i="11" s="1"/>
  <c r="BN266" i="11" s="1"/>
  <c r="BO266" i="11" s="1"/>
  <c r="BP266" i="11" s="1"/>
  <c r="BQ266" i="11" s="1"/>
  <c r="F101" i="34"/>
  <c r="P89" i="12"/>
  <c r="Y65" i="12"/>
  <c r="AE26" i="12"/>
  <c r="AM26" i="12"/>
  <c r="BB26" i="12" s="1"/>
  <c r="BQ26" i="12" s="1"/>
  <c r="AD59" i="12"/>
  <c r="AO91" i="12"/>
  <c r="Z91" i="12"/>
  <c r="Q28" i="12"/>
  <c r="AC28" i="12"/>
  <c r="Y28" i="12"/>
  <c r="AO62" i="12"/>
  <c r="AL59" i="12"/>
  <c r="AC8" i="12"/>
  <c r="AD89" i="12"/>
  <c r="O89" i="12"/>
  <c r="M8" i="12"/>
  <c r="T8" i="12"/>
  <c r="X10" i="12"/>
  <c r="AO27" i="12"/>
  <c r="P27" i="12"/>
  <c r="Q62" i="12"/>
  <c r="V27" i="12"/>
  <c r="N10" i="12"/>
  <c r="U97" i="12"/>
  <c r="X26" i="12"/>
  <c r="AA62" i="12"/>
  <c r="V97" i="12"/>
  <c r="O61" i="12"/>
  <c r="R10" i="12"/>
  <c r="P61" i="12"/>
  <c r="R89" i="12"/>
  <c r="AE65" i="12"/>
  <c r="AH65" i="12"/>
  <c r="V26" i="12"/>
  <c r="R59" i="12"/>
  <c r="AE59" i="12"/>
  <c r="AI91" i="12"/>
  <c r="S91" i="12"/>
  <c r="T91" i="12"/>
  <c r="AN91" i="12"/>
  <c r="Z28" i="12"/>
  <c r="AE28" i="12"/>
  <c r="W28" i="12"/>
  <c r="V62" i="12"/>
  <c r="J10" i="12"/>
  <c r="AH59" i="12"/>
  <c r="AD90" i="12"/>
  <c r="AI90" i="12"/>
  <c r="V28" i="12"/>
  <c r="X8" i="12"/>
  <c r="K8" i="12"/>
  <c r="AL89" i="12"/>
  <c r="AE90" i="12"/>
  <c r="P10" i="12"/>
  <c r="L10" i="12"/>
  <c r="X27" i="12"/>
  <c r="AD27" i="12"/>
  <c r="U61" i="12"/>
  <c r="AG61" i="12"/>
  <c r="AY393" i="11"/>
  <c r="AZ393" i="11" s="1"/>
  <c r="BA393" i="11" s="1"/>
  <c r="BB393" i="11" s="1"/>
  <c r="BC393" i="11" s="1"/>
  <c r="BD393" i="11" s="1"/>
  <c r="BE393" i="11" s="1"/>
  <c r="BF393" i="11" s="1"/>
  <c r="BG393" i="11" s="1"/>
  <c r="BH393" i="11" s="1"/>
  <c r="BI393" i="11" s="1"/>
  <c r="BJ393" i="11" s="1"/>
  <c r="BK393" i="11" s="1"/>
  <c r="BL393" i="11" s="1"/>
  <c r="K10" i="12"/>
  <c r="AQ61" i="12"/>
  <c r="AI26" i="12"/>
  <c r="D101" i="34"/>
  <c r="AL26" i="12"/>
  <c r="C101" i="34"/>
  <c r="AI89" i="12"/>
  <c r="AM65" i="12"/>
  <c r="BB65" i="12" s="1"/>
  <c r="BQ65" i="12" s="1"/>
  <c r="AP59" i="12"/>
  <c r="AA59" i="12"/>
  <c r="AR28" i="12"/>
  <c r="P91" i="12"/>
  <c r="Y91" i="12"/>
  <c r="AK28" i="12"/>
  <c r="AI28" i="12"/>
  <c r="R28" i="12"/>
  <c r="AG62" i="12"/>
  <c r="AK90" i="12"/>
  <c r="O59" i="12"/>
  <c r="Z89" i="12"/>
  <c r="N8" i="12"/>
  <c r="V8" i="12"/>
  <c r="S89" i="12"/>
  <c r="AG27" i="12"/>
  <c r="AE27" i="12"/>
  <c r="O27" i="12"/>
  <c r="AJ358" i="11"/>
  <c r="AK358" i="11" s="1"/>
  <c r="AL358" i="11" s="1"/>
  <c r="AM358" i="11" s="1"/>
  <c r="AN358" i="11" s="1"/>
  <c r="AO358" i="11" s="1"/>
  <c r="AP358" i="11" s="1"/>
  <c r="AQ358" i="11" s="1"/>
  <c r="AR358" i="11" s="1"/>
  <c r="AS358" i="11" s="1"/>
  <c r="AT358" i="11" s="1"/>
  <c r="AU358" i="11" s="1"/>
  <c r="AV358" i="11" s="1"/>
  <c r="AW358" i="11" s="1"/>
  <c r="O14" i="12"/>
  <c r="P14" i="12" s="1"/>
  <c r="Q14" i="12" s="1"/>
  <c r="R14" i="12" s="1"/>
  <c r="S14" i="12" s="1"/>
  <c r="T14" i="12" s="1"/>
  <c r="C145" i="6"/>
  <c r="C132" i="6"/>
  <c r="F25" i="35"/>
  <c r="AS95" i="12"/>
  <c r="AT95" i="12" s="1"/>
  <c r="AU95" i="12" s="1"/>
  <c r="AV95" i="12" s="1"/>
  <c r="AW95" i="12" s="1"/>
  <c r="AX95" i="12" s="1"/>
  <c r="AY95" i="12" s="1"/>
  <c r="AZ95" i="12" s="1"/>
  <c r="BA95" i="12" s="1"/>
  <c r="AS68" i="12"/>
  <c r="AT68" i="12" s="1"/>
  <c r="AU68" i="12" s="1"/>
  <c r="AV68" i="12" s="1"/>
  <c r="AW68" i="12" s="1"/>
  <c r="AX68" i="12" s="1"/>
  <c r="AY68" i="12" s="1"/>
  <c r="AZ68" i="12" s="1"/>
  <c r="BA68" i="12" s="1"/>
  <c r="BC18" i="12"/>
  <c r="BD18" i="12" s="1"/>
  <c r="BE18" i="12" s="1"/>
  <c r="BF18" i="12" s="1"/>
  <c r="BG18" i="12" s="1"/>
  <c r="BH18" i="12" s="1"/>
  <c r="BI18" i="12" s="1"/>
  <c r="BJ18" i="12" s="1"/>
  <c r="BK18" i="12" s="1"/>
  <c r="BL18" i="12" s="1"/>
  <c r="BM18" i="12" s="1"/>
  <c r="BN18" i="12" s="1"/>
  <c r="BO18" i="12" s="1"/>
  <c r="BP18" i="12" s="1"/>
  <c r="F27" i="35"/>
  <c r="AI18" i="12"/>
  <c r="AJ18" i="12" s="1"/>
  <c r="AK18" i="12" s="1"/>
  <c r="AL18" i="12" s="1"/>
  <c r="AM18" i="12" s="1"/>
  <c r="AN18" i="12" s="1"/>
  <c r="AO18" i="12" s="1"/>
  <c r="AP18" i="12" s="1"/>
  <c r="AQ18" i="12" s="1"/>
  <c r="AR18" i="12" s="1"/>
  <c r="AS18" i="12" s="1"/>
  <c r="AT18" i="12" s="1"/>
  <c r="AU18" i="12" s="1"/>
  <c r="AV18" i="12" s="1"/>
  <c r="AW18" i="12" s="1"/>
  <c r="AX18" i="12" s="1"/>
  <c r="AY18" i="12" s="1"/>
  <c r="AZ18" i="12" s="1"/>
  <c r="BA18" i="12" s="1"/>
  <c r="AS33" i="12"/>
  <c r="AT33" i="12" s="1"/>
  <c r="AU33" i="12" s="1"/>
  <c r="AV33" i="12" s="1"/>
  <c r="AW33" i="12" s="1"/>
  <c r="AX33" i="12" s="1"/>
  <c r="AY33" i="12" s="1"/>
  <c r="AZ33" i="12" s="1"/>
  <c r="BA33" i="12" s="1"/>
  <c r="AS66" i="12"/>
  <c r="AT66" i="12" s="1"/>
  <c r="AU66" i="12" s="1"/>
  <c r="AV66" i="12" s="1"/>
  <c r="AW66" i="12" s="1"/>
  <c r="AX66" i="12" s="1"/>
  <c r="AY66" i="12" s="1"/>
  <c r="AZ66" i="12" s="1"/>
  <c r="BA66" i="12" s="1"/>
  <c r="G111" i="119"/>
  <c r="O112" i="119"/>
  <c r="G115" i="119"/>
  <c r="O116" i="119"/>
  <c r="G117" i="119"/>
  <c r="O118" i="119"/>
  <c r="G120" i="119"/>
  <c r="O121" i="119"/>
  <c r="G122" i="119"/>
  <c r="O123" i="119"/>
  <c r="G125" i="119"/>
  <c r="O126" i="119"/>
  <c r="G127" i="119"/>
  <c r="O128" i="119"/>
  <c r="G130" i="119"/>
  <c r="O131" i="119"/>
  <c r="G132" i="119"/>
  <c r="O133" i="119"/>
  <c r="G135" i="119"/>
  <c r="O136" i="119"/>
  <c r="G137" i="119"/>
  <c r="O138" i="119"/>
  <c r="G140" i="119"/>
  <c r="O141" i="119"/>
  <c r="G142" i="119"/>
  <c r="O143" i="119"/>
  <c r="G145" i="119"/>
  <c r="O146" i="119"/>
  <c r="G147" i="119"/>
  <c r="O148" i="119"/>
  <c r="I116" i="119"/>
  <c r="Q118" i="119"/>
  <c r="I123" i="119"/>
  <c r="I126" i="119"/>
  <c r="Q128" i="119"/>
  <c r="I133" i="119"/>
  <c r="Q136" i="119"/>
  <c r="I141" i="119"/>
  <c r="Q143" i="119"/>
  <c r="I148" i="119"/>
  <c r="R112" i="119"/>
  <c r="J118" i="119"/>
  <c r="R121" i="119"/>
  <c r="R126" i="119"/>
  <c r="J131" i="119"/>
  <c r="R133" i="119"/>
  <c r="J138" i="119"/>
  <c r="R141" i="119"/>
  <c r="J146" i="119"/>
  <c r="R148" i="119"/>
  <c r="K118" i="119"/>
  <c r="S121" i="119"/>
  <c r="K126" i="119"/>
  <c r="S128" i="119"/>
  <c r="K133" i="119"/>
  <c r="K138" i="119"/>
  <c r="S141" i="119"/>
  <c r="K146" i="119"/>
  <c r="S148" i="119"/>
  <c r="L126" i="119"/>
  <c r="L133" i="119"/>
  <c r="L141" i="119"/>
  <c r="L148" i="119"/>
  <c r="E111" i="119"/>
  <c r="M116" i="119"/>
  <c r="E120" i="119"/>
  <c r="M123" i="119"/>
  <c r="E127" i="119"/>
  <c r="M131" i="119"/>
  <c r="E135" i="119"/>
  <c r="M138" i="119"/>
  <c r="E142" i="119"/>
  <c r="M146" i="119"/>
  <c r="H112" i="119"/>
  <c r="P112" i="119"/>
  <c r="H116" i="119"/>
  <c r="P116" i="119"/>
  <c r="H118" i="119"/>
  <c r="P118" i="119"/>
  <c r="H121" i="119"/>
  <c r="P121" i="119"/>
  <c r="H123" i="119"/>
  <c r="P123" i="119"/>
  <c r="H126" i="119"/>
  <c r="P126" i="119"/>
  <c r="H128" i="119"/>
  <c r="P128" i="119"/>
  <c r="H131" i="119"/>
  <c r="P131" i="119"/>
  <c r="H133" i="119"/>
  <c r="P133" i="119"/>
  <c r="H136" i="119"/>
  <c r="P136" i="119"/>
  <c r="H138" i="119"/>
  <c r="P138" i="119"/>
  <c r="H141" i="119"/>
  <c r="P141" i="119"/>
  <c r="H143" i="119"/>
  <c r="P143" i="119"/>
  <c r="H146" i="119"/>
  <c r="P146" i="119"/>
  <c r="H148" i="119"/>
  <c r="P148" i="119"/>
  <c r="I112" i="119"/>
  <c r="Q112" i="119"/>
  <c r="Q116" i="119"/>
  <c r="I118" i="119"/>
  <c r="I121" i="119"/>
  <c r="Q123" i="119"/>
  <c r="I128" i="119"/>
  <c r="Q131" i="119"/>
  <c r="I136" i="119"/>
  <c r="Q138" i="119"/>
  <c r="I143" i="119"/>
  <c r="Q146" i="119"/>
  <c r="J112" i="119"/>
  <c r="R116" i="119"/>
  <c r="J121" i="119"/>
  <c r="R123" i="119"/>
  <c r="J128" i="119"/>
  <c r="R131" i="119"/>
  <c r="J136" i="119"/>
  <c r="J141" i="119"/>
  <c r="R143" i="119"/>
  <c r="J148" i="119"/>
  <c r="K116" i="119"/>
  <c r="S118" i="119"/>
  <c r="S123" i="119"/>
  <c r="K128" i="119"/>
  <c r="S131" i="119"/>
  <c r="K136" i="119"/>
  <c r="S138" i="119"/>
  <c r="K143" i="119"/>
  <c r="S146" i="119"/>
  <c r="L112" i="119"/>
  <c r="L116" i="119"/>
  <c r="L123" i="119"/>
  <c r="L128" i="119"/>
  <c r="L136" i="119"/>
  <c r="L143" i="119"/>
  <c r="M112" i="119"/>
  <c r="E117" i="119"/>
  <c r="M121" i="119"/>
  <c r="E125" i="119"/>
  <c r="M128" i="119"/>
  <c r="E132" i="119"/>
  <c r="E137" i="119"/>
  <c r="M141" i="119"/>
  <c r="E145" i="119"/>
  <c r="M148" i="119"/>
  <c r="F111" i="119"/>
  <c r="N112" i="119"/>
  <c r="F115" i="119"/>
  <c r="N116" i="119"/>
  <c r="F117" i="119"/>
  <c r="N118" i="119"/>
  <c r="F120" i="119"/>
  <c r="N121" i="119"/>
  <c r="F122" i="119"/>
  <c r="N123" i="119"/>
  <c r="F125" i="119"/>
  <c r="N126" i="119"/>
  <c r="F127" i="119"/>
  <c r="N128" i="119"/>
  <c r="F130" i="119"/>
  <c r="N131" i="119"/>
  <c r="F132" i="119"/>
  <c r="N133" i="119"/>
  <c r="F135" i="119"/>
  <c r="N136" i="119"/>
  <c r="F137" i="119"/>
  <c r="N138" i="119"/>
  <c r="F140" i="119"/>
  <c r="N141" i="119"/>
  <c r="F142" i="119"/>
  <c r="N143" i="119"/>
  <c r="F145" i="119"/>
  <c r="N146" i="119"/>
  <c r="F147" i="119"/>
  <c r="N148" i="119"/>
  <c r="Q121" i="119"/>
  <c r="Q126" i="119"/>
  <c r="I131" i="119"/>
  <c r="Q133" i="119"/>
  <c r="I138" i="119"/>
  <c r="Q141" i="119"/>
  <c r="I146" i="119"/>
  <c r="Q148" i="119"/>
  <c r="J116" i="119"/>
  <c r="R118" i="119"/>
  <c r="J123" i="119"/>
  <c r="J126" i="119"/>
  <c r="R128" i="119"/>
  <c r="J133" i="119"/>
  <c r="R136" i="119"/>
  <c r="R138" i="119"/>
  <c r="J143" i="119"/>
  <c r="R146" i="119"/>
  <c r="K112" i="119"/>
  <c r="S112" i="119"/>
  <c r="S116" i="119"/>
  <c r="K121" i="119"/>
  <c r="K123" i="119"/>
  <c r="S126" i="119"/>
  <c r="K131" i="119"/>
  <c r="S133" i="119"/>
  <c r="S136" i="119"/>
  <c r="K141" i="119"/>
  <c r="S143" i="119"/>
  <c r="K148" i="119"/>
  <c r="L118" i="119"/>
  <c r="L121" i="119"/>
  <c r="L131" i="119"/>
  <c r="L138" i="119"/>
  <c r="L146" i="119"/>
  <c r="E115" i="119"/>
  <c r="M118" i="119"/>
  <c r="E122" i="119"/>
  <c r="M126" i="119"/>
  <c r="E130" i="119"/>
  <c r="M133" i="119"/>
  <c r="M136" i="119"/>
  <c r="E140" i="119"/>
  <c r="M143" i="119"/>
  <c r="E147" i="119"/>
  <c r="L105" i="119"/>
  <c r="AX366" i="11"/>
  <c r="AJ366" i="11" s="1"/>
  <c r="AK366" i="11" s="1"/>
  <c r="AL366" i="11" s="1"/>
  <c r="AM366" i="11" s="1"/>
  <c r="AN366" i="11" s="1"/>
  <c r="AO366" i="11" s="1"/>
  <c r="AP366" i="11" s="1"/>
  <c r="AQ366" i="11" s="1"/>
  <c r="AR366" i="11" s="1"/>
  <c r="AS366" i="11" s="1"/>
  <c r="AT366" i="11" s="1"/>
  <c r="AU366" i="11" s="1"/>
  <c r="AV366" i="11" s="1"/>
  <c r="AW366" i="11" s="1"/>
  <c r="Z536" i="11"/>
  <c r="AA366" i="11" s="1"/>
  <c r="AB366" i="11" s="1"/>
  <c r="AC366" i="11" s="1"/>
  <c r="AD366" i="11" s="1"/>
  <c r="AE366" i="11" s="1"/>
  <c r="AF366" i="11" s="1"/>
  <c r="AG366" i="11" s="1"/>
  <c r="AH366" i="11" s="1"/>
  <c r="AB15" i="12"/>
  <c r="AN97" i="12"/>
  <c r="N62" i="12"/>
  <c r="O15" i="12"/>
  <c r="AP97" i="12"/>
  <c r="AC97" i="12"/>
  <c r="B95" i="34"/>
  <c r="G32" i="34"/>
  <c r="AX357" i="11"/>
  <c r="AJ357" i="11" s="1"/>
  <c r="AK357" i="11" s="1"/>
  <c r="AL357" i="11" s="1"/>
  <c r="AM357" i="11" s="1"/>
  <c r="AN357" i="11" s="1"/>
  <c r="AO357" i="11" s="1"/>
  <c r="AP357" i="11" s="1"/>
  <c r="AQ357" i="11" s="1"/>
  <c r="AR357" i="11" s="1"/>
  <c r="AS357" i="11" s="1"/>
  <c r="AT357" i="11" s="1"/>
  <c r="AU357" i="11" s="1"/>
  <c r="AV357" i="11" s="1"/>
  <c r="AW357" i="11" s="1"/>
  <c r="Z527" i="11"/>
  <c r="AA357" i="11" s="1"/>
  <c r="AB357" i="11" s="1"/>
  <c r="AC357" i="11" s="1"/>
  <c r="AD357" i="11" s="1"/>
  <c r="AE357" i="11" s="1"/>
  <c r="AF357" i="11" s="1"/>
  <c r="AG357" i="11" s="1"/>
  <c r="AH357" i="11" s="1"/>
  <c r="AX267" i="11"/>
  <c r="AJ267" i="11" s="1"/>
  <c r="AK267" i="11" s="1"/>
  <c r="AL267" i="11" s="1"/>
  <c r="AM267" i="11" s="1"/>
  <c r="AN267" i="11" s="1"/>
  <c r="AO267" i="11" s="1"/>
  <c r="AP267" i="11" s="1"/>
  <c r="AQ267" i="11" s="1"/>
  <c r="AR267" i="11" s="1"/>
  <c r="AS267" i="11" s="1"/>
  <c r="AT267" i="11" s="1"/>
  <c r="AU267" i="11" s="1"/>
  <c r="AV267" i="11" s="1"/>
  <c r="AW267" i="11" s="1"/>
  <c r="AE267" i="11"/>
  <c r="AF267" i="11" s="1"/>
  <c r="AG267" i="11" s="1"/>
  <c r="AH267" i="11" s="1"/>
  <c r="AA7" i="12"/>
  <c r="P7" i="12"/>
  <c r="T7" i="12"/>
  <c r="AB7" i="12"/>
  <c r="AH7" i="12"/>
  <c r="BB7" i="12" s="1"/>
  <c r="BQ7" i="12" s="1"/>
  <c r="W7" i="12"/>
  <c r="O7" i="12"/>
  <c r="AE7" i="12"/>
  <c r="L7" i="12"/>
  <c r="Y7" i="12"/>
  <c r="W15" i="12"/>
  <c r="T15" i="12"/>
  <c r="M15" i="12"/>
  <c r="AE15" i="12"/>
  <c r="V15" i="12"/>
  <c r="S15" i="12"/>
  <c r="X15" i="12"/>
  <c r="I15" i="12"/>
  <c r="Q15" i="12"/>
  <c r="R15" i="12"/>
  <c r="Z15" i="12"/>
  <c r="AC15" i="12"/>
  <c r="U15" i="12"/>
  <c r="AX376" i="11"/>
  <c r="Z546" i="11"/>
  <c r="AA376" i="11" s="1"/>
  <c r="AB376" i="11" s="1"/>
  <c r="AC376" i="11" s="1"/>
  <c r="AD376" i="11" s="1"/>
  <c r="AE376" i="11" s="1"/>
  <c r="AF376" i="11" s="1"/>
  <c r="AG376" i="11" s="1"/>
  <c r="AH376" i="11" s="1"/>
  <c r="Y15" i="12"/>
  <c r="AH62" i="12"/>
  <c r="P62" i="12"/>
  <c r="O62" i="12"/>
  <c r="AE62" i="12"/>
  <c r="AM62" i="12"/>
  <c r="BB62" i="12" s="1"/>
  <c r="U62" i="12"/>
  <c r="Y62" i="12"/>
  <c r="AF62" i="12"/>
  <c r="AD62" i="12"/>
  <c r="S62" i="12"/>
  <c r="AR62" i="12"/>
  <c r="AJ62" i="12"/>
  <c r="AX259" i="11"/>
  <c r="AJ259" i="11" s="1"/>
  <c r="AK259" i="11" s="1"/>
  <c r="AL259" i="11" s="1"/>
  <c r="AM259" i="11" s="1"/>
  <c r="AN259" i="11" s="1"/>
  <c r="AO259" i="11" s="1"/>
  <c r="AP259" i="11" s="1"/>
  <c r="AQ259" i="11" s="1"/>
  <c r="AR259" i="11" s="1"/>
  <c r="AS259" i="11" s="1"/>
  <c r="AT259" i="11" s="1"/>
  <c r="AU259" i="11" s="1"/>
  <c r="AV259" i="11" s="1"/>
  <c r="AW259" i="11" s="1"/>
  <c r="AE259" i="11"/>
  <c r="AF259" i="11" s="1"/>
  <c r="AG259" i="11" s="1"/>
  <c r="AH259" i="11" s="1"/>
  <c r="BM380" i="11"/>
  <c r="AY380" i="11" s="1"/>
  <c r="AZ380" i="11" s="1"/>
  <c r="BA380" i="11" s="1"/>
  <c r="BB380" i="11" s="1"/>
  <c r="BC380" i="11" s="1"/>
  <c r="BD380" i="11" s="1"/>
  <c r="BE380" i="11" s="1"/>
  <c r="BF380" i="11" s="1"/>
  <c r="BG380" i="11" s="1"/>
  <c r="BH380" i="11" s="1"/>
  <c r="BI380" i="11" s="1"/>
  <c r="BJ380" i="11" s="1"/>
  <c r="BK380" i="11" s="1"/>
  <c r="BL380" i="11" s="1"/>
  <c r="AJ380" i="11"/>
  <c r="AK380" i="11" s="1"/>
  <c r="AL380" i="11" s="1"/>
  <c r="AM380" i="11" s="1"/>
  <c r="AN380" i="11" s="1"/>
  <c r="AO380" i="11" s="1"/>
  <c r="AP380" i="11" s="1"/>
  <c r="AQ380" i="11" s="1"/>
  <c r="AR380" i="11" s="1"/>
  <c r="AS380" i="11" s="1"/>
  <c r="AT380" i="11" s="1"/>
  <c r="AU380" i="11" s="1"/>
  <c r="AV380" i="11" s="1"/>
  <c r="AW380" i="11" s="1"/>
  <c r="X62" i="12"/>
  <c r="AN62" i="12"/>
  <c r="AL62" i="12"/>
  <c r="J15" i="12"/>
  <c r="L15" i="12"/>
  <c r="O31" i="12"/>
  <c r="P31" i="12" s="1"/>
  <c r="Q31" i="12" s="1"/>
  <c r="R31" i="12" s="1"/>
  <c r="S31" i="12" s="1"/>
  <c r="T31" i="12" s="1"/>
  <c r="O97" i="12"/>
  <c r="BM254" i="11"/>
  <c r="AY254" i="11" s="1"/>
  <c r="AZ254" i="11" s="1"/>
  <c r="BA254" i="11" s="1"/>
  <c r="BB254" i="11" s="1"/>
  <c r="BC254" i="11" s="1"/>
  <c r="BD254" i="11" s="1"/>
  <c r="BE254" i="11" s="1"/>
  <c r="BF254" i="11" s="1"/>
  <c r="BG254" i="11" s="1"/>
  <c r="BH254" i="11" s="1"/>
  <c r="BI254" i="11" s="1"/>
  <c r="BJ254" i="11" s="1"/>
  <c r="BK254" i="11" s="1"/>
  <c r="BL254" i="11" s="1"/>
  <c r="H15" i="12"/>
  <c r="AK62" i="12"/>
  <c r="W62" i="12"/>
  <c r="N15" i="12"/>
  <c r="AA15" i="12"/>
  <c r="AR97" i="12"/>
  <c r="W60" i="12"/>
  <c r="AN60" i="12"/>
  <c r="AM60" i="12"/>
  <c r="BB60" i="12" s="1"/>
  <c r="AL60" i="12"/>
  <c r="AD60" i="12"/>
  <c r="AR60" i="12"/>
  <c r="P60" i="12"/>
  <c r="N60" i="12"/>
  <c r="AP60" i="12"/>
  <c r="Q60" i="12"/>
  <c r="O60" i="12"/>
  <c r="AO60" i="12"/>
  <c r="S60" i="12"/>
  <c r="AA60" i="12"/>
  <c r="AC60" i="12"/>
  <c r="V60" i="12"/>
  <c r="U60" i="12"/>
  <c r="AB60" i="12"/>
  <c r="AK60" i="12"/>
  <c r="Z60" i="12"/>
  <c r="Y60" i="12"/>
  <c r="AG60" i="12"/>
  <c r="R60" i="12"/>
  <c r="X60" i="12"/>
  <c r="AI60" i="12"/>
  <c r="AF15" i="12"/>
  <c r="AD15" i="12"/>
  <c r="AI97" i="12"/>
  <c r="T97" i="12"/>
  <c r="AB97" i="12"/>
  <c r="R97" i="12"/>
  <c r="AO97" i="12"/>
  <c r="AK97" i="12"/>
  <c r="Y97" i="12"/>
  <c r="AA97" i="12"/>
  <c r="AH97" i="12"/>
  <c r="S97" i="12"/>
  <c r="AF97" i="12"/>
  <c r="AD97" i="12"/>
  <c r="AQ97" i="12"/>
  <c r="Q97" i="12"/>
  <c r="AM97" i="12"/>
  <c r="BB97" i="12" s="1"/>
  <c r="BQ97" i="12" s="1"/>
  <c r="Z62" i="12"/>
  <c r="T62" i="12"/>
  <c r="AG15" i="12"/>
  <c r="P15" i="12"/>
  <c r="Z97" i="12"/>
  <c r="BM488" i="11"/>
  <c r="AY488" i="11" s="1"/>
  <c r="AZ488" i="11" s="1"/>
  <c r="BA488" i="11" s="1"/>
  <c r="BB488" i="11" s="1"/>
  <c r="BC488" i="11" s="1"/>
  <c r="BD488" i="11" s="1"/>
  <c r="BE488" i="11" s="1"/>
  <c r="BF488" i="11" s="1"/>
  <c r="BG488" i="11" s="1"/>
  <c r="BH488" i="11" s="1"/>
  <c r="BI488" i="11" s="1"/>
  <c r="BJ488" i="11" s="1"/>
  <c r="BK488" i="11" s="1"/>
  <c r="BL488" i="11" s="1"/>
  <c r="AJ488" i="11"/>
  <c r="AK488" i="11" s="1"/>
  <c r="AL488" i="11" s="1"/>
  <c r="AM488" i="11" s="1"/>
  <c r="AN488" i="11" s="1"/>
  <c r="AO488" i="11" s="1"/>
  <c r="AP488" i="11" s="1"/>
  <c r="AQ488" i="11" s="1"/>
  <c r="AR488" i="11" s="1"/>
  <c r="AS488" i="11" s="1"/>
  <c r="AT488" i="11" s="1"/>
  <c r="AU488" i="11" s="1"/>
  <c r="AV488" i="11" s="1"/>
  <c r="AW488" i="11" s="1"/>
  <c r="V9" i="12"/>
  <c r="Z9" i="12"/>
  <c r="AC9" i="12"/>
  <c r="I9" i="12"/>
  <c r="O9" i="12"/>
  <c r="AH9" i="12"/>
  <c r="BB9" i="12" s="1"/>
  <c r="J9" i="12"/>
  <c r="Y9" i="12"/>
  <c r="L9" i="12"/>
  <c r="K9" i="12"/>
  <c r="X9" i="12"/>
  <c r="AD9" i="12"/>
  <c r="AB9" i="12"/>
  <c r="H9" i="12"/>
  <c r="R9" i="12"/>
  <c r="U9" i="12"/>
  <c r="AE9" i="12"/>
  <c r="AD92" i="12"/>
  <c r="W92" i="12"/>
  <c r="AN92" i="12"/>
  <c r="AR92" i="12"/>
  <c r="V92" i="12"/>
  <c r="AK92" i="12"/>
  <c r="Y92" i="12"/>
  <c r="Z92" i="12"/>
  <c r="AJ92" i="12"/>
  <c r="AL92" i="12"/>
  <c r="P92" i="12"/>
  <c r="AO92" i="12"/>
  <c r="X92" i="12"/>
  <c r="AA92" i="12"/>
  <c r="T92" i="12"/>
  <c r="AQ92" i="12"/>
  <c r="AE97" i="12"/>
  <c r="BM392" i="11"/>
  <c r="AY392" i="11" s="1"/>
  <c r="AZ392" i="11" s="1"/>
  <c r="BA392" i="11" s="1"/>
  <c r="BB392" i="11" s="1"/>
  <c r="BC392" i="11" s="1"/>
  <c r="BD392" i="11" s="1"/>
  <c r="BE392" i="11" s="1"/>
  <c r="BF392" i="11" s="1"/>
  <c r="BG392" i="11" s="1"/>
  <c r="BH392" i="11" s="1"/>
  <c r="BI392" i="11" s="1"/>
  <c r="BJ392" i="11" s="1"/>
  <c r="BK392" i="11" s="1"/>
  <c r="BL392" i="11" s="1"/>
  <c r="BR393" i="11"/>
  <c r="BN393" i="11" s="1"/>
  <c r="BO393" i="11" s="1"/>
  <c r="BP393" i="11" s="1"/>
  <c r="BQ393" i="11" s="1"/>
  <c r="AC61" i="12"/>
  <c r="AH61" i="12"/>
  <c r="Z59" i="12"/>
  <c r="AM59" i="12"/>
  <c r="BB59" i="12" s="1"/>
  <c r="AC10" i="12"/>
  <c r="S10" i="12"/>
  <c r="AP25" i="12"/>
  <c r="Q25" i="12"/>
  <c r="AQ25" i="12"/>
  <c r="N25" i="12"/>
  <c r="W61" i="12"/>
  <c r="V61" i="12"/>
  <c r="AH90" i="12"/>
  <c r="S90" i="12"/>
  <c r="T90" i="12"/>
  <c r="AL90" i="12"/>
  <c r="Y90" i="12"/>
  <c r="AC90" i="12"/>
  <c r="C56" i="34"/>
  <c r="D44" i="34"/>
  <c r="Z61" i="12"/>
  <c r="AK61" i="12"/>
  <c r="AQ59" i="12"/>
  <c r="N61" i="12"/>
  <c r="Q61" i="12"/>
  <c r="AP26" i="12"/>
  <c r="Q26" i="12"/>
  <c r="N26" i="12"/>
  <c r="AD26" i="12"/>
  <c r="AO26" i="12"/>
  <c r="AF26" i="12"/>
  <c r="U26" i="12"/>
  <c r="AQ26" i="12"/>
  <c r="Z26" i="12"/>
  <c r="R26" i="12"/>
  <c r="AJ26" i="12"/>
  <c r="AN26" i="12"/>
  <c r="Y26" i="12"/>
  <c r="AR26" i="12"/>
  <c r="AK26" i="12"/>
  <c r="AB26" i="12"/>
  <c r="S26" i="12"/>
  <c r="Z544" i="11"/>
  <c r="AA374" i="11" s="1"/>
  <c r="AB374" i="11" s="1"/>
  <c r="AC374" i="11" s="1"/>
  <c r="AD374" i="11" s="1"/>
  <c r="AE374" i="11" s="1"/>
  <c r="AF374" i="11" s="1"/>
  <c r="AG374" i="11" s="1"/>
  <c r="AH374" i="11" s="1"/>
  <c r="AX374" i="11"/>
  <c r="AJ59" i="12"/>
  <c r="AB25" i="12"/>
  <c r="AF25" i="12"/>
  <c r="P25" i="12"/>
  <c r="S25" i="12"/>
  <c r="AG25" i="12"/>
  <c r="AJ25" i="12"/>
  <c r="AL25" i="12"/>
  <c r="AF10" i="12"/>
  <c r="AH10" i="12"/>
  <c r="BB10" i="12" s="1"/>
  <c r="H10" i="12"/>
  <c r="M10" i="12"/>
  <c r="O10" i="12"/>
  <c r="Q10" i="12"/>
  <c r="AD10" i="12"/>
  <c r="S61" i="12"/>
  <c r="T61" i="12"/>
  <c r="AD61" i="12"/>
  <c r="T26" i="12"/>
  <c r="AA26" i="12"/>
  <c r="AC59" i="12"/>
  <c r="AO59" i="12"/>
  <c r="T10" i="12"/>
  <c r="AF59" i="12"/>
  <c r="U25" i="12"/>
  <c r="AA61" i="12"/>
  <c r="AK25" i="12"/>
  <c r="AR90" i="12"/>
  <c r="AP61" i="12"/>
  <c r="AE8" i="12"/>
  <c r="I8" i="12"/>
  <c r="Y8" i="12"/>
  <c r="AA28" i="12"/>
  <c r="U90" i="12"/>
  <c r="X90" i="12"/>
  <c r="U8" i="12"/>
  <c r="J8" i="12"/>
  <c r="AA27" i="12"/>
  <c r="S27" i="12"/>
  <c r="U65" i="12"/>
  <c r="N65" i="12"/>
  <c r="AO65" i="12"/>
  <c r="AN65" i="12"/>
  <c r="V65" i="12"/>
  <c r="X65" i="12"/>
  <c r="S65" i="12"/>
  <c r="AI65" i="12"/>
  <c r="AB65" i="12"/>
  <c r="T65" i="12"/>
  <c r="Q65" i="12"/>
  <c r="AJ65" i="12"/>
  <c r="AP65" i="12"/>
  <c r="AL65" i="12"/>
  <c r="O65" i="12"/>
  <c r="W65" i="12"/>
  <c r="AF65" i="12"/>
  <c r="Z660" i="11"/>
  <c r="AA490" i="11" s="1"/>
  <c r="AB490" i="11" s="1"/>
  <c r="AC490" i="11" s="1"/>
  <c r="AD490" i="11" s="1"/>
  <c r="AE490" i="11" s="1"/>
  <c r="AF490" i="11" s="1"/>
  <c r="AG490" i="11" s="1"/>
  <c r="AH490" i="11" s="1"/>
  <c r="AX490" i="11"/>
  <c r="W59" i="12"/>
  <c r="BM507" i="11"/>
  <c r="AY507" i="11" s="1"/>
  <c r="AZ507" i="11" s="1"/>
  <c r="BA507" i="11" s="1"/>
  <c r="BB507" i="11" s="1"/>
  <c r="BC507" i="11" s="1"/>
  <c r="BD507" i="11" s="1"/>
  <c r="BE507" i="11" s="1"/>
  <c r="BF507" i="11" s="1"/>
  <c r="BG507" i="11" s="1"/>
  <c r="BH507" i="11" s="1"/>
  <c r="BI507" i="11" s="1"/>
  <c r="BJ507" i="11" s="1"/>
  <c r="BK507" i="11" s="1"/>
  <c r="BL507" i="11" s="1"/>
  <c r="AJ507" i="11"/>
  <c r="AK507" i="11" s="1"/>
  <c r="AL507" i="11" s="1"/>
  <c r="AM507" i="11" s="1"/>
  <c r="AN507" i="11" s="1"/>
  <c r="AO507" i="11" s="1"/>
  <c r="AP507" i="11" s="1"/>
  <c r="AQ507" i="11" s="1"/>
  <c r="AR507" i="11" s="1"/>
  <c r="AS507" i="11" s="1"/>
  <c r="AT507" i="11" s="1"/>
  <c r="AU507" i="11" s="1"/>
  <c r="AV507" i="11" s="1"/>
  <c r="AW507" i="11" s="1"/>
  <c r="AI27" i="12"/>
  <c r="AM61" i="12"/>
  <c r="BB61" i="12" s="1"/>
  <c r="BQ61" i="12" s="1"/>
  <c r="AE61" i="12"/>
  <c r="AF61" i="12"/>
  <c r="AB10" i="12"/>
  <c r="Y61" i="12"/>
  <c r="P49" i="14"/>
  <c r="P26" i="12"/>
  <c r="AI59" i="12"/>
  <c r="U59" i="12"/>
  <c r="U10" i="12"/>
  <c r="AE25" i="12"/>
  <c r="N59" i="12"/>
  <c r="AN25" i="12"/>
  <c r="AG90" i="12"/>
  <c r="AM90" i="12"/>
  <c r="BB90" i="12" s="1"/>
  <c r="U28" i="12"/>
  <c r="S28" i="12"/>
  <c r="Z10" i="12"/>
  <c r="AA90" i="12"/>
  <c r="Q90" i="12"/>
  <c r="I10" i="12"/>
  <c r="R90" i="12"/>
  <c r="AC27" i="12"/>
  <c r="AP27" i="12"/>
  <c r="AN27" i="12"/>
  <c r="AJ27" i="12"/>
  <c r="T27" i="12"/>
  <c r="Z676" i="11"/>
  <c r="AA506" i="11" s="1"/>
  <c r="AB506" i="11" s="1"/>
  <c r="AC506" i="11" s="1"/>
  <c r="AD506" i="11" s="1"/>
  <c r="AE506" i="11" s="1"/>
  <c r="AF506" i="11" s="1"/>
  <c r="AG506" i="11" s="1"/>
  <c r="AH506" i="11" s="1"/>
  <c r="AX506" i="11"/>
  <c r="AJ506" i="11" s="1"/>
  <c r="AK506" i="11" s="1"/>
  <c r="AL506" i="11" s="1"/>
  <c r="AM506" i="11" s="1"/>
  <c r="AN506" i="11" s="1"/>
  <c r="AO506" i="11" s="1"/>
  <c r="AP506" i="11" s="1"/>
  <c r="AQ506" i="11" s="1"/>
  <c r="AR506" i="11" s="1"/>
  <c r="AS506" i="11" s="1"/>
  <c r="AT506" i="11" s="1"/>
  <c r="AU506" i="11" s="1"/>
  <c r="AV506" i="11" s="1"/>
  <c r="AW506" i="11" s="1"/>
  <c r="AX269" i="11"/>
  <c r="AJ269" i="11" s="1"/>
  <c r="AK269" i="11" s="1"/>
  <c r="AL269" i="11" s="1"/>
  <c r="AM269" i="11" s="1"/>
  <c r="AN269" i="11" s="1"/>
  <c r="AO269" i="11" s="1"/>
  <c r="AP269" i="11" s="1"/>
  <c r="AQ269" i="11" s="1"/>
  <c r="AR269" i="11" s="1"/>
  <c r="AS269" i="11" s="1"/>
  <c r="AT269" i="11" s="1"/>
  <c r="AU269" i="11" s="1"/>
  <c r="AV269" i="11" s="1"/>
  <c r="AW269" i="11" s="1"/>
  <c r="AE269" i="11"/>
  <c r="AF269" i="11" s="1"/>
  <c r="AG269" i="11" s="1"/>
  <c r="AH269" i="11" s="1"/>
  <c r="X61" i="12"/>
  <c r="R27" i="12"/>
  <c r="AL61" i="12"/>
  <c r="BQ33" i="12"/>
  <c r="BV33" i="12" s="1"/>
  <c r="BW33" i="12" s="1"/>
  <c r="BX33" i="12" s="1"/>
  <c r="BY33" i="12" s="1"/>
  <c r="BZ33" i="12" s="1"/>
  <c r="CA33" i="12" s="1"/>
  <c r="CB33" i="12" s="1"/>
  <c r="CC33" i="12" s="1"/>
  <c r="CD33" i="12" s="1"/>
  <c r="CE33" i="12" s="1"/>
  <c r="CF33" i="12" s="1"/>
  <c r="CG33" i="12" s="1"/>
  <c r="CH33" i="12" s="1"/>
  <c r="CI33" i="12" s="1"/>
  <c r="CJ33" i="12" s="1"/>
  <c r="CK33" i="12" s="1"/>
  <c r="CL33" i="12" s="1"/>
  <c r="CM33" i="12" s="1"/>
  <c r="CN33" i="12" s="1"/>
  <c r="CO33" i="12" s="1"/>
  <c r="CP33" i="12" s="1"/>
  <c r="CQ33" i="12" s="1"/>
  <c r="CR33" i="12" s="1"/>
  <c r="CS33" i="12" s="1"/>
  <c r="CT33" i="12" s="1"/>
  <c r="CU33" i="12" s="1"/>
  <c r="CV33" i="12" s="1"/>
  <c r="CW33" i="12" s="1"/>
  <c r="CX33" i="12" s="1"/>
  <c r="CY33" i="12" s="1"/>
  <c r="CZ33" i="12" s="1"/>
  <c r="C20" i="17"/>
  <c r="C21" i="17" s="1"/>
  <c r="C22" i="17" s="1"/>
  <c r="R49" i="14"/>
  <c r="AI17" i="12"/>
  <c r="AJ17" i="12" s="1"/>
  <c r="AK17" i="12" s="1"/>
  <c r="AL17" i="12" s="1"/>
  <c r="AM17" i="12" s="1"/>
  <c r="AN17" i="12" s="1"/>
  <c r="AO17" i="12" s="1"/>
  <c r="AP17" i="12" s="1"/>
  <c r="AQ17" i="12" s="1"/>
  <c r="AR17" i="12" s="1"/>
  <c r="AS17" i="12" s="1"/>
  <c r="AT17" i="12" s="1"/>
  <c r="AU17" i="12" s="1"/>
  <c r="AV17" i="12" s="1"/>
  <c r="AW17" i="12" s="1"/>
  <c r="AX17" i="12" s="1"/>
  <c r="AY17" i="12" s="1"/>
  <c r="AZ17" i="12" s="1"/>
  <c r="BA17" i="12" s="1"/>
  <c r="F24" i="35"/>
  <c r="BC95" i="12"/>
  <c r="BD95" i="12" s="1"/>
  <c r="BE95" i="12" s="1"/>
  <c r="BF95" i="12" s="1"/>
  <c r="BG95" i="12" s="1"/>
  <c r="BH95" i="12" s="1"/>
  <c r="BI95" i="12" s="1"/>
  <c r="BJ95" i="12" s="1"/>
  <c r="BK95" i="12" s="1"/>
  <c r="BL95" i="12" s="1"/>
  <c r="BM95" i="12" s="1"/>
  <c r="BN95" i="12" s="1"/>
  <c r="BO95" i="12" s="1"/>
  <c r="BP95" i="12" s="1"/>
  <c r="C14" i="24"/>
  <c r="H14" i="24" s="1"/>
  <c r="BC67" i="12"/>
  <c r="BD67" i="12" s="1"/>
  <c r="BE67" i="12" s="1"/>
  <c r="BF67" i="12" s="1"/>
  <c r="BG67" i="12" s="1"/>
  <c r="BH67" i="12" s="1"/>
  <c r="BI67" i="12" s="1"/>
  <c r="BJ67" i="12" s="1"/>
  <c r="BK67" i="12" s="1"/>
  <c r="BL67" i="12" s="1"/>
  <c r="BM67" i="12" s="1"/>
  <c r="BN67" i="12" s="1"/>
  <c r="BO67" i="12" s="1"/>
  <c r="BP67" i="12" s="1"/>
  <c r="G187" i="15"/>
  <c r="N187" i="15"/>
  <c r="F187" i="15"/>
  <c r="M187" i="15"/>
  <c r="E187" i="15"/>
  <c r="L187" i="15"/>
  <c r="D187" i="15"/>
  <c r="J187" i="15"/>
  <c r="H187" i="15"/>
  <c r="K187" i="15"/>
  <c r="C187" i="15"/>
  <c r="I187" i="15"/>
  <c r="AS67" i="12"/>
  <c r="AT67" i="12" s="1"/>
  <c r="AU67" i="12" s="1"/>
  <c r="AV67" i="12" s="1"/>
  <c r="AW67" i="12" s="1"/>
  <c r="AX67" i="12" s="1"/>
  <c r="AY67" i="12" s="1"/>
  <c r="AZ67" i="12" s="1"/>
  <c r="BA67" i="12" s="1"/>
  <c r="O66" i="15"/>
  <c r="B187" i="15"/>
  <c r="D66" i="15"/>
  <c r="M66" i="15" s="1"/>
  <c r="C34" i="34"/>
  <c r="E63" i="34" s="1"/>
  <c r="I49" i="14"/>
  <c r="C102" i="34"/>
  <c r="D102" i="34"/>
  <c r="AE66" i="15"/>
  <c r="B115" i="34"/>
  <c r="E37" i="34"/>
  <c r="H32" i="34"/>
  <c r="B110" i="34"/>
  <c r="B61" i="34"/>
  <c r="C117" i="34"/>
  <c r="D117" i="34"/>
  <c r="W66" i="15"/>
  <c r="E117" i="34"/>
  <c r="F102" i="34"/>
  <c r="F117" i="34"/>
  <c r="C49" i="14"/>
  <c r="B97" i="14" s="1"/>
  <c r="E68" i="34"/>
  <c r="D68" i="34"/>
  <c r="C67" i="34"/>
  <c r="E67" i="34"/>
  <c r="D67" i="34"/>
  <c r="C57" i="34"/>
  <c r="C98" i="34"/>
  <c r="C35" i="34"/>
  <c r="E64" i="34" s="1"/>
  <c r="D98" i="34"/>
  <c r="E98" i="34"/>
  <c r="V49" i="14"/>
  <c r="L49" i="14"/>
  <c r="L66" i="15"/>
  <c r="B66" i="34"/>
  <c r="K49" i="14"/>
  <c r="W49" i="14"/>
  <c r="H49" i="14"/>
  <c r="C18" i="24"/>
  <c r="H18" i="24" s="1"/>
  <c r="F21" i="35"/>
  <c r="O49" i="14"/>
  <c r="T49" i="14"/>
  <c r="M49" i="14"/>
  <c r="N66" i="15"/>
  <c r="K66" i="15"/>
  <c r="N49" i="14"/>
  <c r="J49" i="14"/>
  <c r="R66" i="15"/>
  <c r="U49" i="14"/>
  <c r="S49" i="14"/>
  <c r="G49" i="14"/>
  <c r="C16" i="24"/>
  <c r="H16" i="24" s="1"/>
  <c r="F19" i="35"/>
  <c r="BQ8" i="12"/>
  <c r="Q49" i="14"/>
  <c r="BQ68" i="12"/>
  <c r="BV68" i="12" s="1"/>
  <c r="BW68" i="12" s="1"/>
  <c r="BX68" i="12" s="1"/>
  <c r="BY68" i="12" s="1"/>
  <c r="BZ68" i="12" s="1"/>
  <c r="CA68" i="12" s="1"/>
  <c r="CB68" i="12" s="1"/>
  <c r="CC68" i="12" s="1"/>
  <c r="CD68" i="12" s="1"/>
  <c r="CE68" i="12" s="1"/>
  <c r="CF68" i="12" s="1"/>
  <c r="CG68" i="12" s="1"/>
  <c r="CH68" i="12" s="1"/>
  <c r="CI68" i="12" s="1"/>
  <c r="CJ68" i="12" s="1"/>
  <c r="CK68" i="12" s="1"/>
  <c r="CL68" i="12" s="1"/>
  <c r="CM68" i="12" s="1"/>
  <c r="CN68" i="12" s="1"/>
  <c r="CO68" i="12" s="1"/>
  <c r="CP68" i="12" s="1"/>
  <c r="CQ68" i="12" s="1"/>
  <c r="CR68" i="12" s="1"/>
  <c r="CS68" i="12" s="1"/>
  <c r="CT68" i="12" s="1"/>
  <c r="CU68" i="12" s="1"/>
  <c r="CV68" i="12" s="1"/>
  <c r="CW68" i="12" s="1"/>
  <c r="CX68" i="12" s="1"/>
  <c r="CY68" i="12" s="1"/>
  <c r="CZ68" i="12" s="1"/>
  <c r="E66" i="15"/>
  <c r="D49" i="14"/>
  <c r="F49" i="14"/>
  <c r="C97" i="34"/>
  <c r="E97" i="34"/>
  <c r="D97" i="34"/>
  <c r="C15" i="24"/>
  <c r="H15" i="24" s="1"/>
  <c r="F18" i="35"/>
  <c r="F20" i="35"/>
  <c r="C17" i="24"/>
  <c r="H17" i="24" s="1"/>
  <c r="C19" i="24"/>
  <c r="H19" i="24" s="1"/>
  <c r="F22" i="35"/>
  <c r="F26" i="35"/>
  <c r="C23" i="24"/>
  <c r="H23" i="24" s="1"/>
  <c r="C20" i="24"/>
  <c r="H20" i="24" s="1"/>
  <c r="F23" i="35"/>
  <c r="C25" i="24"/>
  <c r="H25" i="24" s="1"/>
  <c r="C33" i="34"/>
  <c r="C111" i="34" s="1"/>
  <c r="C67" i="15"/>
  <c r="Q67" i="15" s="1"/>
  <c r="BC66" i="12"/>
  <c r="BD66" i="12" s="1"/>
  <c r="BE66" i="12" s="1"/>
  <c r="BF66" i="12" s="1"/>
  <c r="BG66" i="12" s="1"/>
  <c r="BH66" i="12" s="1"/>
  <c r="BI66" i="12" s="1"/>
  <c r="BJ66" i="12" s="1"/>
  <c r="BK66" i="12" s="1"/>
  <c r="BL66" i="12" s="1"/>
  <c r="BM66" i="12" s="1"/>
  <c r="BN66" i="12" s="1"/>
  <c r="BO66" i="12" s="1"/>
  <c r="BP66" i="12" s="1"/>
  <c r="BV66" i="12"/>
  <c r="BW66" i="12" s="1"/>
  <c r="BX66" i="12" s="1"/>
  <c r="BY66" i="12" s="1"/>
  <c r="BZ66" i="12" s="1"/>
  <c r="CA66" i="12" s="1"/>
  <c r="CB66" i="12" s="1"/>
  <c r="CC66" i="12" s="1"/>
  <c r="CD66" i="12" s="1"/>
  <c r="CE66" i="12" s="1"/>
  <c r="CF66" i="12" s="1"/>
  <c r="CG66" i="12" s="1"/>
  <c r="CH66" i="12" s="1"/>
  <c r="CI66" i="12" s="1"/>
  <c r="CJ66" i="12" s="1"/>
  <c r="CK66" i="12" s="1"/>
  <c r="CL66" i="12" s="1"/>
  <c r="CM66" i="12" s="1"/>
  <c r="CN66" i="12" s="1"/>
  <c r="CO66" i="12" s="1"/>
  <c r="CP66" i="12" s="1"/>
  <c r="CQ66" i="12" s="1"/>
  <c r="CR66" i="12" s="1"/>
  <c r="CS66" i="12" s="1"/>
  <c r="CT66" i="12" s="1"/>
  <c r="CU66" i="12" s="1"/>
  <c r="CV66" i="12" s="1"/>
  <c r="CW66" i="12" s="1"/>
  <c r="CX66" i="12" s="1"/>
  <c r="CY66" i="12" s="1"/>
  <c r="CZ66" i="12" s="1"/>
  <c r="BQ34" i="12"/>
  <c r="AS34" i="12"/>
  <c r="AT34" i="12" s="1"/>
  <c r="AU34" i="12" s="1"/>
  <c r="AV34" i="12" s="1"/>
  <c r="AW34" i="12" s="1"/>
  <c r="AX34" i="12" s="1"/>
  <c r="AY34" i="12" s="1"/>
  <c r="AZ34" i="12" s="1"/>
  <c r="BA34" i="12" s="1"/>
  <c r="B23" i="17"/>
  <c r="H13" i="24"/>
  <c r="BR95" i="12"/>
  <c r="BS95" i="12" s="1"/>
  <c r="BT95" i="12" s="1"/>
  <c r="BU95" i="12" s="1"/>
  <c r="BQ99" i="12"/>
  <c r="AS99" i="12"/>
  <c r="AT99" i="12" s="1"/>
  <c r="AU99" i="12" s="1"/>
  <c r="AV99" i="12" s="1"/>
  <c r="AW99" i="12" s="1"/>
  <c r="AX99" i="12" s="1"/>
  <c r="AY99" i="12" s="1"/>
  <c r="AZ99" i="12" s="1"/>
  <c r="BA99" i="12" s="1"/>
  <c r="BC98" i="12"/>
  <c r="BD98" i="12" s="1"/>
  <c r="BE98" i="12" s="1"/>
  <c r="BF98" i="12" s="1"/>
  <c r="BG98" i="12" s="1"/>
  <c r="BH98" i="12" s="1"/>
  <c r="BI98" i="12" s="1"/>
  <c r="BJ98" i="12" s="1"/>
  <c r="BK98" i="12" s="1"/>
  <c r="BL98" i="12" s="1"/>
  <c r="BM98" i="12" s="1"/>
  <c r="BN98" i="12" s="1"/>
  <c r="BO98" i="12" s="1"/>
  <c r="BP98" i="12" s="1"/>
  <c r="BV98" i="12"/>
  <c r="BW98" i="12" s="1"/>
  <c r="BX98" i="12" s="1"/>
  <c r="BY98" i="12" s="1"/>
  <c r="BZ98" i="12" s="1"/>
  <c r="CA98" i="12" s="1"/>
  <c r="CB98" i="12" s="1"/>
  <c r="CC98" i="12" s="1"/>
  <c r="CD98" i="12" s="1"/>
  <c r="CE98" i="12" s="1"/>
  <c r="CF98" i="12" s="1"/>
  <c r="CG98" i="12" s="1"/>
  <c r="CH98" i="12" s="1"/>
  <c r="CI98" i="12" s="1"/>
  <c r="CJ98" i="12" s="1"/>
  <c r="CK98" i="12" s="1"/>
  <c r="CL98" i="12" s="1"/>
  <c r="CM98" i="12" s="1"/>
  <c r="CN98" i="12" s="1"/>
  <c r="CO98" i="12" s="1"/>
  <c r="CP98" i="12" s="1"/>
  <c r="CQ98" i="12" s="1"/>
  <c r="CR98" i="12" s="1"/>
  <c r="CS98" i="12" s="1"/>
  <c r="CT98" i="12" s="1"/>
  <c r="CU98" i="12" s="1"/>
  <c r="CV98" i="12" s="1"/>
  <c r="CW98" i="12" s="1"/>
  <c r="CX98" i="12" s="1"/>
  <c r="CY98" i="12" s="1"/>
  <c r="CZ98" i="12" s="1"/>
  <c r="AI16" i="12"/>
  <c r="AJ16" i="12" s="1"/>
  <c r="AK16" i="12" s="1"/>
  <c r="AL16" i="12" s="1"/>
  <c r="AM16" i="12" s="1"/>
  <c r="AN16" i="12" s="1"/>
  <c r="AO16" i="12" s="1"/>
  <c r="AP16" i="12" s="1"/>
  <c r="AQ16" i="12" s="1"/>
  <c r="AR16" i="12" s="1"/>
  <c r="AS16" i="12" s="1"/>
  <c r="AT16" i="12" s="1"/>
  <c r="AU16" i="12" s="1"/>
  <c r="AV16" i="12" s="1"/>
  <c r="AW16" i="12" s="1"/>
  <c r="AX16" i="12" s="1"/>
  <c r="AY16" i="12" s="1"/>
  <c r="AZ16" i="12" s="1"/>
  <c r="BA16" i="12" s="1"/>
  <c r="BQ16" i="12"/>
  <c r="BQ15" i="12"/>
  <c r="AI15" i="12"/>
  <c r="AJ15" i="12" s="1"/>
  <c r="AK15" i="12" s="1"/>
  <c r="AL15" i="12" s="1"/>
  <c r="AM15" i="12" s="1"/>
  <c r="AN15" i="12" s="1"/>
  <c r="AO15" i="12" s="1"/>
  <c r="AP15" i="12" s="1"/>
  <c r="AQ15" i="12" s="1"/>
  <c r="AR15" i="12" s="1"/>
  <c r="AS15" i="12" s="1"/>
  <c r="AT15" i="12" s="1"/>
  <c r="AU15" i="12" s="1"/>
  <c r="AV15" i="12" s="1"/>
  <c r="AW15" i="12" s="1"/>
  <c r="AX15" i="12" s="1"/>
  <c r="AY15" i="12" s="1"/>
  <c r="AZ15" i="12" s="1"/>
  <c r="BA15" i="12" s="1"/>
  <c r="A50" i="14"/>
  <c r="B50" i="14" s="1"/>
  <c r="AF66" i="15"/>
  <c r="P66" i="15"/>
  <c r="J66" i="15"/>
  <c r="I66" i="15"/>
  <c r="F66" i="15"/>
  <c r="U66" i="15"/>
  <c r="A98" i="14"/>
  <c r="C98" i="14" s="1"/>
  <c r="BQ100" i="12"/>
  <c r="AS100" i="12"/>
  <c r="AT100" i="12" s="1"/>
  <c r="AU100" i="12" s="1"/>
  <c r="AV100" i="12" s="1"/>
  <c r="AW100" i="12" s="1"/>
  <c r="AX100" i="12" s="1"/>
  <c r="AY100" i="12" s="1"/>
  <c r="AZ100" i="12" s="1"/>
  <c r="BA100" i="12" s="1"/>
  <c r="BC35" i="12"/>
  <c r="BD35" i="12" s="1"/>
  <c r="BE35" i="12" s="1"/>
  <c r="BF35" i="12" s="1"/>
  <c r="BG35" i="12" s="1"/>
  <c r="BH35" i="12" s="1"/>
  <c r="BI35" i="12" s="1"/>
  <c r="BJ35" i="12" s="1"/>
  <c r="BK35" i="12" s="1"/>
  <c r="BL35" i="12" s="1"/>
  <c r="BM35" i="12" s="1"/>
  <c r="BN35" i="12" s="1"/>
  <c r="BO35" i="12" s="1"/>
  <c r="BP35" i="12" s="1"/>
  <c r="BV35" i="12"/>
  <c r="BW35" i="12" s="1"/>
  <c r="BX35" i="12" s="1"/>
  <c r="BY35" i="12" s="1"/>
  <c r="BZ35" i="12" s="1"/>
  <c r="CA35" i="12" s="1"/>
  <c r="CB35" i="12" s="1"/>
  <c r="CC35" i="12" s="1"/>
  <c r="CD35" i="12" s="1"/>
  <c r="CE35" i="12" s="1"/>
  <c r="CF35" i="12" s="1"/>
  <c r="CG35" i="12" s="1"/>
  <c r="CH35" i="12" s="1"/>
  <c r="CI35" i="12" s="1"/>
  <c r="CJ35" i="12" s="1"/>
  <c r="CK35" i="12" s="1"/>
  <c r="CL35" i="12" s="1"/>
  <c r="CM35" i="12" s="1"/>
  <c r="CN35" i="12" s="1"/>
  <c r="CO35" i="12" s="1"/>
  <c r="CP35" i="12" s="1"/>
  <c r="CQ35" i="12" s="1"/>
  <c r="CR35" i="12" s="1"/>
  <c r="CS35" i="12" s="1"/>
  <c r="CT35" i="12" s="1"/>
  <c r="CU35" i="12" s="1"/>
  <c r="CV35" i="12" s="1"/>
  <c r="CW35" i="12" s="1"/>
  <c r="CX35" i="12" s="1"/>
  <c r="CY35" i="12" s="1"/>
  <c r="CZ35" i="12" s="1"/>
  <c r="AS35" i="12"/>
  <c r="AT35" i="12" s="1"/>
  <c r="AU35" i="12" s="1"/>
  <c r="AV35" i="12" s="1"/>
  <c r="AW35" i="12" s="1"/>
  <c r="AX35" i="12" s="1"/>
  <c r="AY35" i="12" s="1"/>
  <c r="AZ35" i="12" s="1"/>
  <c r="BA35" i="12" s="1"/>
  <c r="B68" i="15"/>
  <c r="A17" i="13" s="1"/>
  <c r="BC17" i="12"/>
  <c r="BD17" i="12" s="1"/>
  <c r="BE17" i="12" s="1"/>
  <c r="BF17" i="12" s="1"/>
  <c r="BG17" i="12" s="1"/>
  <c r="BH17" i="12" s="1"/>
  <c r="BI17" i="12" s="1"/>
  <c r="BJ17" i="12" s="1"/>
  <c r="BK17" i="12" s="1"/>
  <c r="BL17" i="12" s="1"/>
  <c r="BM17" i="12" s="1"/>
  <c r="BN17" i="12" s="1"/>
  <c r="BO17" i="12" s="1"/>
  <c r="BP17" i="12" s="1"/>
  <c r="BV17" i="12"/>
  <c r="BW17" i="12" s="1"/>
  <c r="BX17" i="12" s="1"/>
  <c r="BY17" i="12" s="1"/>
  <c r="BZ17" i="12" s="1"/>
  <c r="CA17" i="12" s="1"/>
  <c r="CB17" i="12" s="1"/>
  <c r="CC17" i="12" s="1"/>
  <c r="CD17" i="12" s="1"/>
  <c r="CE17" i="12" s="1"/>
  <c r="CF17" i="12" s="1"/>
  <c r="CG17" i="12" s="1"/>
  <c r="CH17" i="12" s="1"/>
  <c r="CI17" i="12" s="1"/>
  <c r="CJ17" i="12" s="1"/>
  <c r="CK17" i="12" s="1"/>
  <c r="CL17" i="12" s="1"/>
  <c r="CM17" i="12" s="1"/>
  <c r="CN17" i="12" s="1"/>
  <c r="CO17" i="12" s="1"/>
  <c r="CP17" i="12" s="1"/>
  <c r="CQ17" i="12" s="1"/>
  <c r="CR17" i="12" s="1"/>
  <c r="CS17" i="12" s="1"/>
  <c r="CT17" i="12" s="1"/>
  <c r="CU17" i="12" s="1"/>
  <c r="CV17" i="12" s="1"/>
  <c r="CW17" i="12" s="1"/>
  <c r="CX17" i="12" s="1"/>
  <c r="CY17" i="12" s="1"/>
  <c r="CZ17" i="12" s="1"/>
  <c r="BR67" i="12"/>
  <c r="BS67" i="12" s="1"/>
  <c r="BT67" i="12" s="1"/>
  <c r="BU67" i="12" s="1"/>
  <c r="D47" i="35"/>
  <c r="E96" i="34"/>
  <c r="C96" i="34"/>
  <c r="D96" i="34"/>
  <c r="L139" i="15"/>
  <c r="I139" i="15"/>
  <c r="H139" i="15"/>
  <c r="T139" i="15"/>
  <c r="Q139" i="15"/>
  <c r="G139" i="15"/>
  <c r="U139" i="15"/>
  <c r="R139" i="15"/>
  <c r="M139" i="15"/>
  <c r="N139" i="15"/>
  <c r="P139" i="15"/>
  <c r="V139" i="15"/>
  <c r="C118" i="34"/>
  <c r="F118" i="34"/>
  <c r="E118" i="34"/>
  <c r="D118" i="34"/>
  <c r="A19" i="17"/>
  <c r="A67" i="15"/>
  <c r="A140" i="15"/>
  <c r="A187" i="15" s="1"/>
  <c r="D69" i="34"/>
  <c r="E69" i="34"/>
  <c r="C69" i="34"/>
  <c r="E103" i="34"/>
  <c r="D103" i="34"/>
  <c r="F103" i="34"/>
  <c r="C103" i="34"/>
  <c r="L104" i="119"/>
  <c r="H72" i="119"/>
  <c r="H69" i="119" s="1"/>
  <c r="G72" i="119"/>
  <c r="C72" i="119"/>
  <c r="F72" i="119"/>
  <c r="E102" i="119"/>
  <c r="H102" i="119" s="1"/>
  <c r="I72" i="119"/>
  <c r="G102" i="119"/>
  <c r="J102" i="119" s="1"/>
  <c r="G105" i="119"/>
  <c r="J105" i="119" s="1"/>
  <c r="G107" i="119"/>
  <c r="J107" i="119" s="1"/>
  <c r="G103" i="119"/>
  <c r="J103" i="119" s="1"/>
  <c r="G104" i="119"/>
  <c r="J104" i="119" s="1"/>
  <c r="G106" i="119"/>
  <c r="J106" i="119" s="1"/>
  <c r="E106" i="119"/>
  <c r="H106" i="119" s="1"/>
  <c r="E105" i="119"/>
  <c r="E104" i="119"/>
  <c r="H104" i="119" s="1"/>
  <c r="E103" i="119"/>
  <c r="E107" i="119"/>
  <c r="I107" i="119" s="1"/>
  <c r="G101" i="119"/>
  <c r="J101" i="119" s="1"/>
  <c r="E101" i="119"/>
  <c r="D139" i="15"/>
  <c r="E139" i="15"/>
  <c r="C139" i="15"/>
  <c r="K139" i="15"/>
  <c r="D281" i="15"/>
  <c r="C282" i="15"/>
  <c r="F16" i="13" l="1"/>
  <c r="B17" i="13"/>
  <c r="BV27" i="12"/>
  <c r="BW27" i="12" s="1"/>
  <c r="BX27" i="12" s="1"/>
  <c r="BY27" i="12" s="1"/>
  <c r="BZ27" i="12" s="1"/>
  <c r="CA27" i="12" s="1"/>
  <c r="CB27" i="12" s="1"/>
  <c r="CC27" i="12" s="1"/>
  <c r="CD27" i="12" s="1"/>
  <c r="CE27" i="12" s="1"/>
  <c r="CF27" i="12" s="1"/>
  <c r="CG27" i="12" s="1"/>
  <c r="CH27" i="12" s="1"/>
  <c r="CI27" i="12" s="1"/>
  <c r="CJ27" i="12" s="1"/>
  <c r="CK27" i="12" s="1"/>
  <c r="CL27" i="12" s="1"/>
  <c r="CM27" i="12" s="1"/>
  <c r="CN27" i="12" s="1"/>
  <c r="CO27" i="12" s="1"/>
  <c r="CP27" i="12" s="1"/>
  <c r="CQ27" i="12" s="1"/>
  <c r="CR27" i="12" s="1"/>
  <c r="CS27" i="12" s="1"/>
  <c r="CT27" i="12" s="1"/>
  <c r="CU27" i="12" s="1"/>
  <c r="CV27" i="12" s="1"/>
  <c r="CW27" i="12" s="1"/>
  <c r="CX27" i="12" s="1"/>
  <c r="CY27" i="12" s="1"/>
  <c r="CZ27" i="12" s="1"/>
  <c r="BR92" i="12"/>
  <c r="BS92" i="12" s="1"/>
  <c r="BT92" i="12" s="1"/>
  <c r="BU92" i="12" s="1"/>
  <c r="BW92" i="12"/>
  <c r="BX92" i="12" s="1"/>
  <c r="BY92" i="12" s="1"/>
  <c r="BZ92" i="12" s="1"/>
  <c r="CA92" i="12" s="1"/>
  <c r="CB92" i="12" s="1"/>
  <c r="CC92" i="12" s="1"/>
  <c r="CD92" i="12" s="1"/>
  <c r="CE92" i="12" s="1"/>
  <c r="CF92" i="12" s="1"/>
  <c r="CG92" i="12" s="1"/>
  <c r="CH92" i="12" s="1"/>
  <c r="CI92" i="12" s="1"/>
  <c r="CJ92" i="12" s="1"/>
  <c r="CK92" i="12" s="1"/>
  <c r="CL92" i="12" s="1"/>
  <c r="CM92" i="12" s="1"/>
  <c r="CN92" i="12" s="1"/>
  <c r="CO92" i="12" s="1"/>
  <c r="CP92" i="12" s="1"/>
  <c r="CQ92" i="12" s="1"/>
  <c r="CR92" i="12" s="1"/>
  <c r="CS92" i="12" s="1"/>
  <c r="CT92" i="12" s="1"/>
  <c r="CU92" i="12" s="1"/>
  <c r="CV92" i="12" s="1"/>
  <c r="CW92" i="12" s="1"/>
  <c r="CX92" i="12" s="1"/>
  <c r="CY92" i="12" s="1"/>
  <c r="CZ92" i="12" s="1"/>
  <c r="AS27" i="12"/>
  <c r="AT27" i="12" s="1"/>
  <c r="AU27" i="12" s="1"/>
  <c r="AV27" i="12" s="1"/>
  <c r="AW27" i="12" s="1"/>
  <c r="AX27" i="12" s="1"/>
  <c r="AY27" i="12" s="1"/>
  <c r="AZ27" i="12" s="1"/>
  <c r="BA27" i="12" s="1"/>
  <c r="AS25" i="12"/>
  <c r="AT25" i="12" s="1"/>
  <c r="AU25" i="12" s="1"/>
  <c r="AV25" i="12" s="1"/>
  <c r="AW25" i="12" s="1"/>
  <c r="AX25" i="12" s="1"/>
  <c r="AY25" i="12" s="1"/>
  <c r="AZ25" i="12" s="1"/>
  <c r="BA25" i="12" s="1"/>
  <c r="BC92" i="12"/>
  <c r="BD92" i="12" s="1"/>
  <c r="BE92" i="12" s="1"/>
  <c r="BF92" i="12" s="1"/>
  <c r="BG92" i="12" s="1"/>
  <c r="BH92" i="12" s="1"/>
  <c r="BI92" i="12" s="1"/>
  <c r="BJ92" i="12" s="1"/>
  <c r="BK92" i="12" s="1"/>
  <c r="BL92" i="12" s="1"/>
  <c r="BM92" i="12" s="1"/>
  <c r="BN92" i="12" s="1"/>
  <c r="BO92" i="12" s="1"/>
  <c r="BP92" i="12" s="1"/>
  <c r="AS26" i="12"/>
  <c r="AT26" i="12" s="1"/>
  <c r="AU26" i="12" s="1"/>
  <c r="AV26" i="12" s="1"/>
  <c r="AW26" i="12" s="1"/>
  <c r="AX26" i="12" s="1"/>
  <c r="AY26" i="12" s="1"/>
  <c r="AZ26" i="12" s="1"/>
  <c r="BA26" i="12" s="1"/>
  <c r="AS96" i="12"/>
  <c r="AT96" i="12" s="1"/>
  <c r="AU96" i="12" s="1"/>
  <c r="AV96" i="12" s="1"/>
  <c r="AW96" i="12" s="1"/>
  <c r="AX96" i="12" s="1"/>
  <c r="AY96" i="12" s="1"/>
  <c r="AZ96" i="12" s="1"/>
  <c r="BA96" i="12" s="1"/>
  <c r="AS92" i="12"/>
  <c r="AT92" i="12" s="1"/>
  <c r="AU92" i="12" s="1"/>
  <c r="AV92" i="12" s="1"/>
  <c r="AW92" i="12" s="1"/>
  <c r="AX92" i="12" s="1"/>
  <c r="AY92" i="12" s="1"/>
  <c r="AZ92" i="12" s="1"/>
  <c r="BA92" i="12" s="1"/>
  <c r="AS28" i="12"/>
  <c r="AT28" i="12" s="1"/>
  <c r="AU28" i="12" s="1"/>
  <c r="AV28" i="12" s="1"/>
  <c r="AW28" i="12" s="1"/>
  <c r="AX28" i="12" s="1"/>
  <c r="AY28" i="12" s="1"/>
  <c r="AZ28" i="12" s="1"/>
  <c r="BA28" i="12" s="1"/>
  <c r="BC32" i="12"/>
  <c r="BD32" i="12" s="1"/>
  <c r="BE32" i="12" s="1"/>
  <c r="BF32" i="12" s="1"/>
  <c r="BG32" i="12" s="1"/>
  <c r="BH32" i="12" s="1"/>
  <c r="BI32" i="12" s="1"/>
  <c r="BJ32" i="12" s="1"/>
  <c r="BK32" i="12" s="1"/>
  <c r="BL32" i="12" s="1"/>
  <c r="BM32" i="12" s="1"/>
  <c r="BN32" i="12" s="1"/>
  <c r="BO32" i="12" s="1"/>
  <c r="BP32" i="12" s="1"/>
  <c r="AS65" i="12"/>
  <c r="AT65" i="12" s="1"/>
  <c r="AU65" i="12" s="1"/>
  <c r="AV65" i="12" s="1"/>
  <c r="AW65" i="12" s="1"/>
  <c r="AX65" i="12" s="1"/>
  <c r="AY65" i="12" s="1"/>
  <c r="AZ65" i="12" s="1"/>
  <c r="BA65" i="12" s="1"/>
  <c r="AJ263" i="11"/>
  <c r="AK263" i="11" s="1"/>
  <c r="AL263" i="11" s="1"/>
  <c r="AM263" i="11" s="1"/>
  <c r="AN263" i="11" s="1"/>
  <c r="AO263" i="11" s="1"/>
  <c r="AP263" i="11" s="1"/>
  <c r="AQ263" i="11" s="1"/>
  <c r="AR263" i="11" s="1"/>
  <c r="AS263" i="11" s="1"/>
  <c r="AT263" i="11" s="1"/>
  <c r="AU263" i="11" s="1"/>
  <c r="AV263" i="11" s="1"/>
  <c r="AW263" i="11" s="1"/>
  <c r="BM263" i="11"/>
  <c r="AY263" i="11" s="1"/>
  <c r="AZ263" i="11" s="1"/>
  <c r="BA263" i="11" s="1"/>
  <c r="BB263" i="11" s="1"/>
  <c r="BC263" i="11" s="1"/>
  <c r="BD263" i="11" s="1"/>
  <c r="BE263" i="11" s="1"/>
  <c r="BF263" i="11" s="1"/>
  <c r="BG263" i="11" s="1"/>
  <c r="BH263" i="11" s="1"/>
  <c r="BI263" i="11" s="1"/>
  <c r="BJ263" i="11" s="1"/>
  <c r="BK263" i="11" s="1"/>
  <c r="BL263" i="11" s="1"/>
  <c r="AJ483" i="11"/>
  <c r="AK483" i="11" s="1"/>
  <c r="AL483" i="11" s="1"/>
  <c r="AM483" i="11" s="1"/>
  <c r="AN483" i="11" s="1"/>
  <c r="AO483" i="11" s="1"/>
  <c r="AP483" i="11" s="1"/>
  <c r="AQ483" i="11" s="1"/>
  <c r="AR483" i="11" s="1"/>
  <c r="AS483" i="11" s="1"/>
  <c r="AT483" i="11" s="1"/>
  <c r="AU483" i="11" s="1"/>
  <c r="AV483" i="11" s="1"/>
  <c r="AW483" i="11" s="1"/>
  <c r="BM483" i="11"/>
  <c r="AY358" i="11"/>
  <c r="AZ358" i="11" s="1"/>
  <c r="BA358" i="11" s="1"/>
  <c r="BB358" i="11" s="1"/>
  <c r="BC358" i="11" s="1"/>
  <c r="BD358" i="11" s="1"/>
  <c r="BE358" i="11" s="1"/>
  <c r="BF358" i="11" s="1"/>
  <c r="BG358" i="11" s="1"/>
  <c r="BH358" i="11" s="1"/>
  <c r="BI358" i="11" s="1"/>
  <c r="BJ358" i="11" s="1"/>
  <c r="BK358" i="11" s="1"/>
  <c r="BL358" i="11" s="1"/>
  <c r="BR358" i="11"/>
  <c r="BN358" i="11" s="1"/>
  <c r="BO358" i="11" s="1"/>
  <c r="BP358" i="11" s="1"/>
  <c r="BQ358" i="11" s="1"/>
  <c r="AS91" i="12"/>
  <c r="AT91" i="12" s="1"/>
  <c r="AU91" i="12" s="1"/>
  <c r="AV91" i="12" s="1"/>
  <c r="AW91" i="12" s="1"/>
  <c r="AX91" i="12" s="1"/>
  <c r="AY91" i="12" s="1"/>
  <c r="AZ91" i="12" s="1"/>
  <c r="BA91" i="12" s="1"/>
  <c r="AS32" i="12"/>
  <c r="AT32" i="12" s="1"/>
  <c r="AU32" i="12" s="1"/>
  <c r="AV32" i="12" s="1"/>
  <c r="AW32" i="12" s="1"/>
  <c r="AX32" i="12" s="1"/>
  <c r="AY32" i="12" s="1"/>
  <c r="AZ32" i="12" s="1"/>
  <c r="BA32" i="12" s="1"/>
  <c r="BM369" i="11"/>
  <c r="AY369" i="11" s="1"/>
  <c r="AZ369" i="11" s="1"/>
  <c r="BA369" i="11" s="1"/>
  <c r="BB369" i="11" s="1"/>
  <c r="BC369" i="11" s="1"/>
  <c r="BD369" i="11" s="1"/>
  <c r="BE369" i="11" s="1"/>
  <c r="BF369" i="11" s="1"/>
  <c r="BG369" i="11" s="1"/>
  <c r="BH369" i="11" s="1"/>
  <c r="BI369" i="11" s="1"/>
  <c r="BJ369" i="11" s="1"/>
  <c r="BK369" i="11" s="1"/>
  <c r="BL369" i="11" s="1"/>
  <c r="BM471" i="11"/>
  <c r="BR471" i="11" s="1"/>
  <c r="BN471" i="11" s="1"/>
  <c r="BO471" i="11" s="1"/>
  <c r="BP471" i="11" s="1"/>
  <c r="BQ471" i="11" s="1"/>
  <c r="AJ471" i="11"/>
  <c r="AK471" i="11" s="1"/>
  <c r="AL471" i="11" s="1"/>
  <c r="AM471" i="11" s="1"/>
  <c r="AN471" i="11" s="1"/>
  <c r="AO471" i="11" s="1"/>
  <c r="AP471" i="11" s="1"/>
  <c r="AQ471" i="11" s="1"/>
  <c r="AR471" i="11" s="1"/>
  <c r="AS471" i="11" s="1"/>
  <c r="AT471" i="11" s="1"/>
  <c r="AU471" i="11" s="1"/>
  <c r="AV471" i="11" s="1"/>
  <c r="AW471" i="11" s="1"/>
  <c r="BM253" i="11"/>
  <c r="AY253" i="11" s="1"/>
  <c r="AZ253" i="11" s="1"/>
  <c r="BA253" i="11" s="1"/>
  <c r="BB253" i="11" s="1"/>
  <c r="BC253" i="11" s="1"/>
  <c r="BD253" i="11" s="1"/>
  <c r="BE253" i="11" s="1"/>
  <c r="BF253" i="11" s="1"/>
  <c r="BG253" i="11" s="1"/>
  <c r="BH253" i="11" s="1"/>
  <c r="BI253" i="11" s="1"/>
  <c r="BJ253" i="11" s="1"/>
  <c r="BK253" i="11" s="1"/>
  <c r="BL253" i="11" s="1"/>
  <c r="AJ472" i="11"/>
  <c r="AK472" i="11" s="1"/>
  <c r="AL472" i="11" s="1"/>
  <c r="AM472" i="11" s="1"/>
  <c r="AN472" i="11" s="1"/>
  <c r="AO472" i="11" s="1"/>
  <c r="AP472" i="11" s="1"/>
  <c r="AQ472" i="11" s="1"/>
  <c r="AR472" i="11" s="1"/>
  <c r="AS472" i="11" s="1"/>
  <c r="AT472" i="11" s="1"/>
  <c r="AU472" i="11" s="1"/>
  <c r="AV472" i="11" s="1"/>
  <c r="AW472" i="11" s="1"/>
  <c r="BM472" i="11"/>
  <c r="BR472" i="11" s="1"/>
  <c r="BN472" i="11" s="1"/>
  <c r="BO472" i="11" s="1"/>
  <c r="BP472" i="11" s="1"/>
  <c r="BQ472" i="11" s="1"/>
  <c r="AJ369" i="11"/>
  <c r="AK369" i="11" s="1"/>
  <c r="AL369" i="11" s="1"/>
  <c r="AM369" i="11" s="1"/>
  <c r="AN369" i="11" s="1"/>
  <c r="AO369" i="11" s="1"/>
  <c r="AP369" i="11" s="1"/>
  <c r="AQ369" i="11" s="1"/>
  <c r="AR369" i="11" s="1"/>
  <c r="AS369" i="11" s="1"/>
  <c r="AT369" i="11" s="1"/>
  <c r="AU369" i="11" s="1"/>
  <c r="AV369" i="11" s="1"/>
  <c r="AW369" i="11" s="1"/>
  <c r="AS89" i="12"/>
  <c r="AT89" i="12" s="1"/>
  <c r="AU89" i="12" s="1"/>
  <c r="AV89" i="12" s="1"/>
  <c r="AW89" i="12" s="1"/>
  <c r="AX89" i="12" s="1"/>
  <c r="AY89" i="12" s="1"/>
  <c r="AZ89" i="12" s="1"/>
  <c r="BA89" i="12" s="1"/>
  <c r="AY266" i="11"/>
  <c r="AZ266" i="11" s="1"/>
  <c r="BA266" i="11" s="1"/>
  <c r="BB266" i="11" s="1"/>
  <c r="BC266" i="11" s="1"/>
  <c r="BD266" i="11" s="1"/>
  <c r="BE266" i="11" s="1"/>
  <c r="BF266" i="11" s="1"/>
  <c r="BG266" i="11" s="1"/>
  <c r="BH266" i="11" s="1"/>
  <c r="BI266" i="11" s="1"/>
  <c r="BJ266" i="11" s="1"/>
  <c r="BK266" i="11" s="1"/>
  <c r="BL266" i="11" s="1"/>
  <c r="AS59" i="12"/>
  <c r="AT59" i="12" s="1"/>
  <c r="AU59" i="12" s="1"/>
  <c r="AV59" i="12" s="1"/>
  <c r="AW59" i="12" s="1"/>
  <c r="AX59" i="12" s="1"/>
  <c r="AY59" i="12" s="1"/>
  <c r="AZ59" i="12" s="1"/>
  <c r="BA59" i="12" s="1"/>
  <c r="AI7" i="12"/>
  <c r="AJ7" i="12" s="1"/>
  <c r="AK7" i="12" s="1"/>
  <c r="AL7" i="12" s="1"/>
  <c r="AM7" i="12" s="1"/>
  <c r="AN7" i="12" s="1"/>
  <c r="AO7" i="12" s="1"/>
  <c r="AP7" i="12" s="1"/>
  <c r="AQ7" i="12" s="1"/>
  <c r="AR7" i="12" s="1"/>
  <c r="AS7" i="12" s="1"/>
  <c r="AT7" i="12" s="1"/>
  <c r="AU7" i="12" s="1"/>
  <c r="AV7" i="12" s="1"/>
  <c r="AW7" i="12" s="1"/>
  <c r="AX7" i="12" s="1"/>
  <c r="AY7" i="12" s="1"/>
  <c r="AZ7" i="12" s="1"/>
  <c r="BA7" i="12" s="1"/>
  <c r="BC25" i="12"/>
  <c r="BD25" i="12" s="1"/>
  <c r="BE25" i="12" s="1"/>
  <c r="BF25" i="12" s="1"/>
  <c r="BG25" i="12" s="1"/>
  <c r="BH25" i="12" s="1"/>
  <c r="BI25" i="12" s="1"/>
  <c r="BJ25" i="12" s="1"/>
  <c r="BK25" i="12" s="1"/>
  <c r="BL25" i="12" s="1"/>
  <c r="BM25" i="12" s="1"/>
  <c r="BN25" i="12" s="1"/>
  <c r="BO25" i="12" s="1"/>
  <c r="BP25" i="12" s="1"/>
  <c r="AS90" i="12"/>
  <c r="AT90" i="12" s="1"/>
  <c r="AU90" i="12" s="1"/>
  <c r="AV90" i="12" s="1"/>
  <c r="AW90" i="12" s="1"/>
  <c r="AX90" i="12" s="1"/>
  <c r="AY90" i="12" s="1"/>
  <c r="AZ90" i="12" s="1"/>
  <c r="BA90" i="12" s="1"/>
  <c r="BV89" i="12"/>
  <c r="AS62" i="12"/>
  <c r="AT62" i="12" s="1"/>
  <c r="AU62" i="12" s="1"/>
  <c r="AV62" i="12" s="1"/>
  <c r="AW62" i="12" s="1"/>
  <c r="AX62" i="12" s="1"/>
  <c r="AY62" i="12" s="1"/>
  <c r="AZ62" i="12" s="1"/>
  <c r="BA62" i="12" s="1"/>
  <c r="BC33" i="12"/>
  <c r="BD33" i="12" s="1"/>
  <c r="BE33" i="12" s="1"/>
  <c r="BF33" i="12" s="1"/>
  <c r="BG33" i="12" s="1"/>
  <c r="BH33" i="12" s="1"/>
  <c r="BI33" i="12" s="1"/>
  <c r="BJ33" i="12" s="1"/>
  <c r="BK33" i="12" s="1"/>
  <c r="BL33" i="12" s="1"/>
  <c r="BM33" i="12" s="1"/>
  <c r="BN33" i="12" s="1"/>
  <c r="BO33" i="12" s="1"/>
  <c r="BP33" i="12" s="1"/>
  <c r="BQ90" i="12"/>
  <c r="BQ62" i="12"/>
  <c r="BC62" i="12" s="1"/>
  <c r="BD62" i="12" s="1"/>
  <c r="BE62" i="12" s="1"/>
  <c r="BF62" i="12" s="1"/>
  <c r="BG62" i="12" s="1"/>
  <c r="BH62" i="12" s="1"/>
  <c r="BI62" i="12" s="1"/>
  <c r="BJ62" i="12" s="1"/>
  <c r="BK62" i="12" s="1"/>
  <c r="BL62" i="12" s="1"/>
  <c r="BM62" i="12" s="1"/>
  <c r="BN62" i="12" s="1"/>
  <c r="BO62" i="12" s="1"/>
  <c r="BP62" i="12" s="1"/>
  <c r="BQ59" i="12"/>
  <c r="BC59" i="12" s="1"/>
  <c r="BD59" i="12" s="1"/>
  <c r="BE59" i="12" s="1"/>
  <c r="BF59" i="12" s="1"/>
  <c r="BG59" i="12" s="1"/>
  <c r="BH59" i="12" s="1"/>
  <c r="BI59" i="12" s="1"/>
  <c r="BJ59" i="12" s="1"/>
  <c r="BK59" i="12" s="1"/>
  <c r="BL59" i="12" s="1"/>
  <c r="BM59" i="12" s="1"/>
  <c r="BN59" i="12" s="1"/>
  <c r="BO59" i="12" s="1"/>
  <c r="BP59" i="12" s="1"/>
  <c r="BC97" i="12"/>
  <c r="BD97" i="12" s="1"/>
  <c r="BE97" i="12" s="1"/>
  <c r="BF97" i="12" s="1"/>
  <c r="BG97" i="12" s="1"/>
  <c r="BH97" i="12" s="1"/>
  <c r="BI97" i="12" s="1"/>
  <c r="BJ97" i="12" s="1"/>
  <c r="BK97" i="12" s="1"/>
  <c r="BL97" i="12" s="1"/>
  <c r="BM97" i="12" s="1"/>
  <c r="BN97" i="12" s="1"/>
  <c r="BO97" i="12" s="1"/>
  <c r="BP97" i="12" s="1"/>
  <c r="BV97" i="12"/>
  <c r="BM269" i="11"/>
  <c r="AY269" i="11" s="1"/>
  <c r="AZ269" i="11" s="1"/>
  <c r="BA269" i="11" s="1"/>
  <c r="BB269" i="11" s="1"/>
  <c r="BC269" i="11" s="1"/>
  <c r="BD269" i="11" s="1"/>
  <c r="BE269" i="11" s="1"/>
  <c r="BF269" i="11" s="1"/>
  <c r="BG269" i="11" s="1"/>
  <c r="BH269" i="11" s="1"/>
  <c r="BI269" i="11" s="1"/>
  <c r="BJ269" i="11" s="1"/>
  <c r="BK269" i="11" s="1"/>
  <c r="BL269" i="11" s="1"/>
  <c r="BM374" i="11"/>
  <c r="AY374" i="11" s="1"/>
  <c r="AZ374" i="11" s="1"/>
  <c r="BA374" i="11" s="1"/>
  <c r="BB374" i="11" s="1"/>
  <c r="BC374" i="11" s="1"/>
  <c r="BD374" i="11" s="1"/>
  <c r="BE374" i="11" s="1"/>
  <c r="BF374" i="11" s="1"/>
  <c r="BG374" i="11" s="1"/>
  <c r="BH374" i="11" s="1"/>
  <c r="BI374" i="11" s="1"/>
  <c r="BJ374" i="11" s="1"/>
  <c r="BK374" i="11" s="1"/>
  <c r="BL374" i="11" s="1"/>
  <c r="BM267" i="11"/>
  <c r="BM490" i="11"/>
  <c r="AY490" i="11" s="1"/>
  <c r="AZ490" i="11" s="1"/>
  <c r="BA490" i="11" s="1"/>
  <c r="BB490" i="11" s="1"/>
  <c r="BC490" i="11" s="1"/>
  <c r="BD490" i="11" s="1"/>
  <c r="BE490" i="11" s="1"/>
  <c r="BF490" i="11" s="1"/>
  <c r="BG490" i="11" s="1"/>
  <c r="BH490" i="11" s="1"/>
  <c r="BI490" i="11" s="1"/>
  <c r="BJ490" i="11" s="1"/>
  <c r="BK490" i="11" s="1"/>
  <c r="BL490" i="11" s="1"/>
  <c r="BQ60" i="12"/>
  <c r="AS60" i="12"/>
  <c r="AT60" i="12" s="1"/>
  <c r="AU60" i="12" s="1"/>
  <c r="AV60" i="12" s="1"/>
  <c r="AW60" i="12" s="1"/>
  <c r="AX60" i="12" s="1"/>
  <c r="AY60" i="12" s="1"/>
  <c r="AZ60" i="12" s="1"/>
  <c r="BA60" i="12" s="1"/>
  <c r="BR392" i="11"/>
  <c r="BN392" i="11" s="1"/>
  <c r="BO392" i="11" s="1"/>
  <c r="BP392" i="11" s="1"/>
  <c r="BQ392" i="11" s="1"/>
  <c r="AS61" i="12"/>
  <c r="AT61" i="12" s="1"/>
  <c r="AU61" i="12" s="1"/>
  <c r="AV61" i="12" s="1"/>
  <c r="AW61" i="12" s="1"/>
  <c r="AX61" i="12" s="1"/>
  <c r="AY61" i="12" s="1"/>
  <c r="AZ61" i="12" s="1"/>
  <c r="BA61" i="12" s="1"/>
  <c r="AS97" i="12"/>
  <c r="AT97" i="12" s="1"/>
  <c r="AU97" i="12" s="1"/>
  <c r="AV97" i="12" s="1"/>
  <c r="AW97" i="12" s="1"/>
  <c r="AX97" i="12" s="1"/>
  <c r="AY97" i="12" s="1"/>
  <c r="AZ97" i="12" s="1"/>
  <c r="BA97" i="12" s="1"/>
  <c r="AJ374" i="11"/>
  <c r="AK374" i="11" s="1"/>
  <c r="AL374" i="11" s="1"/>
  <c r="AM374" i="11" s="1"/>
  <c r="AN374" i="11" s="1"/>
  <c r="AO374" i="11" s="1"/>
  <c r="AP374" i="11" s="1"/>
  <c r="AQ374" i="11" s="1"/>
  <c r="AR374" i="11" s="1"/>
  <c r="AS374" i="11" s="1"/>
  <c r="AT374" i="11" s="1"/>
  <c r="AU374" i="11" s="1"/>
  <c r="AV374" i="11" s="1"/>
  <c r="AW374" i="11" s="1"/>
  <c r="BR254" i="11"/>
  <c r="BN254" i="11" s="1"/>
  <c r="BO254" i="11" s="1"/>
  <c r="BP254" i="11" s="1"/>
  <c r="BQ254" i="11" s="1"/>
  <c r="AI9" i="12"/>
  <c r="AJ9" i="12" s="1"/>
  <c r="AK9" i="12" s="1"/>
  <c r="AL9" i="12" s="1"/>
  <c r="AM9" i="12" s="1"/>
  <c r="AN9" i="12" s="1"/>
  <c r="AO9" i="12" s="1"/>
  <c r="AP9" i="12" s="1"/>
  <c r="AQ9" i="12" s="1"/>
  <c r="AR9" i="12" s="1"/>
  <c r="AS9" i="12" s="1"/>
  <c r="AT9" i="12" s="1"/>
  <c r="AU9" i="12" s="1"/>
  <c r="AV9" i="12" s="1"/>
  <c r="AW9" i="12" s="1"/>
  <c r="AX9" i="12" s="1"/>
  <c r="AY9" i="12" s="1"/>
  <c r="AZ9" i="12" s="1"/>
  <c r="BA9" i="12" s="1"/>
  <c r="BQ9" i="12"/>
  <c r="BR488" i="11"/>
  <c r="BN488" i="11" s="1"/>
  <c r="BO488" i="11" s="1"/>
  <c r="BP488" i="11" s="1"/>
  <c r="BQ488" i="11" s="1"/>
  <c r="BM376" i="11"/>
  <c r="BM259" i="11"/>
  <c r="AY259" i="11" s="1"/>
  <c r="AZ259" i="11" s="1"/>
  <c r="BA259" i="11" s="1"/>
  <c r="BB259" i="11" s="1"/>
  <c r="BC259" i="11" s="1"/>
  <c r="BD259" i="11" s="1"/>
  <c r="BE259" i="11" s="1"/>
  <c r="BF259" i="11" s="1"/>
  <c r="BG259" i="11" s="1"/>
  <c r="BH259" i="11" s="1"/>
  <c r="BI259" i="11" s="1"/>
  <c r="BJ259" i="11" s="1"/>
  <c r="BK259" i="11" s="1"/>
  <c r="BL259" i="11" s="1"/>
  <c r="BM506" i="11"/>
  <c r="AY506" i="11" s="1"/>
  <c r="AZ506" i="11" s="1"/>
  <c r="BA506" i="11" s="1"/>
  <c r="BB506" i="11" s="1"/>
  <c r="BC506" i="11" s="1"/>
  <c r="BD506" i="11" s="1"/>
  <c r="BE506" i="11" s="1"/>
  <c r="BF506" i="11" s="1"/>
  <c r="BG506" i="11" s="1"/>
  <c r="BH506" i="11" s="1"/>
  <c r="BI506" i="11" s="1"/>
  <c r="BJ506" i="11" s="1"/>
  <c r="BK506" i="11" s="1"/>
  <c r="BL506" i="11" s="1"/>
  <c r="BR507" i="11"/>
  <c r="BN507" i="11" s="1"/>
  <c r="BO507" i="11" s="1"/>
  <c r="BP507" i="11" s="1"/>
  <c r="BQ507" i="11" s="1"/>
  <c r="AJ490" i="11"/>
  <c r="AK490" i="11" s="1"/>
  <c r="AL490" i="11" s="1"/>
  <c r="AM490" i="11" s="1"/>
  <c r="AN490" i="11" s="1"/>
  <c r="AO490" i="11" s="1"/>
  <c r="AP490" i="11" s="1"/>
  <c r="AQ490" i="11" s="1"/>
  <c r="AR490" i="11" s="1"/>
  <c r="AS490" i="11" s="1"/>
  <c r="AT490" i="11" s="1"/>
  <c r="AU490" i="11" s="1"/>
  <c r="AV490" i="11" s="1"/>
  <c r="AW490" i="11" s="1"/>
  <c r="BC61" i="12"/>
  <c r="BD61" i="12" s="1"/>
  <c r="BE61" i="12" s="1"/>
  <c r="BF61" i="12" s="1"/>
  <c r="BG61" i="12" s="1"/>
  <c r="BH61" i="12" s="1"/>
  <c r="BI61" i="12" s="1"/>
  <c r="BJ61" i="12" s="1"/>
  <c r="BK61" i="12" s="1"/>
  <c r="BL61" i="12" s="1"/>
  <c r="BM61" i="12" s="1"/>
  <c r="BN61" i="12" s="1"/>
  <c r="BO61" i="12" s="1"/>
  <c r="BP61" i="12" s="1"/>
  <c r="BV61" i="12"/>
  <c r="AI10" i="12"/>
  <c r="AJ10" i="12" s="1"/>
  <c r="AK10" i="12" s="1"/>
  <c r="AL10" i="12" s="1"/>
  <c r="AM10" i="12" s="1"/>
  <c r="AN10" i="12" s="1"/>
  <c r="AO10" i="12" s="1"/>
  <c r="AP10" i="12" s="1"/>
  <c r="AQ10" i="12" s="1"/>
  <c r="AR10" i="12" s="1"/>
  <c r="AS10" i="12" s="1"/>
  <c r="AT10" i="12" s="1"/>
  <c r="AU10" i="12" s="1"/>
  <c r="AV10" i="12" s="1"/>
  <c r="AW10" i="12" s="1"/>
  <c r="AX10" i="12" s="1"/>
  <c r="AY10" i="12" s="1"/>
  <c r="AZ10" i="12" s="1"/>
  <c r="BA10" i="12" s="1"/>
  <c r="BQ10" i="12"/>
  <c r="AJ376" i="11"/>
  <c r="AK376" i="11" s="1"/>
  <c r="AL376" i="11" s="1"/>
  <c r="AM376" i="11" s="1"/>
  <c r="AN376" i="11" s="1"/>
  <c r="AO376" i="11" s="1"/>
  <c r="AP376" i="11" s="1"/>
  <c r="AQ376" i="11" s="1"/>
  <c r="AR376" i="11" s="1"/>
  <c r="AS376" i="11" s="1"/>
  <c r="AT376" i="11" s="1"/>
  <c r="AU376" i="11" s="1"/>
  <c r="AV376" i="11" s="1"/>
  <c r="AW376" i="11" s="1"/>
  <c r="BR380" i="11"/>
  <c r="BN380" i="11" s="1"/>
  <c r="BO380" i="11" s="1"/>
  <c r="BP380" i="11" s="1"/>
  <c r="BQ380" i="11" s="1"/>
  <c r="BM357" i="11"/>
  <c r="BM366" i="11"/>
  <c r="AY366" i="11" s="1"/>
  <c r="AZ366" i="11" s="1"/>
  <c r="BA366" i="11" s="1"/>
  <c r="BB366" i="11" s="1"/>
  <c r="BC366" i="11" s="1"/>
  <c r="BD366" i="11" s="1"/>
  <c r="BE366" i="11" s="1"/>
  <c r="BF366" i="11" s="1"/>
  <c r="BG366" i="11" s="1"/>
  <c r="BH366" i="11" s="1"/>
  <c r="BI366" i="11" s="1"/>
  <c r="BJ366" i="11" s="1"/>
  <c r="BK366" i="11" s="1"/>
  <c r="BL366" i="11" s="1"/>
  <c r="E281" i="15"/>
  <c r="BC68" i="12"/>
  <c r="BD68" i="12" s="1"/>
  <c r="BE68" i="12" s="1"/>
  <c r="BF68" i="12" s="1"/>
  <c r="BG68" i="12" s="1"/>
  <c r="BH68" i="12" s="1"/>
  <c r="BI68" i="12" s="1"/>
  <c r="BJ68" i="12" s="1"/>
  <c r="BK68" i="12" s="1"/>
  <c r="BL68" i="12" s="1"/>
  <c r="BM68" i="12" s="1"/>
  <c r="BN68" i="12" s="1"/>
  <c r="BO68" i="12" s="1"/>
  <c r="BP68" i="12" s="1"/>
  <c r="B188" i="15"/>
  <c r="K188" i="15"/>
  <c r="C188" i="15"/>
  <c r="J188" i="15"/>
  <c r="I188" i="15"/>
  <c r="H188" i="15"/>
  <c r="N188" i="15"/>
  <c r="F188" i="15"/>
  <c r="L188" i="15"/>
  <c r="D188" i="15"/>
  <c r="G188" i="15"/>
  <c r="M188" i="15"/>
  <c r="E188" i="15"/>
  <c r="C63" i="34"/>
  <c r="E112" i="34"/>
  <c r="C180" i="119"/>
  <c r="C179" i="119"/>
  <c r="C178" i="119"/>
  <c r="C177" i="119"/>
  <c r="C176" i="119"/>
  <c r="D34" i="34"/>
  <c r="C112" i="34"/>
  <c r="D112" i="34"/>
  <c r="D63" i="34"/>
  <c r="C113" i="34"/>
  <c r="D113" i="34"/>
  <c r="E113" i="34"/>
  <c r="C64" i="34"/>
  <c r="F98" i="34"/>
  <c r="X49" i="14"/>
  <c r="D35" i="34"/>
  <c r="D64" i="34"/>
  <c r="F47" i="35"/>
  <c r="BV8" i="12"/>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BC8" i="12"/>
  <c r="BD8" i="12" s="1"/>
  <c r="BE8" i="12" s="1"/>
  <c r="BF8" i="12" s="1"/>
  <c r="BG8" i="12" s="1"/>
  <c r="BH8" i="12" s="1"/>
  <c r="BI8" i="12" s="1"/>
  <c r="BJ8" i="12" s="1"/>
  <c r="BK8" i="12" s="1"/>
  <c r="BL8" i="12" s="1"/>
  <c r="BM8" i="12" s="1"/>
  <c r="BN8" i="12" s="1"/>
  <c r="BO8" i="12" s="1"/>
  <c r="BP8" i="12" s="1"/>
  <c r="F97" i="34"/>
  <c r="E111" i="34"/>
  <c r="D111" i="34"/>
  <c r="D62" i="34"/>
  <c r="E62" i="34"/>
  <c r="C62" i="34"/>
  <c r="D33" i="34"/>
  <c r="H39" i="24"/>
  <c r="C39" i="24"/>
  <c r="F96" i="34"/>
  <c r="BR17" i="12"/>
  <c r="BS17" i="12" s="1"/>
  <c r="BT17" i="12" s="1"/>
  <c r="BU17" i="12" s="1"/>
  <c r="BR32" i="12"/>
  <c r="BS32" i="12" s="1"/>
  <c r="BT32" i="12" s="1"/>
  <c r="BU32" i="12" s="1"/>
  <c r="BV99" i="12"/>
  <c r="BW99" i="12" s="1"/>
  <c r="BX99" i="12" s="1"/>
  <c r="BY99" i="12" s="1"/>
  <c r="BZ99" i="12" s="1"/>
  <c r="CA99" i="12" s="1"/>
  <c r="CB99" i="12" s="1"/>
  <c r="CC99" i="12" s="1"/>
  <c r="CD99" i="12" s="1"/>
  <c r="CE99" i="12" s="1"/>
  <c r="CF99" i="12" s="1"/>
  <c r="CG99" i="12" s="1"/>
  <c r="CH99" i="12" s="1"/>
  <c r="CI99" i="12" s="1"/>
  <c r="CJ99" i="12" s="1"/>
  <c r="CK99" i="12" s="1"/>
  <c r="CL99" i="12" s="1"/>
  <c r="CM99" i="12" s="1"/>
  <c r="CN99" i="12" s="1"/>
  <c r="CO99" i="12" s="1"/>
  <c r="CP99" i="12" s="1"/>
  <c r="CQ99" i="12" s="1"/>
  <c r="CR99" i="12" s="1"/>
  <c r="CS99" i="12" s="1"/>
  <c r="CT99" i="12" s="1"/>
  <c r="CU99" i="12" s="1"/>
  <c r="CV99" i="12" s="1"/>
  <c r="CW99" i="12" s="1"/>
  <c r="CX99" i="12" s="1"/>
  <c r="CY99" i="12" s="1"/>
  <c r="CZ99" i="12" s="1"/>
  <c r="BC99" i="12"/>
  <c r="BD99" i="12" s="1"/>
  <c r="BE99" i="12" s="1"/>
  <c r="BF99" i="12" s="1"/>
  <c r="BG99" i="12" s="1"/>
  <c r="BH99" i="12" s="1"/>
  <c r="BI99" i="12" s="1"/>
  <c r="BJ99" i="12" s="1"/>
  <c r="BK99" i="12" s="1"/>
  <c r="BL99" i="12" s="1"/>
  <c r="BM99" i="12" s="1"/>
  <c r="BN99" i="12" s="1"/>
  <c r="BO99" i="12" s="1"/>
  <c r="BP99" i="12" s="1"/>
  <c r="BV7" i="12"/>
  <c r="BW7" i="12" s="1"/>
  <c r="BX7" i="12" s="1"/>
  <c r="BY7" i="12" s="1"/>
  <c r="BZ7" i="12" s="1"/>
  <c r="CA7" i="12" s="1"/>
  <c r="CB7" i="12" s="1"/>
  <c r="CC7" i="12" s="1"/>
  <c r="CD7" i="12" s="1"/>
  <c r="CE7" i="12" s="1"/>
  <c r="CF7" i="12" s="1"/>
  <c r="CG7" i="12" s="1"/>
  <c r="CH7" i="12" s="1"/>
  <c r="CI7" i="12" s="1"/>
  <c r="CJ7" i="12" s="1"/>
  <c r="CK7" i="12" s="1"/>
  <c r="CL7" i="12" s="1"/>
  <c r="CM7" i="12" s="1"/>
  <c r="CN7" i="12" s="1"/>
  <c r="CO7" i="12" s="1"/>
  <c r="CP7" i="12" s="1"/>
  <c r="CQ7" i="12" s="1"/>
  <c r="CR7" i="12" s="1"/>
  <c r="CS7" i="12" s="1"/>
  <c r="CT7" i="12" s="1"/>
  <c r="CU7" i="12" s="1"/>
  <c r="CV7" i="12" s="1"/>
  <c r="CW7" i="12" s="1"/>
  <c r="CX7" i="12" s="1"/>
  <c r="CY7" i="12" s="1"/>
  <c r="CZ7" i="12" s="1"/>
  <c r="BC7" i="12"/>
  <c r="BD7" i="12" s="1"/>
  <c r="BE7" i="12" s="1"/>
  <c r="BF7" i="12" s="1"/>
  <c r="BG7" i="12" s="1"/>
  <c r="BH7" i="12" s="1"/>
  <c r="BI7" i="12" s="1"/>
  <c r="BJ7" i="12" s="1"/>
  <c r="BK7" i="12" s="1"/>
  <c r="BL7" i="12" s="1"/>
  <c r="BM7" i="12" s="1"/>
  <c r="BN7" i="12" s="1"/>
  <c r="BO7" i="12" s="1"/>
  <c r="BP7" i="12" s="1"/>
  <c r="BR33" i="12"/>
  <c r="BS33" i="12" s="1"/>
  <c r="BT33" i="12" s="1"/>
  <c r="BU33" i="12" s="1"/>
  <c r="C68" i="15"/>
  <c r="BC28" i="12"/>
  <c r="BD28" i="12" s="1"/>
  <c r="BE28" i="12" s="1"/>
  <c r="BF28" i="12" s="1"/>
  <c r="BG28" i="12" s="1"/>
  <c r="BH28" i="12" s="1"/>
  <c r="BI28" i="12" s="1"/>
  <c r="BJ28" i="12" s="1"/>
  <c r="BK28" i="12" s="1"/>
  <c r="BL28" i="12" s="1"/>
  <c r="BM28" i="12" s="1"/>
  <c r="BN28" i="12" s="1"/>
  <c r="BO28" i="12" s="1"/>
  <c r="BP28" i="12" s="1"/>
  <c r="BV28" i="12"/>
  <c r="BW28" i="12" s="1"/>
  <c r="BX28" i="12" s="1"/>
  <c r="BY28" i="12" s="1"/>
  <c r="BZ28" i="12" s="1"/>
  <c r="CA28" i="12" s="1"/>
  <c r="CB28" i="12" s="1"/>
  <c r="CC28" i="12" s="1"/>
  <c r="CD28" i="12" s="1"/>
  <c r="CE28" i="12" s="1"/>
  <c r="CF28" i="12" s="1"/>
  <c r="CG28" i="12" s="1"/>
  <c r="CH28" i="12" s="1"/>
  <c r="CI28" i="12" s="1"/>
  <c r="CJ28" i="12" s="1"/>
  <c r="CK28" i="12" s="1"/>
  <c r="CL28" i="12" s="1"/>
  <c r="CM28" i="12" s="1"/>
  <c r="CN28" i="12" s="1"/>
  <c r="CO28" i="12" s="1"/>
  <c r="CP28" i="12" s="1"/>
  <c r="CQ28" i="12" s="1"/>
  <c r="CR28" i="12" s="1"/>
  <c r="CS28" i="12" s="1"/>
  <c r="CT28" i="12" s="1"/>
  <c r="CU28" i="12" s="1"/>
  <c r="CV28" i="12" s="1"/>
  <c r="CW28" i="12" s="1"/>
  <c r="CX28" i="12" s="1"/>
  <c r="CY28" i="12" s="1"/>
  <c r="CZ28" i="12" s="1"/>
  <c r="F50" i="14"/>
  <c r="W50" i="14"/>
  <c r="G50" i="14"/>
  <c r="P50" i="14"/>
  <c r="H50" i="14"/>
  <c r="Q50" i="14"/>
  <c r="M50" i="14"/>
  <c r="N50" i="14"/>
  <c r="L50" i="14"/>
  <c r="I50" i="14"/>
  <c r="C50" i="14"/>
  <c r="K50" i="14"/>
  <c r="J50" i="14"/>
  <c r="T50" i="14"/>
  <c r="O50" i="14"/>
  <c r="E50" i="14"/>
  <c r="S50" i="14"/>
  <c r="R50" i="14"/>
  <c r="D50" i="14"/>
  <c r="V50" i="14"/>
  <c r="U50" i="14"/>
  <c r="BV96" i="12"/>
  <c r="BW96" i="12" s="1"/>
  <c r="BX96" i="12" s="1"/>
  <c r="BY96" i="12" s="1"/>
  <c r="BZ96" i="12" s="1"/>
  <c r="CA96" i="12" s="1"/>
  <c r="CB96" i="12" s="1"/>
  <c r="CC96" i="12" s="1"/>
  <c r="CD96" i="12" s="1"/>
  <c r="CE96" i="12" s="1"/>
  <c r="CF96" i="12" s="1"/>
  <c r="CG96" i="12" s="1"/>
  <c r="CH96" i="12" s="1"/>
  <c r="CI96" i="12" s="1"/>
  <c r="CJ96" i="12" s="1"/>
  <c r="CK96" i="12" s="1"/>
  <c r="CL96" i="12" s="1"/>
  <c r="CM96" i="12" s="1"/>
  <c r="CN96" i="12" s="1"/>
  <c r="CO96" i="12" s="1"/>
  <c r="CP96" i="12" s="1"/>
  <c r="CQ96" i="12" s="1"/>
  <c r="CR96" i="12" s="1"/>
  <c r="CS96" i="12" s="1"/>
  <c r="CT96" i="12" s="1"/>
  <c r="CU96" i="12" s="1"/>
  <c r="CV96" i="12" s="1"/>
  <c r="CW96" i="12" s="1"/>
  <c r="CX96" i="12" s="1"/>
  <c r="CY96" i="12" s="1"/>
  <c r="CZ96" i="12" s="1"/>
  <c r="BC96" i="12"/>
  <c r="BD96" i="12" s="1"/>
  <c r="BE96" i="12" s="1"/>
  <c r="BF96" i="12" s="1"/>
  <c r="BG96" i="12" s="1"/>
  <c r="BH96" i="12" s="1"/>
  <c r="BI96" i="12" s="1"/>
  <c r="BJ96" i="12" s="1"/>
  <c r="BK96" i="12" s="1"/>
  <c r="BL96" i="12" s="1"/>
  <c r="BM96" i="12" s="1"/>
  <c r="BN96" i="12" s="1"/>
  <c r="BO96" i="12" s="1"/>
  <c r="BP96" i="12" s="1"/>
  <c r="BC65" i="12"/>
  <c r="BD65" i="12" s="1"/>
  <c r="BE65" i="12" s="1"/>
  <c r="BF65" i="12" s="1"/>
  <c r="BG65" i="12" s="1"/>
  <c r="BH65" i="12" s="1"/>
  <c r="BI65" i="12" s="1"/>
  <c r="BJ65" i="12" s="1"/>
  <c r="BK65" i="12" s="1"/>
  <c r="BL65" i="12" s="1"/>
  <c r="BM65" i="12" s="1"/>
  <c r="BN65" i="12" s="1"/>
  <c r="BO65" i="12" s="1"/>
  <c r="BP65" i="12" s="1"/>
  <c r="BV65" i="12"/>
  <c r="BW65" i="12" s="1"/>
  <c r="BX65" i="12" s="1"/>
  <c r="BY65" i="12" s="1"/>
  <c r="BZ65" i="12" s="1"/>
  <c r="CA65" i="12" s="1"/>
  <c r="CB65" i="12" s="1"/>
  <c r="CC65" i="12" s="1"/>
  <c r="CD65" i="12" s="1"/>
  <c r="CE65" i="12" s="1"/>
  <c r="CF65" i="12" s="1"/>
  <c r="CG65" i="12" s="1"/>
  <c r="CH65" i="12" s="1"/>
  <c r="CI65" i="12" s="1"/>
  <c r="CJ65" i="12" s="1"/>
  <c r="CK65" i="12" s="1"/>
  <c r="CL65" i="12" s="1"/>
  <c r="CM65" i="12" s="1"/>
  <c r="CN65" i="12" s="1"/>
  <c r="CO65" i="12" s="1"/>
  <c r="CP65" i="12" s="1"/>
  <c r="CQ65" i="12" s="1"/>
  <c r="CR65" i="12" s="1"/>
  <c r="CS65" i="12" s="1"/>
  <c r="CT65" i="12" s="1"/>
  <c r="CU65" i="12" s="1"/>
  <c r="CV65" i="12" s="1"/>
  <c r="CW65" i="12" s="1"/>
  <c r="CX65" i="12" s="1"/>
  <c r="CY65" i="12" s="1"/>
  <c r="CZ65" i="12" s="1"/>
  <c r="P67" i="15"/>
  <c r="AF67" i="15"/>
  <c r="I67" i="15"/>
  <c r="O67" i="15"/>
  <c r="AE67" i="15"/>
  <c r="F67" i="15"/>
  <c r="D67" i="15"/>
  <c r="M67" i="15" s="1"/>
  <c r="N67" i="15"/>
  <c r="W67" i="15"/>
  <c r="K67" i="15"/>
  <c r="A51" i="14"/>
  <c r="B51" i="14" s="1"/>
  <c r="J67" i="15"/>
  <c r="A99" i="14"/>
  <c r="C99" i="14" s="1"/>
  <c r="R67" i="15"/>
  <c r="L67" i="15"/>
  <c r="B69" i="15"/>
  <c r="A18" i="13" s="1"/>
  <c r="BV16" i="12"/>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BC16" i="12"/>
  <c r="BD16" i="12" s="1"/>
  <c r="BE16" i="12" s="1"/>
  <c r="BF16" i="12" s="1"/>
  <c r="BG16" i="12" s="1"/>
  <c r="BH16" i="12" s="1"/>
  <c r="BI16" i="12" s="1"/>
  <c r="BJ16" i="12" s="1"/>
  <c r="BK16" i="12" s="1"/>
  <c r="BL16" i="12" s="1"/>
  <c r="BM16" i="12" s="1"/>
  <c r="BN16" i="12" s="1"/>
  <c r="BO16" i="12" s="1"/>
  <c r="BP16" i="12" s="1"/>
  <c r="BR35" i="12"/>
  <c r="BS35" i="12" s="1"/>
  <c r="BT35" i="12" s="1"/>
  <c r="BU35" i="12" s="1"/>
  <c r="BR68" i="12"/>
  <c r="BS68" i="12" s="1"/>
  <c r="BT68" i="12" s="1"/>
  <c r="BU68" i="12" s="1"/>
  <c r="BR27" i="12"/>
  <c r="BS27" i="12" s="1"/>
  <c r="BT27" i="12" s="1"/>
  <c r="BU27" i="12" s="1"/>
  <c r="BV100" i="12"/>
  <c r="BW100" i="12" s="1"/>
  <c r="BX100" i="12" s="1"/>
  <c r="BY100" i="12" s="1"/>
  <c r="BZ100" i="12" s="1"/>
  <c r="CA100" i="12" s="1"/>
  <c r="CB100" i="12" s="1"/>
  <c r="CC100" i="12" s="1"/>
  <c r="CD100" i="12" s="1"/>
  <c r="CE100" i="12" s="1"/>
  <c r="CF100" i="12" s="1"/>
  <c r="CG100" i="12" s="1"/>
  <c r="CH100" i="12" s="1"/>
  <c r="CI100" i="12" s="1"/>
  <c r="CJ100" i="12" s="1"/>
  <c r="CK100" i="12" s="1"/>
  <c r="CL100" i="12" s="1"/>
  <c r="CM100" i="12" s="1"/>
  <c r="CN100" i="12" s="1"/>
  <c r="CO100" i="12" s="1"/>
  <c r="CP100" i="12" s="1"/>
  <c r="CQ100" i="12" s="1"/>
  <c r="CR100" i="12" s="1"/>
  <c r="CS100" i="12" s="1"/>
  <c r="CT100" i="12" s="1"/>
  <c r="CU100" i="12" s="1"/>
  <c r="CV100" i="12" s="1"/>
  <c r="CW100" i="12" s="1"/>
  <c r="CX100" i="12" s="1"/>
  <c r="CY100" i="12" s="1"/>
  <c r="CZ100" i="12" s="1"/>
  <c r="BC100" i="12"/>
  <c r="BD100" i="12" s="1"/>
  <c r="BE100" i="12" s="1"/>
  <c r="BF100" i="12" s="1"/>
  <c r="BG100" i="12" s="1"/>
  <c r="BH100" i="12" s="1"/>
  <c r="BI100" i="12" s="1"/>
  <c r="BJ100" i="12" s="1"/>
  <c r="BK100" i="12" s="1"/>
  <c r="BL100" i="12" s="1"/>
  <c r="BM100" i="12" s="1"/>
  <c r="BN100" i="12" s="1"/>
  <c r="BO100" i="12" s="1"/>
  <c r="BP100" i="12" s="1"/>
  <c r="BC26" i="12"/>
  <c r="BD26" i="12" s="1"/>
  <c r="BE26" i="12" s="1"/>
  <c r="BF26" i="12" s="1"/>
  <c r="BG26" i="12" s="1"/>
  <c r="BH26" i="12" s="1"/>
  <c r="BI26" i="12" s="1"/>
  <c r="BJ26" i="12" s="1"/>
  <c r="BK26" i="12" s="1"/>
  <c r="BL26" i="12" s="1"/>
  <c r="BM26" i="12" s="1"/>
  <c r="BN26" i="12" s="1"/>
  <c r="BO26" i="12" s="1"/>
  <c r="BP26" i="12" s="1"/>
  <c r="BV26" i="12"/>
  <c r="BW26" i="12" s="1"/>
  <c r="BX26" i="12" s="1"/>
  <c r="BY26" i="12" s="1"/>
  <c r="BZ26" i="12" s="1"/>
  <c r="CA26" i="12" s="1"/>
  <c r="CB26" i="12" s="1"/>
  <c r="CC26" i="12" s="1"/>
  <c r="CD26" i="12" s="1"/>
  <c r="CE26" i="12" s="1"/>
  <c r="CF26" i="12" s="1"/>
  <c r="CG26" i="12" s="1"/>
  <c r="CH26" i="12" s="1"/>
  <c r="CI26" i="12" s="1"/>
  <c r="CJ26" i="12" s="1"/>
  <c r="CK26" i="12" s="1"/>
  <c r="CL26" i="12" s="1"/>
  <c r="CM26" i="12" s="1"/>
  <c r="CN26" i="12" s="1"/>
  <c r="CO26" i="12" s="1"/>
  <c r="CP26" i="12" s="1"/>
  <c r="CQ26" i="12" s="1"/>
  <c r="CR26" i="12" s="1"/>
  <c r="CS26" i="12" s="1"/>
  <c r="CT26" i="12" s="1"/>
  <c r="CU26" i="12" s="1"/>
  <c r="CV26" i="12" s="1"/>
  <c r="CW26" i="12" s="1"/>
  <c r="CX26" i="12" s="1"/>
  <c r="CY26" i="12" s="1"/>
  <c r="CZ26" i="12" s="1"/>
  <c r="BC15" i="12"/>
  <c r="BD15" i="12" s="1"/>
  <c r="BE15" i="12" s="1"/>
  <c r="BF15" i="12" s="1"/>
  <c r="BG15" i="12" s="1"/>
  <c r="BH15" i="12" s="1"/>
  <c r="BI15" i="12" s="1"/>
  <c r="BJ15" i="12" s="1"/>
  <c r="BK15" i="12" s="1"/>
  <c r="BL15" i="12" s="1"/>
  <c r="BM15" i="12" s="1"/>
  <c r="BN15" i="12" s="1"/>
  <c r="BO15" i="12" s="1"/>
  <c r="BP15" i="12" s="1"/>
  <c r="BV15" i="12"/>
  <c r="BW15" i="12" s="1"/>
  <c r="BX15" i="12" s="1"/>
  <c r="BY15" i="12" s="1"/>
  <c r="BZ15" i="12" s="1"/>
  <c r="CA15" i="12" s="1"/>
  <c r="CB15" i="12" s="1"/>
  <c r="CC15" i="12" s="1"/>
  <c r="CD15" i="12" s="1"/>
  <c r="CE15" i="12" s="1"/>
  <c r="CF15" i="12" s="1"/>
  <c r="CG15" i="12" s="1"/>
  <c r="CH15" i="12" s="1"/>
  <c r="CI15" i="12" s="1"/>
  <c r="CJ15" i="12" s="1"/>
  <c r="CK15" i="12" s="1"/>
  <c r="CL15" i="12" s="1"/>
  <c r="CM15" i="12" s="1"/>
  <c r="CN15" i="12" s="1"/>
  <c r="CO15" i="12" s="1"/>
  <c r="CP15" i="12" s="1"/>
  <c r="CQ15" i="12" s="1"/>
  <c r="CR15" i="12" s="1"/>
  <c r="CS15" i="12" s="1"/>
  <c r="CT15" i="12" s="1"/>
  <c r="CU15" i="12" s="1"/>
  <c r="CV15" i="12" s="1"/>
  <c r="CW15" i="12" s="1"/>
  <c r="CX15" i="12" s="1"/>
  <c r="CY15" i="12" s="1"/>
  <c r="CZ15" i="12" s="1"/>
  <c r="B24" i="17"/>
  <c r="C23" i="17"/>
  <c r="BR25" i="12"/>
  <c r="BS25" i="12" s="1"/>
  <c r="BT25" i="12" s="1"/>
  <c r="BU25" i="12" s="1"/>
  <c r="BR98" i="12"/>
  <c r="BS98" i="12" s="1"/>
  <c r="BT98" i="12" s="1"/>
  <c r="BU98" i="12" s="1"/>
  <c r="BV34" i="12"/>
  <c r="BW34" i="12" s="1"/>
  <c r="BX34" i="12" s="1"/>
  <c r="BY34" i="12" s="1"/>
  <c r="BZ34" i="12" s="1"/>
  <c r="CA34" i="12" s="1"/>
  <c r="CB34" i="12" s="1"/>
  <c r="CC34" i="12" s="1"/>
  <c r="CD34" i="12" s="1"/>
  <c r="CE34" i="12" s="1"/>
  <c r="CF34" i="12" s="1"/>
  <c r="CG34" i="12" s="1"/>
  <c r="CH34" i="12" s="1"/>
  <c r="CI34" i="12" s="1"/>
  <c r="CJ34" i="12" s="1"/>
  <c r="CK34" i="12" s="1"/>
  <c r="CL34" i="12" s="1"/>
  <c r="CM34" i="12" s="1"/>
  <c r="CN34" i="12" s="1"/>
  <c r="CO34" i="12" s="1"/>
  <c r="CP34" i="12" s="1"/>
  <c r="CQ34" i="12" s="1"/>
  <c r="CR34" i="12" s="1"/>
  <c r="CS34" i="12" s="1"/>
  <c r="CT34" i="12" s="1"/>
  <c r="CU34" i="12" s="1"/>
  <c r="CV34" i="12" s="1"/>
  <c r="CW34" i="12" s="1"/>
  <c r="CX34" i="12" s="1"/>
  <c r="CY34" i="12" s="1"/>
  <c r="CZ34" i="12" s="1"/>
  <c r="BC34" i="12"/>
  <c r="BD34" i="12" s="1"/>
  <c r="BE34" i="12" s="1"/>
  <c r="BF34" i="12" s="1"/>
  <c r="BG34" i="12" s="1"/>
  <c r="BH34" i="12" s="1"/>
  <c r="BI34" i="12" s="1"/>
  <c r="BJ34" i="12" s="1"/>
  <c r="BK34" i="12" s="1"/>
  <c r="BL34" i="12" s="1"/>
  <c r="BM34" i="12" s="1"/>
  <c r="BN34" i="12" s="1"/>
  <c r="BO34" i="12" s="1"/>
  <c r="BP34" i="12" s="1"/>
  <c r="BR66" i="12"/>
  <c r="BS66" i="12" s="1"/>
  <c r="BT66" i="12" s="1"/>
  <c r="BU66" i="12" s="1"/>
  <c r="BV91" i="12"/>
  <c r="BW91" i="12" s="1"/>
  <c r="BX91" i="12" s="1"/>
  <c r="BY91" i="12" s="1"/>
  <c r="BZ91" i="12" s="1"/>
  <c r="CA91" i="12" s="1"/>
  <c r="CB91" i="12" s="1"/>
  <c r="CC91" i="12" s="1"/>
  <c r="CD91" i="12" s="1"/>
  <c r="CE91" i="12" s="1"/>
  <c r="CF91" i="12" s="1"/>
  <c r="CG91" i="12" s="1"/>
  <c r="CH91" i="12" s="1"/>
  <c r="CI91" i="12" s="1"/>
  <c r="CJ91" i="12" s="1"/>
  <c r="CK91" i="12" s="1"/>
  <c r="CL91" i="12" s="1"/>
  <c r="CM91" i="12" s="1"/>
  <c r="CN91" i="12" s="1"/>
  <c r="CO91" i="12" s="1"/>
  <c r="CP91" i="12" s="1"/>
  <c r="CQ91" i="12" s="1"/>
  <c r="CR91" i="12" s="1"/>
  <c r="CS91" i="12" s="1"/>
  <c r="CT91" i="12" s="1"/>
  <c r="CU91" i="12" s="1"/>
  <c r="CV91" i="12" s="1"/>
  <c r="CW91" i="12" s="1"/>
  <c r="CX91" i="12" s="1"/>
  <c r="CY91" i="12" s="1"/>
  <c r="CZ91" i="12" s="1"/>
  <c r="BC91" i="12"/>
  <c r="BD91" i="12" s="1"/>
  <c r="BE91" i="12" s="1"/>
  <c r="BF91" i="12" s="1"/>
  <c r="BG91" i="12" s="1"/>
  <c r="BH91" i="12" s="1"/>
  <c r="BI91" i="12" s="1"/>
  <c r="BJ91" i="12" s="1"/>
  <c r="BK91" i="12" s="1"/>
  <c r="BL91" i="12" s="1"/>
  <c r="BM91" i="12" s="1"/>
  <c r="BN91" i="12" s="1"/>
  <c r="BO91" i="12" s="1"/>
  <c r="BP91" i="12" s="1"/>
  <c r="M140" i="15"/>
  <c r="Q140" i="15"/>
  <c r="U140" i="15"/>
  <c r="T140" i="15"/>
  <c r="P140" i="15"/>
  <c r="V140" i="15"/>
  <c r="N140" i="15"/>
  <c r="R140" i="15"/>
  <c r="H140" i="15"/>
  <c r="L140" i="15"/>
  <c r="G140" i="15"/>
  <c r="I140" i="15"/>
  <c r="A141" i="15"/>
  <c r="A188" i="15" s="1"/>
  <c r="A20" i="17"/>
  <c r="A68" i="15"/>
  <c r="E67" i="15"/>
  <c r="H66" i="119"/>
  <c r="H70" i="119"/>
  <c r="H67" i="119"/>
  <c r="H68" i="119"/>
  <c r="F69" i="119"/>
  <c r="F68" i="119"/>
  <c r="F67" i="119"/>
  <c r="F66" i="119"/>
  <c r="F70" i="119"/>
  <c r="I102" i="119"/>
  <c r="C68" i="119"/>
  <c r="C70" i="119"/>
  <c r="C69" i="119"/>
  <c r="C67" i="119"/>
  <c r="C66" i="119"/>
  <c r="I68" i="119"/>
  <c r="I66" i="119"/>
  <c r="I67" i="119"/>
  <c r="I70" i="119"/>
  <c r="I69" i="119"/>
  <c r="G70" i="119"/>
  <c r="G69" i="119"/>
  <c r="G67" i="119"/>
  <c r="G66" i="119"/>
  <c r="G68" i="119"/>
  <c r="I106" i="119"/>
  <c r="H107" i="119"/>
  <c r="I101" i="119"/>
  <c r="H101" i="119"/>
  <c r="I105" i="119"/>
  <c r="H105" i="119"/>
  <c r="H103" i="119"/>
  <c r="I103" i="119"/>
  <c r="I104" i="119"/>
  <c r="C140" i="15"/>
  <c r="E140" i="15"/>
  <c r="D140" i="15"/>
  <c r="K140" i="15"/>
  <c r="D282" i="15"/>
  <c r="B18" i="13" l="1"/>
  <c r="F17" i="13"/>
  <c r="BR61" i="12"/>
  <c r="BS61" i="12" s="1"/>
  <c r="BT61" i="12" s="1"/>
  <c r="BU61" i="12" s="1"/>
  <c r="BW61" i="12"/>
  <c r="BX61" i="12" s="1"/>
  <c r="BY61" i="12" s="1"/>
  <c r="BZ61" i="12" s="1"/>
  <c r="CA61" i="12" s="1"/>
  <c r="CB61" i="12" s="1"/>
  <c r="CC61" i="12" s="1"/>
  <c r="CD61" i="12" s="1"/>
  <c r="CE61" i="12" s="1"/>
  <c r="CF61" i="12" s="1"/>
  <c r="CG61" i="12" s="1"/>
  <c r="CH61" i="12" s="1"/>
  <c r="CI61" i="12" s="1"/>
  <c r="CJ61" i="12" s="1"/>
  <c r="CK61" i="12" s="1"/>
  <c r="CL61" i="12" s="1"/>
  <c r="CM61" i="12" s="1"/>
  <c r="CN61" i="12" s="1"/>
  <c r="CO61" i="12" s="1"/>
  <c r="CP61" i="12" s="1"/>
  <c r="CQ61" i="12" s="1"/>
  <c r="CR61" i="12" s="1"/>
  <c r="CS61" i="12" s="1"/>
  <c r="CT61" i="12" s="1"/>
  <c r="CU61" i="12" s="1"/>
  <c r="CV61" i="12" s="1"/>
  <c r="CW61" i="12" s="1"/>
  <c r="CX61" i="12" s="1"/>
  <c r="CY61" i="12" s="1"/>
  <c r="CZ61" i="12" s="1"/>
  <c r="BR97" i="12"/>
  <c r="BS97" i="12" s="1"/>
  <c r="BT97" i="12" s="1"/>
  <c r="BU97" i="12" s="1"/>
  <c r="BW97" i="12"/>
  <c r="BX97" i="12" s="1"/>
  <c r="BY97" i="12" s="1"/>
  <c r="BZ97" i="12" s="1"/>
  <c r="CA97" i="12" s="1"/>
  <c r="CB97" i="12" s="1"/>
  <c r="CC97" i="12" s="1"/>
  <c r="CD97" i="12" s="1"/>
  <c r="CE97" i="12" s="1"/>
  <c r="CF97" i="12" s="1"/>
  <c r="CG97" i="12" s="1"/>
  <c r="CH97" i="12" s="1"/>
  <c r="CI97" i="12" s="1"/>
  <c r="CJ97" i="12" s="1"/>
  <c r="CK97" i="12" s="1"/>
  <c r="CL97" i="12" s="1"/>
  <c r="CM97" i="12" s="1"/>
  <c r="CN97" i="12" s="1"/>
  <c r="CO97" i="12" s="1"/>
  <c r="CP97" i="12" s="1"/>
  <c r="CQ97" i="12" s="1"/>
  <c r="CR97" i="12" s="1"/>
  <c r="CS97" i="12" s="1"/>
  <c r="CT97" i="12" s="1"/>
  <c r="CU97" i="12" s="1"/>
  <c r="CV97" i="12" s="1"/>
  <c r="CW97" i="12" s="1"/>
  <c r="CX97" i="12" s="1"/>
  <c r="CY97" i="12" s="1"/>
  <c r="CZ97" i="12" s="1"/>
  <c r="BR89" i="12"/>
  <c r="BS89" i="12" s="1"/>
  <c r="BT89" i="12" s="1"/>
  <c r="BU89" i="12" s="1"/>
  <c r="BW89" i="12"/>
  <c r="BX89" i="12" s="1"/>
  <c r="BY89" i="12" s="1"/>
  <c r="BZ89" i="12" s="1"/>
  <c r="CA89" i="12" s="1"/>
  <c r="CB89" i="12" s="1"/>
  <c r="CC89" i="12" s="1"/>
  <c r="CD89" i="12" s="1"/>
  <c r="CE89" i="12" s="1"/>
  <c r="CF89" i="12" s="1"/>
  <c r="CG89" i="12" s="1"/>
  <c r="CH89" i="12" s="1"/>
  <c r="CI89" i="12" s="1"/>
  <c r="CJ89" i="12" s="1"/>
  <c r="CK89" i="12" s="1"/>
  <c r="CL89" i="12" s="1"/>
  <c r="CM89" i="12" s="1"/>
  <c r="CN89" i="12" s="1"/>
  <c r="CO89" i="12" s="1"/>
  <c r="CP89" i="12" s="1"/>
  <c r="CQ89" i="12" s="1"/>
  <c r="CR89" i="12" s="1"/>
  <c r="CS89" i="12" s="1"/>
  <c r="CT89" i="12" s="1"/>
  <c r="CU89" i="12" s="1"/>
  <c r="CV89" i="12" s="1"/>
  <c r="CW89" i="12" s="1"/>
  <c r="CX89" i="12" s="1"/>
  <c r="CY89" i="12" s="1"/>
  <c r="CZ89" i="12" s="1"/>
  <c r="E282" i="15"/>
  <c r="AY472" i="11"/>
  <c r="AZ472" i="11" s="1"/>
  <c r="BA472" i="11" s="1"/>
  <c r="BB472" i="11" s="1"/>
  <c r="BC472" i="11" s="1"/>
  <c r="BD472" i="11" s="1"/>
  <c r="BE472" i="11" s="1"/>
  <c r="BF472" i="11" s="1"/>
  <c r="BG472" i="11" s="1"/>
  <c r="BH472" i="11" s="1"/>
  <c r="BI472" i="11" s="1"/>
  <c r="BJ472" i="11" s="1"/>
  <c r="BK472" i="11" s="1"/>
  <c r="BL472" i="11" s="1"/>
  <c r="BR253" i="11"/>
  <c r="BN253" i="11" s="1"/>
  <c r="BO253" i="11" s="1"/>
  <c r="BP253" i="11" s="1"/>
  <c r="BQ253" i="11" s="1"/>
  <c r="AY471" i="11"/>
  <c r="AZ471" i="11" s="1"/>
  <c r="BA471" i="11" s="1"/>
  <c r="BB471" i="11" s="1"/>
  <c r="BC471" i="11" s="1"/>
  <c r="BD471" i="11" s="1"/>
  <c r="BE471" i="11" s="1"/>
  <c r="BF471" i="11" s="1"/>
  <c r="BG471" i="11" s="1"/>
  <c r="BH471" i="11" s="1"/>
  <c r="BI471" i="11" s="1"/>
  <c r="BJ471" i="11" s="1"/>
  <c r="BK471" i="11" s="1"/>
  <c r="BL471" i="11" s="1"/>
  <c r="BR369" i="11"/>
  <c r="BN369" i="11" s="1"/>
  <c r="BO369" i="11" s="1"/>
  <c r="BP369" i="11" s="1"/>
  <c r="BQ369" i="11" s="1"/>
  <c r="BR263" i="11"/>
  <c r="BN263" i="11" s="1"/>
  <c r="BO263" i="11" s="1"/>
  <c r="BP263" i="11" s="1"/>
  <c r="BQ263" i="11" s="1"/>
  <c r="AY483" i="11"/>
  <c r="AZ483" i="11" s="1"/>
  <c r="BA483" i="11" s="1"/>
  <c r="BB483" i="11" s="1"/>
  <c r="BC483" i="11" s="1"/>
  <c r="BD483" i="11" s="1"/>
  <c r="BE483" i="11" s="1"/>
  <c r="BF483" i="11" s="1"/>
  <c r="BG483" i="11" s="1"/>
  <c r="BH483" i="11" s="1"/>
  <c r="BI483" i="11" s="1"/>
  <c r="BJ483" i="11" s="1"/>
  <c r="BK483" i="11" s="1"/>
  <c r="BL483" i="11" s="1"/>
  <c r="BR483" i="11"/>
  <c r="BN483" i="11" s="1"/>
  <c r="BO483" i="11" s="1"/>
  <c r="BP483" i="11" s="1"/>
  <c r="BQ483" i="11" s="1"/>
  <c r="BV62" i="12"/>
  <c r="BV59" i="12"/>
  <c r="BC90" i="12"/>
  <c r="BD90" i="12" s="1"/>
  <c r="BE90" i="12" s="1"/>
  <c r="BF90" i="12" s="1"/>
  <c r="BG90" i="12" s="1"/>
  <c r="BH90" i="12" s="1"/>
  <c r="BI90" i="12" s="1"/>
  <c r="BJ90" i="12" s="1"/>
  <c r="BK90" i="12" s="1"/>
  <c r="BL90" i="12" s="1"/>
  <c r="BM90" i="12" s="1"/>
  <c r="BN90" i="12" s="1"/>
  <c r="BO90" i="12" s="1"/>
  <c r="BP90" i="12" s="1"/>
  <c r="BV90" i="12"/>
  <c r="BR376" i="11"/>
  <c r="BN376" i="11" s="1"/>
  <c r="BO376" i="11" s="1"/>
  <c r="BP376" i="11" s="1"/>
  <c r="BQ376" i="11" s="1"/>
  <c r="BC60" i="12"/>
  <c r="BD60" i="12" s="1"/>
  <c r="BE60" i="12" s="1"/>
  <c r="BF60" i="12" s="1"/>
  <c r="BG60" i="12" s="1"/>
  <c r="BH60" i="12" s="1"/>
  <c r="BI60" i="12" s="1"/>
  <c r="BJ60" i="12" s="1"/>
  <c r="BK60" i="12" s="1"/>
  <c r="BL60" i="12" s="1"/>
  <c r="BM60" i="12" s="1"/>
  <c r="BN60" i="12" s="1"/>
  <c r="BO60" i="12" s="1"/>
  <c r="BP60" i="12" s="1"/>
  <c r="BV60" i="12"/>
  <c r="BC10" i="12"/>
  <c r="BD10" i="12" s="1"/>
  <c r="BE10" i="12" s="1"/>
  <c r="BF10" i="12" s="1"/>
  <c r="BG10" i="12" s="1"/>
  <c r="BH10" i="12" s="1"/>
  <c r="BI10" i="12" s="1"/>
  <c r="BJ10" i="12" s="1"/>
  <c r="BK10" i="12" s="1"/>
  <c r="BL10" i="12" s="1"/>
  <c r="BM10" i="12" s="1"/>
  <c r="BN10" i="12" s="1"/>
  <c r="BO10" i="12" s="1"/>
  <c r="BP10" i="12" s="1"/>
  <c r="BV10" i="12"/>
  <c r="BR366" i="11"/>
  <c r="BN366" i="11" s="1"/>
  <c r="BO366" i="11" s="1"/>
  <c r="BP366" i="11" s="1"/>
  <c r="BQ366" i="11" s="1"/>
  <c r="BR506" i="11"/>
  <c r="BN506" i="11" s="1"/>
  <c r="BO506" i="11" s="1"/>
  <c r="BP506" i="11" s="1"/>
  <c r="BQ506" i="11" s="1"/>
  <c r="BR269" i="11"/>
  <c r="BN269" i="11" s="1"/>
  <c r="BO269" i="11" s="1"/>
  <c r="BP269" i="11" s="1"/>
  <c r="BQ269" i="11" s="1"/>
  <c r="BR374" i="11"/>
  <c r="BN374" i="11" s="1"/>
  <c r="BO374" i="11" s="1"/>
  <c r="BP374" i="11" s="1"/>
  <c r="BQ374" i="11" s="1"/>
  <c r="BR357" i="11"/>
  <c r="BN357" i="11" s="1"/>
  <c r="BO357" i="11" s="1"/>
  <c r="BP357" i="11" s="1"/>
  <c r="BQ357" i="11" s="1"/>
  <c r="BC9" i="12"/>
  <c r="BD9" i="12" s="1"/>
  <c r="BE9" i="12" s="1"/>
  <c r="BF9" i="12" s="1"/>
  <c r="BG9" i="12" s="1"/>
  <c r="BH9" i="12" s="1"/>
  <c r="BI9" i="12" s="1"/>
  <c r="BJ9" i="12" s="1"/>
  <c r="BK9" i="12" s="1"/>
  <c r="BL9" i="12" s="1"/>
  <c r="BM9" i="12" s="1"/>
  <c r="BN9" i="12" s="1"/>
  <c r="BO9" i="12" s="1"/>
  <c r="BP9" i="12" s="1"/>
  <c r="BV9" i="12"/>
  <c r="BW9" i="12" s="1"/>
  <c r="BX9" i="12" s="1"/>
  <c r="BY9" i="12" s="1"/>
  <c r="BZ9" i="12" s="1"/>
  <c r="CA9" i="12" s="1"/>
  <c r="CB9" i="12" s="1"/>
  <c r="CC9" i="12" s="1"/>
  <c r="CD9" i="12" s="1"/>
  <c r="CE9" i="12" s="1"/>
  <c r="CF9" i="12" s="1"/>
  <c r="CG9" i="12" s="1"/>
  <c r="CH9" i="12" s="1"/>
  <c r="CI9" i="12" s="1"/>
  <c r="CJ9" i="12" s="1"/>
  <c r="CK9" i="12" s="1"/>
  <c r="CL9" i="12" s="1"/>
  <c r="CM9" i="12" s="1"/>
  <c r="CN9" i="12" s="1"/>
  <c r="CO9" i="12" s="1"/>
  <c r="CP9" i="12" s="1"/>
  <c r="CQ9" i="12" s="1"/>
  <c r="CR9" i="12" s="1"/>
  <c r="CS9" i="12" s="1"/>
  <c r="CT9" i="12" s="1"/>
  <c r="CU9" i="12" s="1"/>
  <c r="CV9" i="12" s="1"/>
  <c r="CW9" i="12" s="1"/>
  <c r="CX9" i="12" s="1"/>
  <c r="CY9" i="12" s="1"/>
  <c r="CZ9" i="12" s="1"/>
  <c r="AY357" i="11"/>
  <c r="AZ357" i="11" s="1"/>
  <c r="BA357" i="11" s="1"/>
  <c r="BB357" i="11" s="1"/>
  <c r="BC357" i="11" s="1"/>
  <c r="BD357" i="11" s="1"/>
  <c r="BE357" i="11" s="1"/>
  <c r="BF357" i="11" s="1"/>
  <c r="BG357" i="11" s="1"/>
  <c r="BH357" i="11" s="1"/>
  <c r="BI357" i="11" s="1"/>
  <c r="BJ357" i="11" s="1"/>
  <c r="BK357" i="11" s="1"/>
  <c r="BL357" i="11" s="1"/>
  <c r="BR267" i="11"/>
  <c r="BN267" i="11" s="1"/>
  <c r="BO267" i="11" s="1"/>
  <c r="BP267" i="11" s="1"/>
  <c r="BQ267" i="11" s="1"/>
  <c r="AY376" i="11"/>
  <c r="AZ376" i="11" s="1"/>
  <c r="BA376" i="11" s="1"/>
  <c r="BB376" i="11" s="1"/>
  <c r="BC376" i="11" s="1"/>
  <c r="BD376" i="11" s="1"/>
  <c r="BE376" i="11" s="1"/>
  <c r="BF376" i="11" s="1"/>
  <c r="BG376" i="11" s="1"/>
  <c r="BH376" i="11" s="1"/>
  <c r="BI376" i="11" s="1"/>
  <c r="BJ376" i="11" s="1"/>
  <c r="BK376" i="11" s="1"/>
  <c r="BL376" i="11" s="1"/>
  <c r="BR490" i="11"/>
  <c r="BN490" i="11" s="1"/>
  <c r="BO490" i="11" s="1"/>
  <c r="BP490" i="11" s="1"/>
  <c r="BQ490" i="11" s="1"/>
  <c r="BR259" i="11"/>
  <c r="BN259" i="11" s="1"/>
  <c r="BO259" i="11" s="1"/>
  <c r="BP259" i="11" s="1"/>
  <c r="BQ259" i="11" s="1"/>
  <c r="AY267" i="11"/>
  <c r="AZ267" i="11" s="1"/>
  <c r="BA267" i="11" s="1"/>
  <c r="BB267" i="11" s="1"/>
  <c r="BC267" i="11" s="1"/>
  <c r="BD267" i="11" s="1"/>
  <c r="BE267" i="11" s="1"/>
  <c r="BF267" i="11" s="1"/>
  <c r="BG267" i="11" s="1"/>
  <c r="BH267" i="11" s="1"/>
  <c r="BI267" i="11" s="1"/>
  <c r="BJ267" i="11" s="1"/>
  <c r="BK267" i="11" s="1"/>
  <c r="BL267" i="11" s="1"/>
  <c r="F112" i="34"/>
  <c r="F113" i="34"/>
  <c r="BR8" i="12"/>
  <c r="BS8" i="12" s="1"/>
  <c r="BT8" i="12" s="1"/>
  <c r="BU8" i="12" s="1"/>
  <c r="F111" i="34"/>
  <c r="X50" i="14"/>
  <c r="B98" i="14"/>
  <c r="BR15" i="12"/>
  <c r="BS15" i="12" s="1"/>
  <c r="BT15" i="12" s="1"/>
  <c r="BU15" i="12" s="1"/>
  <c r="BR16" i="12"/>
  <c r="BS16" i="12" s="1"/>
  <c r="BT16" i="12" s="1"/>
  <c r="BU16" i="12" s="1"/>
  <c r="BR7" i="12"/>
  <c r="BS7" i="12" s="1"/>
  <c r="BT7" i="12" s="1"/>
  <c r="BU7" i="12" s="1"/>
  <c r="BR91" i="12"/>
  <c r="BS91" i="12" s="1"/>
  <c r="BT91" i="12" s="1"/>
  <c r="BU91" i="12" s="1"/>
  <c r="BR96" i="12"/>
  <c r="BS96" i="12" s="1"/>
  <c r="BT96" i="12" s="1"/>
  <c r="BU96" i="12" s="1"/>
  <c r="BR100" i="12"/>
  <c r="BS100" i="12" s="1"/>
  <c r="BT100" i="12" s="1"/>
  <c r="BU100" i="12" s="1"/>
  <c r="B25" i="17"/>
  <c r="C24" i="17"/>
  <c r="BR34" i="12"/>
  <c r="BS34" i="12" s="1"/>
  <c r="BT34" i="12" s="1"/>
  <c r="BU34" i="12" s="1"/>
  <c r="BR26" i="12"/>
  <c r="BS26" i="12" s="1"/>
  <c r="BT26" i="12" s="1"/>
  <c r="BU26" i="12" s="1"/>
  <c r="C69" i="15"/>
  <c r="B70" i="15"/>
  <c r="A19" i="13" s="1"/>
  <c r="R51" i="14"/>
  <c r="V51" i="14"/>
  <c r="N51" i="14"/>
  <c r="S51" i="14"/>
  <c r="G51" i="14"/>
  <c r="F51" i="14"/>
  <c r="M51" i="14"/>
  <c r="T51" i="14"/>
  <c r="W51" i="14"/>
  <c r="I51" i="14"/>
  <c r="D51" i="14"/>
  <c r="U51" i="14"/>
  <c r="P51" i="14"/>
  <c r="K51" i="14"/>
  <c r="L51" i="14"/>
  <c r="J51" i="14"/>
  <c r="Q51" i="14"/>
  <c r="E51" i="14"/>
  <c r="O51" i="14"/>
  <c r="H51" i="14"/>
  <c r="C51" i="14"/>
  <c r="B99" i="14" s="1"/>
  <c r="U67" i="15" s="1"/>
  <c r="BR28" i="12"/>
  <c r="BS28" i="12" s="1"/>
  <c r="BT28" i="12" s="1"/>
  <c r="BU28" i="12" s="1"/>
  <c r="BR65" i="12"/>
  <c r="BS65" i="12" s="1"/>
  <c r="BT65" i="12" s="1"/>
  <c r="BU65" i="12" s="1"/>
  <c r="K68" i="15"/>
  <c r="W68" i="15"/>
  <c r="A100" i="14"/>
  <c r="C100" i="14" s="1"/>
  <c r="A52" i="14"/>
  <c r="AF68" i="15"/>
  <c r="D68" i="15"/>
  <c r="M68" i="15" s="1"/>
  <c r="L68" i="15"/>
  <c r="H68" i="15"/>
  <c r="BR99" i="12"/>
  <c r="BS99" i="12" s="1"/>
  <c r="BT99" i="12" s="1"/>
  <c r="BU99" i="12" s="1"/>
  <c r="A142" i="15"/>
  <c r="A189" i="15" s="1"/>
  <c r="A21" i="17"/>
  <c r="A69" i="15"/>
  <c r="E68" i="15"/>
  <c r="I141" i="15"/>
  <c r="M141" i="15"/>
  <c r="Q141" i="15"/>
  <c r="R141" i="15"/>
  <c r="P141" i="15"/>
  <c r="T141" i="15"/>
  <c r="N141" i="15"/>
  <c r="U141" i="15"/>
  <c r="G141" i="15"/>
  <c r="V141" i="15"/>
  <c r="L141" i="15"/>
  <c r="H141" i="15"/>
  <c r="D141" i="15"/>
  <c r="C141" i="15"/>
  <c r="E141" i="15"/>
  <c r="K141" i="15"/>
  <c r="B19" i="13" l="1"/>
  <c r="F18" i="13"/>
  <c r="BR60" i="12"/>
  <c r="BS60" i="12" s="1"/>
  <c r="BT60" i="12" s="1"/>
  <c r="BU60" i="12" s="1"/>
  <c r="BW60" i="12"/>
  <c r="BX60" i="12" s="1"/>
  <c r="BY60" i="12" s="1"/>
  <c r="BZ60" i="12" s="1"/>
  <c r="CA60" i="12" s="1"/>
  <c r="CB60" i="12" s="1"/>
  <c r="CC60" i="12" s="1"/>
  <c r="CD60" i="12" s="1"/>
  <c r="CE60" i="12" s="1"/>
  <c r="CF60" i="12" s="1"/>
  <c r="CG60" i="12" s="1"/>
  <c r="CH60" i="12" s="1"/>
  <c r="CI60" i="12" s="1"/>
  <c r="CJ60" i="12" s="1"/>
  <c r="CK60" i="12" s="1"/>
  <c r="CL60" i="12" s="1"/>
  <c r="CM60" i="12" s="1"/>
  <c r="CN60" i="12" s="1"/>
  <c r="CO60" i="12" s="1"/>
  <c r="CP60" i="12" s="1"/>
  <c r="CQ60" i="12" s="1"/>
  <c r="CR60" i="12" s="1"/>
  <c r="CS60" i="12" s="1"/>
  <c r="CT60" i="12" s="1"/>
  <c r="CU60" i="12" s="1"/>
  <c r="CV60" i="12" s="1"/>
  <c r="CW60" i="12" s="1"/>
  <c r="CX60" i="12" s="1"/>
  <c r="CY60" i="12" s="1"/>
  <c r="CZ60" i="12" s="1"/>
  <c r="BR90" i="12"/>
  <c r="BS90" i="12" s="1"/>
  <c r="BT90" i="12" s="1"/>
  <c r="BU90" i="12" s="1"/>
  <c r="BW90" i="12"/>
  <c r="BX90" i="12" s="1"/>
  <c r="BY90" i="12" s="1"/>
  <c r="BZ90" i="12" s="1"/>
  <c r="CA90" i="12" s="1"/>
  <c r="CB90" i="12" s="1"/>
  <c r="CC90" i="12" s="1"/>
  <c r="CD90" i="12" s="1"/>
  <c r="CE90" i="12" s="1"/>
  <c r="CF90" i="12" s="1"/>
  <c r="CG90" i="12" s="1"/>
  <c r="CH90" i="12" s="1"/>
  <c r="CI90" i="12" s="1"/>
  <c r="CJ90" i="12" s="1"/>
  <c r="CK90" i="12" s="1"/>
  <c r="CL90" i="12" s="1"/>
  <c r="CM90" i="12" s="1"/>
  <c r="CN90" i="12" s="1"/>
  <c r="CO90" i="12" s="1"/>
  <c r="CP90" i="12" s="1"/>
  <c r="CQ90" i="12" s="1"/>
  <c r="CR90" i="12" s="1"/>
  <c r="CS90" i="12" s="1"/>
  <c r="CT90" i="12" s="1"/>
  <c r="CU90" i="12" s="1"/>
  <c r="CV90" i="12" s="1"/>
  <c r="CW90" i="12" s="1"/>
  <c r="CX90" i="12" s="1"/>
  <c r="CY90" i="12" s="1"/>
  <c r="CZ90" i="12" s="1"/>
  <c r="BR10" i="12"/>
  <c r="BS10" i="12" s="1"/>
  <c r="BT10" i="12" s="1"/>
  <c r="BU10" i="12" s="1"/>
  <c r="BW10" i="12"/>
  <c r="BX10" i="12" s="1"/>
  <c r="BY10" i="12" s="1"/>
  <c r="BZ10" i="12" s="1"/>
  <c r="CA10" i="12" s="1"/>
  <c r="CB10" i="12" s="1"/>
  <c r="CC10" i="12" s="1"/>
  <c r="CD10" i="12" s="1"/>
  <c r="CE10" i="12" s="1"/>
  <c r="CF10" i="12" s="1"/>
  <c r="CG10" i="12" s="1"/>
  <c r="CH10" i="12" s="1"/>
  <c r="CI10" i="12" s="1"/>
  <c r="CJ10" i="12" s="1"/>
  <c r="CK10" i="12" s="1"/>
  <c r="CL10" i="12" s="1"/>
  <c r="CM10" i="12" s="1"/>
  <c r="CN10" i="12" s="1"/>
  <c r="CO10" i="12" s="1"/>
  <c r="CP10" i="12" s="1"/>
  <c r="CQ10" i="12" s="1"/>
  <c r="CR10" i="12" s="1"/>
  <c r="CS10" i="12" s="1"/>
  <c r="CT10" i="12" s="1"/>
  <c r="CU10" i="12" s="1"/>
  <c r="CV10" i="12" s="1"/>
  <c r="CW10" i="12" s="1"/>
  <c r="CX10" i="12" s="1"/>
  <c r="CY10" i="12" s="1"/>
  <c r="CZ10" i="12" s="1"/>
  <c r="BR59" i="12"/>
  <c r="BS59" i="12" s="1"/>
  <c r="BT59" i="12" s="1"/>
  <c r="BU59" i="12" s="1"/>
  <c r="BW59" i="12"/>
  <c r="BX59" i="12" s="1"/>
  <c r="BY59" i="12" s="1"/>
  <c r="BZ59" i="12" s="1"/>
  <c r="CA59" i="12" s="1"/>
  <c r="CB59" i="12" s="1"/>
  <c r="CC59" i="12" s="1"/>
  <c r="CD59" i="12" s="1"/>
  <c r="CE59" i="12" s="1"/>
  <c r="CF59" i="12" s="1"/>
  <c r="CG59" i="12" s="1"/>
  <c r="CH59" i="12" s="1"/>
  <c r="CI59" i="12" s="1"/>
  <c r="CJ59" i="12" s="1"/>
  <c r="CK59" i="12" s="1"/>
  <c r="CL59" i="12" s="1"/>
  <c r="CM59" i="12" s="1"/>
  <c r="CN59" i="12" s="1"/>
  <c r="CO59" i="12" s="1"/>
  <c r="CP59" i="12" s="1"/>
  <c r="CQ59" i="12" s="1"/>
  <c r="CR59" i="12" s="1"/>
  <c r="CS59" i="12" s="1"/>
  <c r="CT59" i="12" s="1"/>
  <c r="CU59" i="12" s="1"/>
  <c r="CV59" i="12" s="1"/>
  <c r="CW59" i="12" s="1"/>
  <c r="CX59" i="12" s="1"/>
  <c r="CY59" i="12" s="1"/>
  <c r="CZ59" i="12" s="1"/>
  <c r="BR62" i="12"/>
  <c r="BS62" i="12" s="1"/>
  <c r="BT62" i="12" s="1"/>
  <c r="BU62" i="12" s="1"/>
  <c r="BW62" i="12"/>
  <c r="BX62" i="12" s="1"/>
  <c r="BY62" i="12" s="1"/>
  <c r="BZ62" i="12" s="1"/>
  <c r="CA62" i="12" s="1"/>
  <c r="CB62" i="12" s="1"/>
  <c r="CC62" i="12" s="1"/>
  <c r="CD62" i="12" s="1"/>
  <c r="CE62" i="12" s="1"/>
  <c r="CF62" i="12" s="1"/>
  <c r="CG62" i="12" s="1"/>
  <c r="CH62" i="12" s="1"/>
  <c r="CI62" i="12" s="1"/>
  <c r="CJ62" i="12" s="1"/>
  <c r="CK62" i="12" s="1"/>
  <c r="CL62" i="12" s="1"/>
  <c r="CM62" i="12" s="1"/>
  <c r="CN62" i="12" s="1"/>
  <c r="CO62" i="12" s="1"/>
  <c r="CP62" i="12" s="1"/>
  <c r="CQ62" i="12" s="1"/>
  <c r="CR62" i="12" s="1"/>
  <c r="CS62" i="12" s="1"/>
  <c r="CT62" i="12" s="1"/>
  <c r="CU62" i="12" s="1"/>
  <c r="CV62" i="12" s="1"/>
  <c r="CW62" i="12" s="1"/>
  <c r="CX62" i="12" s="1"/>
  <c r="CY62" i="12" s="1"/>
  <c r="CZ62" i="12" s="1"/>
  <c r="BR9" i="12"/>
  <c r="BS9" i="12" s="1"/>
  <c r="BT9" i="12" s="1"/>
  <c r="BU9" i="12" s="1"/>
  <c r="C70" i="15"/>
  <c r="B71" i="15"/>
  <c r="A20" i="13" s="1"/>
  <c r="C25" i="17"/>
  <c r="B26" i="17"/>
  <c r="X51" i="14"/>
  <c r="W69" i="15"/>
  <c r="L69" i="15"/>
  <c r="H69" i="15"/>
  <c r="D69" i="15"/>
  <c r="M69" i="15" s="1"/>
  <c r="A101" i="14"/>
  <c r="C101" i="14" s="1"/>
  <c r="AF69" i="15"/>
  <c r="A53" i="14"/>
  <c r="K69" i="15"/>
  <c r="A22" i="17"/>
  <c r="A143" i="15"/>
  <c r="A190" i="15" s="1"/>
  <c r="A70" i="15"/>
  <c r="E69" i="15"/>
  <c r="P142" i="15"/>
  <c r="G142" i="15"/>
  <c r="Q142" i="15"/>
  <c r="H142" i="15"/>
  <c r="N142" i="15"/>
  <c r="L142" i="15"/>
  <c r="T142" i="15"/>
  <c r="V142" i="15"/>
  <c r="U142" i="15"/>
  <c r="R142" i="15"/>
  <c r="M142" i="15"/>
  <c r="I142" i="15"/>
  <c r="E142" i="15"/>
  <c r="D142" i="15"/>
  <c r="C142" i="15"/>
  <c r="K142" i="15"/>
  <c r="F19" i="13" l="1"/>
  <c r="B20" i="13"/>
  <c r="C26" i="17"/>
  <c r="B27" i="17"/>
  <c r="B72" i="15"/>
  <c r="A21" i="13" s="1"/>
  <c r="C71" i="15"/>
  <c r="H70" i="15"/>
  <c r="A102" i="14"/>
  <c r="C102" i="14" s="1"/>
  <c r="L70" i="15"/>
  <c r="A54" i="14"/>
  <c r="AF70" i="15"/>
  <c r="D70" i="15"/>
  <c r="M70" i="15" s="1"/>
  <c r="W70" i="15"/>
  <c r="K70" i="15"/>
  <c r="Q143" i="15"/>
  <c r="R143" i="15"/>
  <c r="N143" i="15"/>
  <c r="M143" i="15"/>
  <c r="V143" i="15"/>
  <c r="U143" i="15"/>
  <c r="H143" i="15"/>
  <c r="T143" i="15"/>
  <c r="P143" i="15"/>
  <c r="L143" i="15"/>
  <c r="G143" i="15"/>
  <c r="I143" i="15"/>
  <c r="A23" i="17"/>
  <c r="A144" i="15"/>
  <c r="A191" i="15" s="1"/>
  <c r="E70" i="15"/>
  <c r="A71" i="15"/>
  <c r="D143" i="15"/>
  <c r="E143" i="15"/>
  <c r="C143" i="15"/>
  <c r="K143" i="15"/>
  <c r="F142" i="15"/>
  <c r="F139" i="15"/>
  <c r="B21" i="13" l="1"/>
  <c r="F20" i="13"/>
  <c r="F136" i="15"/>
  <c r="E105" i="6"/>
  <c r="B73" i="15"/>
  <c r="B28" i="17"/>
  <c r="C27" i="17"/>
  <c r="C72" i="15"/>
  <c r="D71" i="15"/>
  <c r="M71" i="15" s="1"/>
  <c r="AF71" i="15"/>
  <c r="W71" i="15"/>
  <c r="K71" i="15"/>
  <c r="L71" i="15"/>
  <c r="A103" i="14"/>
  <c r="C103" i="14" s="1"/>
  <c r="H71" i="15"/>
  <c r="A55" i="14"/>
  <c r="P144" i="15"/>
  <c r="N144" i="15"/>
  <c r="L144" i="15"/>
  <c r="T144" i="15"/>
  <c r="R144" i="15"/>
  <c r="I144" i="15"/>
  <c r="U144" i="15"/>
  <c r="H144" i="15"/>
  <c r="M144" i="15"/>
  <c r="V144" i="15"/>
  <c r="G144" i="15"/>
  <c r="Q144" i="15"/>
  <c r="A24" i="17"/>
  <c r="A145" i="15"/>
  <c r="A192" i="15" s="1"/>
  <c r="A72" i="15"/>
  <c r="E71" i="15"/>
  <c r="D144" i="15"/>
  <c r="C144" i="15"/>
  <c r="E144" i="15"/>
  <c r="K144" i="15"/>
  <c r="F143" i="15"/>
  <c r="F141" i="15"/>
  <c r="F144" i="15"/>
  <c r="F140" i="15"/>
  <c r="B74" i="15" l="1"/>
  <c r="A23" i="13" s="1"/>
  <c r="A22" i="13"/>
  <c r="B22" i="13" s="1"/>
  <c r="F21" i="13"/>
  <c r="B29" i="17"/>
  <c r="C28" i="17"/>
  <c r="C73" i="15"/>
  <c r="D72" i="15"/>
  <c r="M72" i="15" s="1"/>
  <c r="L72" i="15"/>
  <c r="W72" i="15"/>
  <c r="H72" i="15"/>
  <c r="AF72" i="15"/>
  <c r="A56" i="14"/>
  <c r="K72" i="15"/>
  <c r="A104" i="14"/>
  <c r="C104" i="14" s="1"/>
  <c r="P145" i="15"/>
  <c r="I145" i="15"/>
  <c r="Q145" i="15"/>
  <c r="L145" i="15"/>
  <c r="G145" i="15"/>
  <c r="H145" i="15"/>
  <c r="M145" i="15"/>
  <c r="R145" i="15"/>
  <c r="N145" i="15"/>
  <c r="T145" i="15"/>
  <c r="U145" i="15"/>
  <c r="V145" i="15"/>
  <c r="A146" i="15"/>
  <c r="A193" i="15" s="1"/>
  <c r="A25" i="17"/>
  <c r="E72" i="15"/>
  <c r="A73" i="15"/>
  <c r="D145" i="15"/>
  <c r="C145" i="15"/>
  <c r="E145" i="15"/>
  <c r="K145" i="15"/>
  <c r="F145" i="15"/>
  <c r="C74" i="15" l="1"/>
  <c r="A106" i="14" s="1"/>
  <c r="C106" i="14" s="1"/>
  <c r="B75" i="15"/>
  <c r="A24" i="13" s="1"/>
  <c r="B23" i="13"/>
  <c r="F22" i="13"/>
  <c r="B76" i="15"/>
  <c r="A58" i="14"/>
  <c r="C29" i="17"/>
  <c r="B30" i="17"/>
  <c r="AF73" i="15"/>
  <c r="A57" i="14"/>
  <c r="W73" i="15"/>
  <c r="D73" i="15"/>
  <c r="M73" i="15" s="1"/>
  <c r="K73" i="15"/>
  <c r="L73" i="15"/>
  <c r="H73" i="15"/>
  <c r="A105" i="14"/>
  <c r="C105" i="14" s="1"/>
  <c r="P146" i="15"/>
  <c r="R146" i="15"/>
  <c r="H146" i="15"/>
  <c r="V146" i="15"/>
  <c r="U146" i="15"/>
  <c r="L146" i="15"/>
  <c r="I146" i="15"/>
  <c r="G146" i="15"/>
  <c r="M146" i="15"/>
  <c r="T146" i="15"/>
  <c r="N146" i="15"/>
  <c r="Q146" i="15"/>
  <c r="A26" i="17"/>
  <c r="A147" i="15"/>
  <c r="A194" i="15" s="1"/>
  <c r="A74" i="15"/>
  <c r="E73" i="15"/>
  <c r="E146" i="15"/>
  <c r="D146" i="15"/>
  <c r="C146" i="15"/>
  <c r="K146" i="15"/>
  <c r="F146" i="15"/>
  <c r="L74" i="15" l="1"/>
  <c r="C75" i="15"/>
  <c r="AF74" i="15"/>
  <c r="W74" i="15"/>
  <c r="H74" i="15"/>
  <c r="K74" i="15"/>
  <c r="D74" i="15"/>
  <c r="M74" i="15" s="1"/>
  <c r="B77" i="15"/>
  <c r="A26" i="13" s="1"/>
  <c r="A25" i="13"/>
  <c r="F23" i="13"/>
  <c r="B24" i="13"/>
  <c r="C76" i="15"/>
  <c r="K75" i="15"/>
  <c r="L75" i="15"/>
  <c r="A107" i="14"/>
  <c r="C107" i="14" s="1"/>
  <c r="H75" i="15"/>
  <c r="AF75" i="15"/>
  <c r="W75" i="15"/>
  <c r="A59" i="14"/>
  <c r="D75" i="15"/>
  <c r="M75" i="15" s="1"/>
  <c r="C30" i="17"/>
  <c r="B31" i="17"/>
  <c r="A148" i="15"/>
  <c r="A195" i="15" s="1"/>
  <c r="A27" i="17"/>
  <c r="A75" i="15"/>
  <c r="E74" i="15"/>
  <c r="Q147" i="15"/>
  <c r="R147" i="15"/>
  <c r="V147" i="15"/>
  <c r="L147" i="15"/>
  <c r="T147" i="15"/>
  <c r="P147" i="15"/>
  <c r="M147" i="15"/>
  <c r="U147" i="15"/>
  <c r="I147" i="15"/>
  <c r="G147" i="15"/>
  <c r="H147" i="15"/>
  <c r="N147" i="15"/>
  <c r="C147" i="15"/>
  <c r="E147" i="15"/>
  <c r="D147" i="15"/>
  <c r="K147" i="15"/>
  <c r="F147" i="15"/>
  <c r="B78" i="15" l="1"/>
  <c r="A27" i="13" s="1"/>
  <c r="B25" i="13"/>
  <c r="F24" i="13"/>
  <c r="A60" i="14"/>
  <c r="L76" i="15"/>
  <c r="H76" i="15"/>
  <c r="W76" i="15"/>
  <c r="C77" i="15"/>
  <c r="AF76" i="15"/>
  <c r="A108" i="14"/>
  <c r="C108" i="14" s="1"/>
  <c r="D76" i="15"/>
  <c r="M76" i="15" s="1"/>
  <c r="K76" i="15"/>
  <c r="C31" i="17"/>
  <c r="B32" i="17"/>
  <c r="P148" i="15"/>
  <c r="U148" i="15"/>
  <c r="L148" i="15"/>
  <c r="Q148" i="15"/>
  <c r="R148" i="15"/>
  <c r="M148" i="15"/>
  <c r="H148" i="15"/>
  <c r="G148" i="15"/>
  <c r="N148" i="15"/>
  <c r="V148" i="15"/>
  <c r="T148" i="15"/>
  <c r="I148" i="15"/>
  <c r="A149" i="15"/>
  <c r="A196" i="15" s="1"/>
  <c r="A28" i="17"/>
  <c r="A76" i="15"/>
  <c r="E75" i="15"/>
  <c r="E148" i="15"/>
  <c r="D148" i="15"/>
  <c r="C148" i="15"/>
  <c r="K148" i="15"/>
  <c r="F148" i="15"/>
  <c r="C78" i="15" l="1"/>
  <c r="A110" i="14" s="1"/>
  <c r="C110" i="14" s="1"/>
  <c r="B79" i="15"/>
  <c r="A28" i="13" s="1"/>
  <c r="F25" i="13"/>
  <c r="B26" i="13"/>
  <c r="D77" i="15"/>
  <c r="M77" i="15" s="1"/>
  <c r="H77" i="15"/>
  <c r="A109" i="14"/>
  <c r="C109" i="14" s="1"/>
  <c r="K77" i="15"/>
  <c r="L77" i="15"/>
  <c r="W77" i="15"/>
  <c r="A61" i="14"/>
  <c r="AF77" i="15"/>
  <c r="B33" i="17"/>
  <c r="C32" i="17"/>
  <c r="P149" i="15"/>
  <c r="G149" i="15"/>
  <c r="Q149" i="15"/>
  <c r="H149" i="15"/>
  <c r="I149" i="15"/>
  <c r="N149" i="15"/>
  <c r="R149" i="15"/>
  <c r="V149" i="15"/>
  <c r="M149" i="15"/>
  <c r="L149" i="15"/>
  <c r="T149" i="15"/>
  <c r="U149" i="15"/>
  <c r="A29" i="17"/>
  <c r="A150" i="15"/>
  <c r="A197" i="15" s="1"/>
  <c r="A77" i="15"/>
  <c r="E76" i="15"/>
  <c r="D149" i="15"/>
  <c r="C149" i="15"/>
  <c r="E149" i="15"/>
  <c r="K149" i="15"/>
  <c r="F149" i="15"/>
  <c r="W78" i="15" l="1"/>
  <c r="A62" i="14"/>
  <c r="K78" i="15"/>
  <c r="D78" i="15"/>
  <c r="M78" i="15" s="1"/>
  <c r="H78" i="15"/>
  <c r="AF78" i="15"/>
  <c r="L78" i="15"/>
  <c r="B80" i="15"/>
  <c r="A29" i="13" s="1"/>
  <c r="C79" i="15"/>
  <c r="A63" i="14" s="1"/>
  <c r="B27" i="13"/>
  <c r="F26" i="13"/>
  <c r="W79" i="15"/>
  <c r="C33" i="17"/>
  <c r="B34" i="17"/>
  <c r="A30" i="17"/>
  <c r="A151" i="15"/>
  <c r="A198" i="15" s="1"/>
  <c r="A78" i="15"/>
  <c r="E77" i="15"/>
  <c r="P150" i="15"/>
  <c r="U150" i="15"/>
  <c r="I150" i="15"/>
  <c r="R150" i="15"/>
  <c r="Q150" i="15"/>
  <c r="V150" i="15"/>
  <c r="G150" i="15"/>
  <c r="L150" i="15"/>
  <c r="N150" i="15"/>
  <c r="T150" i="15"/>
  <c r="M150" i="15"/>
  <c r="H150" i="15"/>
  <c r="E150" i="15"/>
  <c r="D150" i="15"/>
  <c r="C150" i="15"/>
  <c r="K150" i="15"/>
  <c r="F150" i="15"/>
  <c r="B81" i="15" l="1"/>
  <c r="A30" i="13" s="1"/>
  <c r="AF79" i="15"/>
  <c r="A111" i="14"/>
  <c r="C111" i="14" s="1"/>
  <c r="K79" i="15"/>
  <c r="H79" i="15"/>
  <c r="D79" i="15"/>
  <c r="M79" i="15" s="1"/>
  <c r="L79" i="15"/>
  <c r="C80" i="15"/>
  <c r="A64" i="14" s="1"/>
  <c r="F27" i="13"/>
  <c r="B28" i="13"/>
  <c r="B35" i="17"/>
  <c r="C34" i="17"/>
  <c r="A31" i="17"/>
  <c r="A152" i="15"/>
  <c r="A199" i="15" s="1"/>
  <c r="A79" i="15"/>
  <c r="E78" i="15"/>
  <c r="Q151" i="15"/>
  <c r="P151" i="15"/>
  <c r="T151" i="15"/>
  <c r="U151" i="15"/>
  <c r="I151" i="15"/>
  <c r="V151" i="15"/>
  <c r="L151" i="15"/>
  <c r="R151" i="15"/>
  <c r="N151" i="15"/>
  <c r="H151" i="15"/>
  <c r="G151" i="15"/>
  <c r="M151" i="15"/>
  <c r="C151" i="15"/>
  <c r="E151" i="15"/>
  <c r="D151" i="15"/>
  <c r="K151" i="15"/>
  <c r="F151" i="15"/>
  <c r="B82" i="15" l="1"/>
  <c r="B83" i="15" s="1"/>
  <c r="A32" i="13" s="1"/>
  <c r="C81" i="15"/>
  <c r="W81" i="15" s="1"/>
  <c r="L80" i="15"/>
  <c r="AF80" i="15"/>
  <c r="K80" i="15"/>
  <c r="A112" i="14"/>
  <c r="C112" i="14" s="1"/>
  <c r="D80" i="15"/>
  <c r="M80" i="15" s="1"/>
  <c r="H80" i="15"/>
  <c r="W80" i="15"/>
  <c r="B29" i="13"/>
  <c r="F28" i="13"/>
  <c r="B36" i="17"/>
  <c r="C35" i="17"/>
  <c r="A32" i="17"/>
  <c r="A153" i="15"/>
  <c r="A200" i="15" s="1"/>
  <c r="A80" i="15"/>
  <c r="E79" i="15"/>
  <c r="P152" i="15"/>
  <c r="Q152" i="15"/>
  <c r="R152" i="15"/>
  <c r="H152" i="15"/>
  <c r="N152" i="15"/>
  <c r="I152" i="15"/>
  <c r="G152" i="15"/>
  <c r="U152" i="15"/>
  <c r="T152" i="15"/>
  <c r="M152" i="15"/>
  <c r="L152" i="15"/>
  <c r="V152" i="15"/>
  <c r="C152" i="15"/>
  <c r="E152" i="15"/>
  <c r="D152" i="15"/>
  <c r="K152" i="15"/>
  <c r="F152" i="15"/>
  <c r="L81" i="15" l="1"/>
  <c r="AF81" i="15"/>
  <c r="D81" i="15"/>
  <c r="M81" i="15" s="1"/>
  <c r="H81" i="15"/>
  <c r="A113" i="14"/>
  <c r="C113" i="14" s="1"/>
  <c r="A65" i="14"/>
  <c r="K81" i="15"/>
  <c r="C82" i="15"/>
  <c r="K82" i="15" s="1"/>
  <c r="A31" i="13"/>
  <c r="B84" i="15"/>
  <c r="A33" i="13" s="1"/>
  <c r="F29" i="13"/>
  <c r="B30" i="13"/>
  <c r="B37" i="17"/>
  <c r="C36" i="17"/>
  <c r="A33" i="17"/>
  <c r="A154" i="15"/>
  <c r="A201" i="15" s="1"/>
  <c r="A81" i="15"/>
  <c r="E80" i="15"/>
  <c r="M153" i="15"/>
  <c r="V153" i="15"/>
  <c r="P153" i="15"/>
  <c r="R153" i="15"/>
  <c r="L153" i="15"/>
  <c r="G153" i="15"/>
  <c r="H153" i="15"/>
  <c r="Q153" i="15"/>
  <c r="N153" i="15"/>
  <c r="T153" i="15"/>
  <c r="I153" i="15"/>
  <c r="U153" i="15"/>
  <c r="C153" i="15"/>
  <c r="D153" i="15"/>
  <c r="E153" i="15"/>
  <c r="K153" i="15"/>
  <c r="F153" i="15"/>
  <c r="C83" i="15" l="1"/>
  <c r="D83" i="15" s="1"/>
  <c r="M83" i="15" s="1"/>
  <c r="A114" i="14"/>
  <c r="C114" i="14" s="1"/>
  <c r="D82" i="15"/>
  <c r="M82" i="15" s="1"/>
  <c r="AF82" i="15"/>
  <c r="W82" i="15"/>
  <c r="L82" i="15"/>
  <c r="H82" i="15"/>
  <c r="A66" i="14"/>
  <c r="B85" i="15"/>
  <c r="A34" i="13" s="1"/>
  <c r="B31" i="13"/>
  <c r="F30" i="13"/>
  <c r="B38" i="17"/>
  <c r="C37" i="17"/>
  <c r="P154" i="15"/>
  <c r="I154" i="15"/>
  <c r="R154" i="15"/>
  <c r="M154" i="15"/>
  <c r="H154" i="15"/>
  <c r="L154" i="15"/>
  <c r="N154" i="15"/>
  <c r="Q154" i="15"/>
  <c r="U154" i="15"/>
  <c r="G154" i="15"/>
  <c r="V154" i="15"/>
  <c r="T154" i="15"/>
  <c r="A34" i="17"/>
  <c r="A155" i="15"/>
  <c r="A202" i="15" s="1"/>
  <c r="A82" i="15"/>
  <c r="E81" i="15"/>
  <c r="D154" i="15"/>
  <c r="C154" i="15"/>
  <c r="E154" i="15"/>
  <c r="K154" i="15"/>
  <c r="F154" i="15"/>
  <c r="W83" i="15" l="1"/>
  <c r="A115" i="14"/>
  <c r="C115" i="14" s="1"/>
  <c r="H83" i="15"/>
  <c r="L83" i="15"/>
  <c r="K83" i="15"/>
  <c r="A67" i="14"/>
  <c r="AF83" i="15"/>
  <c r="C84" i="15"/>
  <c r="L84" i="15" s="1"/>
  <c r="B86" i="15"/>
  <c r="A35" i="13" s="1"/>
  <c r="B32" i="13"/>
  <c r="F31" i="13"/>
  <c r="C38" i="17"/>
  <c r="B39" i="17"/>
  <c r="A156" i="15"/>
  <c r="A203" i="15" s="1"/>
  <c r="A35" i="17"/>
  <c r="A83" i="15"/>
  <c r="E82" i="15"/>
  <c r="Q155" i="15"/>
  <c r="P155" i="15"/>
  <c r="T155" i="15"/>
  <c r="M155" i="15"/>
  <c r="I155" i="15"/>
  <c r="V155" i="15"/>
  <c r="N155" i="15"/>
  <c r="L155" i="15"/>
  <c r="H155" i="15"/>
  <c r="U155" i="15"/>
  <c r="G155" i="15"/>
  <c r="R155" i="15"/>
  <c r="E155" i="15"/>
  <c r="D155" i="15"/>
  <c r="C155" i="15"/>
  <c r="K155" i="15"/>
  <c r="F155" i="15"/>
  <c r="K84" i="15" l="1"/>
  <c r="H84" i="15"/>
  <c r="A116" i="14"/>
  <c r="C116" i="14" s="1"/>
  <c r="AF84" i="15"/>
  <c r="W84" i="15"/>
  <c r="A68" i="14"/>
  <c r="D84" i="15"/>
  <c r="M84" i="15" s="1"/>
  <c r="C85" i="15"/>
  <c r="H85" i="15" s="1"/>
  <c r="B87" i="15"/>
  <c r="B33" i="13"/>
  <c r="F32" i="13"/>
  <c r="B40" i="17"/>
  <c r="C39" i="17"/>
  <c r="P156" i="15"/>
  <c r="V156" i="15"/>
  <c r="G156" i="15"/>
  <c r="R156" i="15"/>
  <c r="Q156" i="15"/>
  <c r="H156" i="15"/>
  <c r="L156" i="15"/>
  <c r="N156" i="15"/>
  <c r="M156" i="15"/>
  <c r="U156" i="15"/>
  <c r="T156" i="15"/>
  <c r="I156" i="15"/>
  <c r="A36" i="17"/>
  <c r="A157" i="15"/>
  <c r="A204" i="15" s="1"/>
  <c r="A84" i="15"/>
  <c r="E83" i="15"/>
  <c r="C156" i="15"/>
  <c r="D156" i="15"/>
  <c r="E156" i="15"/>
  <c r="K156" i="15"/>
  <c r="F156" i="15"/>
  <c r="A117" i="14" l="1"/>
  <c r="C117" i="14" s="1"/>
  <c r="K85" i="15"/>
  <c r="L85" i="15"/>
  <c r="D85" i="15"/>
  <c r="M85" i="15" s="1"/>
  <c r="C86" i="15"/>
  <c r="C87" i="15" s="1"/>
  <c r="A69" i="14"/>
  <c r="W85" i="15"/>
  <c r="AF85" i="15"/>
  <c r="A36" i="13"/>
  <c r="B88" i="15"/>
  <c r="A37" i="13" s="1"/>
  <c r="B34" i="13"/>
  <c r="F33" i="13"/>
  <c r="C40" i="17"/>
  <c r="B41" i="17"/>
  <c r="A37" i="17"/>
  <c r="A158" i="15"/>
  <c r="A205" i="15" s="1"/>
  <c r="A85" i="15"/>
  <c r="E84" i="15"/>
  <c r="Q157" i="15"/>
  <c r="P157" i="15"/>
  <c r="U157" i="15"/>
  <c r="L157" i="15"/>
  <c r="G157" i="15"/>
  <c r="V157" i="15"/>
  <c r="N157" i="15"/>
  <c r="R157" i="15"/>
  <c r="H157" i="15"/>
  <c r="T157" i="15"/>
  <c r="I157" i="15"/>
  <c r="M157" i="15"/>
  <c r="E157" i="15"/>
  <c r="D157" i="15"/>
  <c r="C157" i="15"/>
  <c r="K157" i="15"/>
  <c r="F157" i="15"/>
  <c r="D86" i="15" l="1"/>
  <c r="M86" i="15" s="1"/>
  <c r="AF86" i="15"/>
  <c r="H86" i="15"/>
  <c r="AF87" i="15"/>
  <c r="A119" i="14"/>
  <c r="C119" i="14" s="1"/>
  <c r="A71" i="14"/>
  <c r="H87" i="15"/>
  <c r="K87" i="15"/>
  <c r="D87" i="15"/>
  <c r="W87" i="15"/>
  <c r="A118" i="14"/>
  <c r="C118" i="14" s="1"/>
  <c r="A70" i="14"/>
  <c r="L86" i="15"/>
  <c r="K86" i="15"/>
  <c r="W86" i="15"/>
  <c r="C88" i="15"/>
  <c r="AF88" i="15" s="1"/>
  <c r="B89" i="15"/>
  <c r="A38" i="13" s="1"/>
  <c r="F34" i="13"/>
  <c r="B35" i="13"/>
  <c r="B42" i="17"/>
  <c r="C41" i="17"/>
  <c r="A159" i="15"/>
  <c r="A206" i="15" s="1"/>
  <c r="A38" i="17"/>
  <c r="A86" i="15"/>
  <c r="E85" i="15"/>
  <c r="P158" i="15"/>
  <c r="Q158" i="15"/>
  <c r="I158" i="15"/>
  <c r="G158" i="15"/>
  <c r="V158" i="15"/>
  <c r="L158" i="15"/>
  <c r="H158" i="15"/>
  <c r="U158" i="15"/>
  <c r="M158" i="15"/>
  <c r="T158" i="15"/>
  <c r="N158" i="15"/>
  <c r="R158" i="15"/>
  <c r="E158" i="15"/>
  <c r="D158" i="15"/>
  <c r="C158" i="15"/>
  <c r="K158" i="15"/>
  <c r="F158" i="15"/>
  <c r="W88" i="15" l="1"/>
  <c r="A120" i="14"/>
  <c r="L88" i="15"/>
  <c r="D88" i="15"/>
  <c r="M88" i="15" s="1"/>
  <c r="A72" i="14"/>
  <c r="H88" i="15"/>
  <c r="K88" i="15"/>
  <c r="C89" i="15"/>
  <c r="D89" i="15" s="1"/>
  <c r="M89" i="15" s="1"/>
  <c r="B90" i="15"/>
  <c r="A39" i="13" s="1"/>
  <c r="B36" i="13"/>
  <c r="F35" i="13"/>
  <c r="C42" i="17"/>
  <c r="B43" i="17"/>
  <c r="A160" i="15"/>
  <c r="A207" i="15" s="1"/>
  <c r="A39" i="17"/>
  <c r="A87" i="15"/>
  <c r="E86" i="15"/>
  <c r="Q159" i="15"/>
  <c r="P159" i="15"/>
  <c r="U159" i="15"/>
  <c r="I159" i="15"/>
  <c r="G159" i="15"/>
  <c r="N159" i="15"/>
  <c r="H159" i="15"/>
  <c r="T159" i="15"/>
  <c r="R159" i="15"/>
  <c r="V159" i="15"/>
  <c r="L159" i="15"/>
  <c r="M159" i="15"/>
  <c r="E159" i="15"/>
  <c r="D159" i="15"/>
  <c r="C159" i="15"/>
  <c r="K159" i="15"/>
  <c r="F159" i="15"/>
  <c r="W89" i="15" l="1"/>
  <c r="L89" i="15"/>
  <c r="K89" i="15"/>
  <c r="A121" i="14"/>
  <c r="A73" i="14"/>
  <c r="AF89" i="15"/>
  <c r="H89" i="15"/>
  <c r="B91" i="15"/>
  <c r="A40" i="13" s="1"/>
  <c r="C90" i="15"/>
  <c r="A74" i="14" s="1"/>
  <c r="B37" i="13"/>
  <c r="F36" i="13"/>
  <c r="C43" i="17"/>
  <c r="B44" i="17"/>
  <c r="A40" i="17"/>
  <c r="A161" i="15"/>
  <c r="A208" i="15" s="1"/>
  <c r="A88" i="15"/>
  <c r="E87" i="15"/>
  <c r="P160" i="15"/>
  <c r="L160" i="15"/>
  <c r="M160" i="15"/>
  <c r="N160" i="15"/>
  <c r="U160" i="15"/>
  <c r="V160" i="15"/>
  <c r="Q160" i="15"/>
  <c r="G160" i="15"/>
  <c r="T160" i="15"/>
  <c r="I160" i="15"/>
  <c r="R160" i="15"/>
  <c r="H160" i="15"/>
  <c r="D160" i="15"/>
  <c r="E160" i="15"/>
  <c r="C160" i="15"/>
  <c r="K160" i="15"/>
  <c r="F160" i="15"/>
  <c r="B92" i="15" l="1"/>
  <c r="A41" i="13" s="1"/>
  <c r="AF90" i="15"/>
  <c r="C91" i="15"/>
  <c r="D90" i="15"/>
  <c r="M90" i="15" s="1"/>
  <c r="L90" i="15"/>
  <c r="A122" i="14"/>
  <c r="B93" i="15"/>
  <c r="A42" i="13" s="1"/>
  <c r="H90" i="15"/>
  <c r="W90" i="15"/>
  <c r="K90" i="15"/>
  <c r="B38" i="13"/>
  <c r="F37" i="13"/>
  <c r="C44" i="17"/>
  <c r="B45" i="17"/>
  <c r="K91" i="15"/>
  <c r="A123" i="14"/>
  <c r="AF91" i="15"/>
  <c r="L91" i="15"/>
  <c r="W91" i="15"/>
  <c r="A75" i="14"/>
  <c r="D91" i="15"/>
  <c r="M91" i="15" s="1"/>
  <c r="H91" i="15"/>
  <c r="C92" i="15"/>
  <c r="A162" i="15"/>
  <c r="A209" i="15" s="1"/>
  <c r="A41" i="17"/>
  <c r="A89" i="15"/>
  <c r="E88" i="15"/>
  <c r="Q161" i="15"/>
  <c r="L161" i="15"/>
  <c r="H161" i="15"/>
  <c r="R161" i="15"/>
  <c r="N161" i="15"/>
  <c r="I161" i="15"/>
  <c r="U161" i="15"/>
  <c r="T161" i="15"/>
  <c r="M161" i="15"/>
  <c r="P161" i="15"/>
  <c r="G161" i="15"/>
  <c r="V161" i="15"/>
  <c r="D161" i="15"/>
  <c r="E161" i="15"/>
  <c r="C161" i="15"/>
  <c r="K161" i="15"/>
  <c r="F161" i="15"/>
  <c r="B94" i="15" l="1"/>
  <c r="A43" i="13" s="1"/>
  <c r="B39" i="13"/>
  <c r="F38" i="13"/>
  <c r="C45" i="17"/>
  <c r="B46" i="17"/>
  <c r="A163" i="15"/>
  <c r="A210" i="15" s="1"/>
  <c r="A42" i="17"/>
  <c r="A90" i="15"/>
  <c r="E89" i="15"/>
  <c r="AF92" i="15"/>
  <c r="A76" i="14"/>
  <c r="H92" i="15"/>
  <c r="A124" i="14"/>
  <c r="W92" i="15"/>
  <c r="D92" i="15"/>
  <c r="M92" i="15" s="1"/>
  <c r="L92" i="15"/>
  <c r="K92" i="15"/>
  <c r="C93" i="15"/>
  <c r="P162" i="15"/>
  <c r="Q162" i="15"/>
  <c r="T162" i="15"/>
  <c r="M162" i="15"/>
  <c r="H162" i="15"/>
  <c r="G162" i="15"/>
  <c r="R162" i="15"/>
  <c r="N162" i="15"/>
  <c r="I162" i="15"/>
  <c r="U162" i="15"/>
  <c r="V162" i="15"/>
  <c r="L162" i="15"/>
  <c r="E162" i="15"/>
  <c r="D162" i="15"/>
  <c r="C162" i="15"/>
  <c r="K162" i="15"/>
  <c r="F162" i="15"/>
  <c r="B95" i="15" l="1"/>
  <c r="A44" i="13" s="1"/>
  <c r="B40" i="13"/>
  <c r="F39" i="13"/>
  <c r="C46" i="17"/>
  <c r="B47" i="17"/>
  <c r="A164" i="15"/>
  <c r="A211" i="15" s="1"/>
  <c r="A43" i="17"/>
  <c r="A91" i="15"/>
  <c r="E90" i="15"/>
  <c r="Q163" i="15"/>
  <c r="T163" i="15"/>
  <c r="R163" i="15"/>
  <c r="V163" i="15"/>
  <c r="N163" i="15"/>
  <c r="G163" i="15"/>
  <c r="P163" i="15"/>
  <c r="U163" i="15"/>
  <c r="H163" i="15"/>
  <c r="I163" i="15"/>
  <c r="M163" i="15"/>
  <c r="L163" i="15"/>
  <c r="D93" i="15"/>
  <c r="M93" i="15" s="1"/>
  <c r="H93" i="15"/>
  <c r="A125" i="14"/>
  <c r="A77" i="14"/>
  <c r="W93" i="15"/>
  <c r="K93" i="15"/>
  <c r="L93" i="15"/>
  <c r="AF93" i="15"/>
  <c r="C94" i="15"/>
  <c r="E163" i="15"/>
  <c r="D163" i="15"/>
  <c r="C163" i="15"/>
  <c r="K163" i="15"/>
  <c r="F163" i="15"/>
  <c r="B96" i="15" l="1"/>
  <c r="A45" i="13" s="1"/>
  <c r="B41" i="13"/>
  <c r="F40" i="13"/>
  <c r="C47" i="17"/>
  <c r="B48" i="17"/>
  <c r="A126" i="14"/>
  <c r="A78" i="14"/>
  <c r="D94" i="15"/>
  <c r="M94" i="15" s="1"/>
  <c r="K94" i="15"/>
  <c r="AF94" i="15"/>
  <c r="W94" i="15"/>
  <c r="L94" i="15"/>
  <c r="H94" i="15"/>
  <c r="C95" i="15"/>
  <c r="P164" i="15"/>
  <c r="Q164" i="15"/>
  <c r="R164" i="15"/>
  <c r="N164" i="15"/>
  <c r="L164" i="15"/>
  <c r="T164" i="15"/>
  <c r="H164" i="15"/>
  <c r="U164" i="15"/>
  <c r="V164" i="15"/>
  <c r="G164" i="15"/>
  <c r="M164" i="15"/>
  <c r="I164" i="15"/>
  <c r="A44" i="17"/>
  <c r="A165" i="15"/>
  <c r="A212" i="15" s="1"/>
  <c r="A92" i="15"/>
  <c r="E91" i="15"/>
  <c r="E164" i="15"/>
  <c r="C164" i="15"/>
  <c r="D164" i="15"/>
  <c r="K164" i="15"/>
  <c r="F164" i="15"/>
  <c r="B97" i="15" l="1"/>
  <c r="B98" i="15" s="1"/>
  <c r="B42" i="13"/>
  <c r="F41" i="13"/>
  <c r="C48" i="17"/>
  <c r="B49" i="17"/>
  <c r="A45" i="17"/>
  <c r="A166" i="15"/>
  <c r="A213" i="15" s="1"/>
  <c r="A93" i="15"/>
  <c r="E92" i="15"/>
  <c r="P165" i="15"/>
  <c r="Q165" i="15"/>
  <c r="I165" i="15"/>
  <c r="M165" i="15"/>
  <c r="H165" i="15"/>
  <c r="L165" i="15"/>
  <c r="N165" i="15"/>
  <c r="G165" i="15"/>
  <c r="R165" i="15"/>
  <c r="U165" i="15"/>
  <c r="V165" i="15"/>
  <c r="T165" i="15"/>
  <c r="H95" i="15"/>
  <c r="AF95" i="15"/>
  <c r="W95" i="15"/>
  <c r="A127" i="14"/>
  <c r="K95" i="15"/>
  <c r="L95" i="15"/>
  <c r="D95" i="15"/>
  <c r="M95" i="15" s="1"/>
  <c r="A79" i="14"/>
  <c r="C96" i="15"/>
  <c r="E165" i="15"/>
  <c r="D165" i="15"/>
  <c r="C165" i="15"/>
  <c r="K165" i="15"/>
  <c r="F165" i="15"/>
  <c r="A46" i="13" l="1"/>
  <c r="A47" i="13"/>
  <c r="B99" i="15"/>
  <c r="F42" i="13"/>
  <c r="B43" i="13"/>
  <c r="C121" i="14"/>
  <c r="C49" i="17"/>
  <c r="B50" i="17"/>
  <c r="A46" i="17"/>
  <c r="A167" i="15"/>
  <c r="A214" i="15" s="1"/>
  <c r="A94" i="15"/>
  <c r="E93" i="15"/>
  <c r="D96" i="15"/>
  <c r="M96" i="15" s="1"/>
  <c r="AF96" i="15"/>
  <c r="H96" i="15"/>
  <c r="A128" i="14"/>
  <c r="W96" i="15"/>
  <c r="L96" i="15"/>
  <c r="K96" i="15"/>
  <c r="A80" i="14"/>
  <c r="C97" i="15"/>
  <c r="P166" i="15"/>
  <c r="R166" i="15"/>
  <c r="V166" i="15"/>
  <c r="Q166" i="15"/>
  <c r="I166" i="15"/>
  <c r="L166" i="15"/>
  <c r="T166" i="15"/>
  <c r="H166" i="15"/>
  <c r="G166" i="15"/>
  <c r="M166" i="15"/>
  <c r="U166" i="15"/>
  <c r="N166" i="15"/>
  <c r="D166" i="15"/>
  <c r="C166" i="15"/>
  <c r="E166" i="15"/>
  <c r="K166" i="15"/>
  <c r="F166" i="15"/>
  <c r="A48" i="13" l="1"/>
  <c r="B100" i="15"/>
  <c r="B44" i="13"/>
  <c r="F43" i="13"/>
  <c r="C122" i="14"/>
  <c r="B51" i="17"/>
  <c r="C50" i="17"/>
  <c r="A168" i="15"/>
  <c r="A215" i="15" s="1"/>
  <c r="A47" i="17"/>
  <c r="A95" i="15"/>
  <c r="E94" i="15"/>
  <c r="Q167" i="15"/>
  <c r="P167" i="15"/>
  <c r="M167" i="15"/>
  <c r="U167" i="15"/>
  <c r="I167" i="15"/>
  <c r="V167" i="15"/>
  <c r="T167" i="15"/>
  <c r="G167" i="15"/>
  <c r="R167" i="15"/>
  <c r="L167" i="15"/>
  <c r="N167" i="15"/>
  <c r="H167" i="15"/>
  <c r="W97" i="15"/>
  <c r="D97" i="15"/>
  <c r="A81" i="14"/>
  <c r="K97" i="15"/>
  <c r="AF97" i="15"/>
  <c r="H97" i="15"/>
  <c r="A129" i="14"/>
  <c r="C98" i="15"/>
  <c r="D167" i="15"/>
  <c r="E167" i="15"/>
  <c r="C167" i="15"/>
  <c r="K167" i="15"/>
  <c r="F167" i="15"/>
  <c r="A49" i="13" l="1"/>
  <c r="B101" i="15"/>
  <c r="A50" i="13" s="1"/>
  <c r="B45" i="13"/>
  <c r="F44" i="13"/>
  <c r="C123" i="14"/>
  <c r="B52" i="17"/>
  <c r="C51" i="17"/>
  <c r="L98" i="15"/>
  <c r="D98" i="15"/>
  <c r="M98" i="15" s="1"/>
  <c r="A130" i="14"/>
  <c r="AF98" i="15"/>
  <c r="K98" i="15"/>
  <c r="H98" i="15"/>
  <c r="A82" i="14"/>
  <c r="W98" i="15"/>
  <c r="C99" i="15"/>
  <c r="A169" i="15"/>
  <c r="A216" i="15" s="1"/>
  <c r="A48" i="17"/>
  <c r="A96" i="15"/>
  <c r="E95" i="15"/>
  <c r="P168" i="15"/>
  <c r="Q168" i="15"/>
  <c r="I168" i="15"/>
  <c r="V168" i="15"/>
  <c r="N168" i="15"/>
  <c r="G168" i="15"/>
  <c r="M168" i="15"/>
  <c r="T168" i="15"/>
  <c r="L168" i="15"/>
  <c r="H168" i="15"/>
  <c r="U168" i="15"/>
  <c r="R168" i="15"/>
  <c r="E168" i="15"/>
  <c r="D168" i="15"/>
  <c r="C168" i="15"/>
  <c r="K168" i="15"/>
  <c r="F168" i="15"/>
  <c r="B102" i="15" l="1"/>
  <c r="A51" i="13" s="1"/>
  <c r="B46" i="13"/>
  <c r="F45" i="13"/>
  <c r="C124" i="14"/>
  <c r="B53" i="17"/>
  <c r="C52" i="17"/>
  <c r="A49" i="17"/>
  <c r="A170" i="15"/>
  <c r="A217" i="15" s="1"/>
  <c r="A97" i="15"/>
  <c r="E96" i="15"/>
  <c r="W99" i="15"/>
  <c r="L99" i="15"/>
  <c r="D99" i="15"/>
  <c r="M99" i="15" s="1"/>
  <c r="AF99" i="15"/>
  <c r="K99" i="15"/>
  <c r="A83" i="14"/>
  <c r="A131" i="14"/>
  <c r="H99" i="15"/>
  <c r="C100" i="15"/>
  <c r="P169" i="15"/>
  <c r="M169" i="15"/>
  <c r="G169" i="15"/>
  <c r="L169" i="15"/>
  <c r="Q169" i="15"/>
  <c r="N169" i="15"/>
  <c r="I169" i="15"/>
  <c r="V169" i="15"/>
  <c r="H169" i="15"/>
  <c r="R169" i="15"/>
  <c r="T169" i="15"/>
  <c r="U169" i="15"/>
  <c r="E169" i="15"/>
  <c r="D169" i="15"/>
  <c r="C169" i="15"/>
  <c r="K169" i="15"/>
  <c r="F169" i="15"/>
  <c r="B103" i="15" l="1"/>
  <c r="B104" i="15" s="1"/>
  <c r="B47" i="13"/>
  <c r="C53" i="17"/>
  <c r="B54" i="17"/>
  <c r="A171" i="15"/>
  <c r="A218" i="15" s="1"/>
  <c r="A50" i="17"/>
  <c r="A98" i="15"/>
  <c r="E97" i="15"/>
  <c r="AF100" i="15"/>
  <c r="L100" i="15"/>
  <c r="A132" i="14"/>
  <c r="H100" i="15"/>
  <c r="W100" i="15"/>
  <c r="K100" i="15"/>
  <c r="D100" i="15"/>
  <c r="M100" i="15" s="1"/>
  <c r="A84" i="14"/>
  <c r="C101" i="15"/>
  <c r="P170" i="15"/>
  <c r="Q170" i="15"/>
  <c r="L170" i="15"/>
  <c r="N170" i="15"/>
  <c r="R170" i="15"/>
  <c r="I170" i="15"/>
  <c r="T170" i="15"/>
  <c r="V170" i="15"/>
  <c r="G170" i="15"/>
  <c r="U170" i="15"/>
  <c r="M170" i="15"/>
  <c r="H170" i="15"/>
  <c r="E170" i="15"/>
  <c r="D170" i="15"/>
  <c r="C170" i="15"/>
  <c r="K170" i="15"/>
  <c r="F170" i="15"/>
  <c r="A53" i="13" l="1"/>
  <c r="A52" i="13"/>
  <c r="B105" i="15"/>
  <c r="A54" i="13" s="1"/>
  <c r="B48" i="13"/>
  <c r="F47" i="13"/>
  <c r="C125" i="14"/>
  <c r="C54" i="17"/>
  <c r="B55" i="17"/>
  <c r="A51" i="17"/>
  <c r="A172" i="15"/>
  <c r="A219" i="15" s="1"/>
  <c r="A99" i="15"/>
  <c r="E98" i="15"/>
  <c r="L101" i="15"/>
  <c r="H101" i="15"/>
  <c r="W101" i="15"/>
  <c r="K101" i="15"/>
  <c r="D101" i="15"/>
  <c r="M101" i="15" s="1"/>
  <c r="AF101" i="15"/>
  <c r="A133" i="14"/>
  <c r="A85" i="14"/>
  <c r="C102" i="15"/>
  <c r="Q171" i="15"/>
  <c r="P171" i="15"/>
  <c r="G171" i="15"/>
  <c r="L171" i="15"/>
  <c r="H171" i="15"/>
  <c r="V171" i="15"/>
  <c r="T171" i="15"/>
  <c r="M171" i="15"/>
  <c r="U171" i="15"/>
  <c r="I171" i="15"/>
  <c r="N171" i="15"/>
  <c r="R171" i="15"/>
  <c r="E171" i="15"/>
  <c r="D171" i="15"/>
  <c r="C171" i="15"/>
  <c r="K171" i="15"/>
  <c r="F171" i="15"/>
  <c r="B106" i="15" l="1"/>
  <c r="F172" i="15"/>
  <c r="B49" i="13"/>
  <c r="F48" i="13"/>
  <c r="C126" i="14"/>
  <c r="C127" i="14"/>
  <c r="B56" i="17"/>
  <c r="C55" i="17"/>
  <c r="A52" i="17"/>
  <c r="A173" i="15"/>
  <c r="A220" i="15" s="1"/>
  <c r="A100" i="15"/>
  <c r="E99" i="15"/>
  <c r="K102" i="15"/>
  <c r="AF102" i="15"/>
  <c r="W102" i="15"/>
  <c r="A86" i="14"/>
  <c r="H102" i="15"/>
  <c r="D102" i="15"/>
  <c r="A134" i="14"/>
  <c r="C103" i="15"/>
  <c r="P172" i="15"/>
  <c r="L172" i="15"/>
  <c r="G172" i="15"/>
  <c r="V172" i="15"/>
  <c r="U172" i="15"/>
  <c r="M172" i="15"/>
  <c r="N172" i="15"/>
  <c r="Q172" i="15"/>
  <c r="I172" i="15"/>
  <c r="H172" i="15"/>
  <c r="T172" i="15"/>
  <c r="R172" i="15"/>
  <c r="D172" i="15"/>
  <c r="C172" i="15"/>
  <c r="E172" i="15"/>
  <c r="K172" i="15"/>
  <c r="A55" i="13" l="1"/>
  <c r="B107" i="15"/>
  <c r="B50" i="13"/>
  <c r="F49" i="13"/>
  <c r="F173" i="15"/>
  <c r="C128" i="14"/>
  <c r="C56" i="17"/>
  <c r="B57" i="17"/>
  <c r="W103" i="15"/>
  <c r="L103" i="15"/>
  <c r="K103" i="15"/>
  <c r="A135" i="14"/>
  <c r="A87" i="14"/>
  <c r="AF103" i="15"/>
  <c r="H103" i="15"/>
  <c r="D103" i="15"/>
  <c r="M103" i="15" s="1"/>
  <c r="C104" i="15"/>
  <c r="A53" i="17"/>
  <c r="A174" i="15"/>
  <c r="A221" i="15" s="1"/>
  <c r="A101" i="15"/>
  <c r="E100" i="15"/>
  <c r="P173" i="15"/>
  <c r="Q173" i="15"/>
  <c r="V173" i="15"/>
  <c r="U173" i="15"/>
  <c r="M173" i="15"/>
  <c r="I173" i="15"/>
  <c r="L173" i="15"/>
  <c r="G173" i="15"/>
  <c r="N173" i="15"/>
  <c r="H173" i="15"/>
  <c r="R173" i="15"/>
  <c r="T173" i="15"/>
  <c r="E173" i="15"/>
  <c r="D173" i="15"/>
  <c r="C173" i="15"/>
  <c r="K173" i="15"/>
  <c r="F174" i="15" l="1"/>
  <c r="A56" i="13"/>
  <c r="B108" i="15"/>
  <c r="B51" i="13"/>
  <c r="F50" i="13"/>
  <c r="C57" i="17"/>
  <c r="A175" i="15"/>
  <c r="A222" i="15" s="1"/>
  <c r="A54" i="17"/>
  <c r="A102" i="15"/>
  <c r="E101" i="15"/>
  <c r="P174" i="15"/>
  <c r="Q174" i="15"/>
  <c r="N174" i="15"/>
  <c r="T174" i="15"/>
  <c r="U174" i="15"/>
  <c r="I174" i="15"/>
  <c r="L174" i="15"/>
  <c r="H174" i="15"/>
  <c r="R174" i="15"/>
  <c r="G174" i="15"/>
  <c r="V174" i="15"/>
  <c r="M174" i="15"/>
  <c r="D104" i="15"/>
  <c r="M104" i="15" s="1"/>
  <c r="A88" i="14"/>
  <c r="W104" i="15"/>
  <c r="H104" i="15"/>
  <c r="A136" i="14"/>
  <c r="L104" i="15"/>
  <c r="K104" i="15"/>
  <c r="AF104" i="15"/>
  <c r="C105" i="15"/>
  <c r="E174" i="15"/>
  <c r="D174" i="15"/>
  <c r="C174" i="15"/>
  <c r="K174" i="15"/>
  <c r="A57" i="13" l="1"/>
  <c r="S108" i="15"/>
  <c r="B109" i="15"/>
  <c r="B52" i="13"/>
  <c r="F51" i="13"/>
  <c r="F175" i="15"/>
  <c r="C129" i="14"/>
  <c r="D105" i="15"/>
  <c r="M105" i="15" s="1"/>
  <c r="A137" i="14"/>
  <c r="A89" i="14"/>
  <c r="L105" i="15"/>
  <c r="K105" i="15"/>
  <c r="W105" i="15"/>
  <c r="H105" i="15"/>
  <c r="AF105" i="15"/>
  <c r="C106" i="15"/>
  <c r="A176" i="15"/>
  <c r="A223" i="15" s="1"/>
  <c r="A55" i="17"/>
  <c r="A103" i="15"/>
  <c r="E102" i="15"/>
  <c r="Q175" i="15"/>
  <c r="N175" i="15"/>
  <c r="G175" i="15"/>
  <c r="H175" i="15"/>
  <c r="L175" i="15"/>
  <c r="P175" i="15"/>
  <c r="R175" i="15"/>
  <c r="I175" i="15"/>
  <c r="U175" i="15"/>
  <c r="V175" i="15"/>
  <c r="T175" i="15"/>
  <c r="M175" i="15"/>
  <c r="C175" i="15"/>
  <c r="E175" i="15"/>
  <c r="D175" i="15"/>
  <c r="K175" i="15"/>
  <c r="S109" i="15" l="1"/>
  <c r="B110" i="15"/>
  <c r="B53" i="13"/>
  <c r="F52" i="13"/>
  <c r="L102" i="15"/>
  <c r="M102" i="15"/>
  <c r="P176" i="15"/>
  <c r="Q176" i="15"/>
  <c r="T176" i="15"/>
  <c r="H176" i="15"/>
  <c r="L176" i="15"/>
  <c r="I176" i="15"/>
  <c r="V176" i="15"/>
  <c r="N176" i="15"/>
  <c r="R176" i="15"/>
  <c r="U176" i="15"/>
  <c r="G176" i="15"/>
  <c r="M176" i="15"/>
  <c r="A138" i="14"/>
  <c r="D106" i="15"/>
  <c r="M106" i="15" s="1"/>
  <c r="W106" i="15"/>
  <c r="AF106" i="15"/>
  <c r="A90" i="14"/>
  <c r="K106" i="15"/>
  <c r="L106" i="15"/>
  <c r="H106" i="15"/>
  <c r="C107" i="15"/>
  <c r="C108" i="15" s="1"/>
  <c r="Q108" i="15" s="1"/>
  <c r="A56" i="17"/>
  <c r="A177" i="15"/>
  <c r="A224" i="15" s="1"/>
  <c r="A104" i="15"/>
  <c r="E103" i="15"/>
  <c r="D176" i="15"/>
  <c r="C176" i="15"/>
  <c r="E176" i="15"/>
  <c r="F176" i="15"/>
  <c r="K176" i="15"/>
  <c r="S110" i="15" l="1"/>
  <c r="B111" i="15"/>
  <c r="B54" i="13"/>
  <c r="F53" i="13"/>
  <c r="A140" i="14"/>
  <c r="A92" i="14"/>
  <c r="K108" i="15"/>
  <c r="W108" i="15"/>
  <c r="Z108" i="15"/>
  <c r="C109" i="15"/>
  <c r="Q109" i="15" s="1"/>
  <c r="L108" i="15"/>
  <c r="AE108" i="15"/>
  <c r="H108" i="15"/>
  <c r="AF108" i="15"/>
  <c r="P177" i="15"/>
  <c r="Q177" i="15"/>
  <c r="V177" i="15"/>
  <c r="L177" i="15"/>
  <c r="U177" i="15"/>
  <c r="N177" i="15"/>
  <c r="R177" i="15"/>
  <c r="T177" i="15"/>
  <c r="M177" i="15"/>
  <c r="I177" i="15"/>
  <c r="G177" i="15"/>
  <c r="H177" i="15"/>
  <c r="D107" i="15"/>
  <c r="D108" i="15" s="1"/>
  <c r="M108" i="15" s="1"/>
  <c r="H107" i="15"/>
  <c r="AF107" i="15"/>
  <c r="K107" i="15"/>
  <c r="W107" i="15"/>
  <c r="A139" i="14"/>
  <c r="A91" i="14"/>
  <c r="A178" i="15"/>
  <c r="A225" i="15" s="1"/>
  <c r="A57" i="17"/>
  <c r="A105" i="15"/>
  <c r="E104" i="15"/>
  <c r="E177" i="15"/>
  <c r="D177" i="15"/>
  <c r="C177" i="15"/>
  <c r="F177" i="15"/>
  <c r="K177" i="15"/>
  <c r="S111" i="15" l="1"/>
  <c r="B112" i="15"/>
  <c r="B55" i="13"/>
  <c r="F54" i="13"/>
  <c r="Z109" i="15"/>
  <c r="W109" i="15"/>
  <c r="K109" i="15"/>
  <c r="A143" i="14"/>
  <c r="L109" i="15"/>
  <c r="AF109" i="15"/>
  <c r="C110" i="15"/>
  <c r="Q110" i="15" s="1"/>
  <c r="AE109" i="15"/>
  <c r="H109" i="15"/>
  <c r="D109" i="15"/>
  <c r="M109" i="15" s="1"/>
  <c r="P178" i="15"/>
  <c r="Q178" i="15"/>
  <c r="N178" i="15"/>
  <c r="R178" i="15"/>
  <c r="U178" i="15"/>
  <c r="I178" i="15"/>
  <c r="M178" i="15"/>
  <c r="V178" i="15"/>
  <c r="L178" i="15"/>
  <c r="G178" i="15"/>
  <c r="H178" i="15"/>
  <c r="T178" i="15"/>
  <c r="A179" i="15"/>
  <c r="A226" i="15" s="1"/>
  <c r="A106" i="15"/>
  <c r="E105" i="15"/>
  <c r="D178" i="15"/>
  <c r="C178" i="15"/>
  <c r="E178" i="15"/>
  <c r="F178" i="15"/>
  <c r="K178" i="15"/>
  <c r="B113" i="15" l="1"/>
  <c r="S113" i="15" s="1"/>
  <c r="S112" i="15"/>
  <c r="B56" i="13"/>
  <c r="B57" i="13" s="1"/>
  <c r="F55" i="13"/>
  <c r="AF110" i="15"/>
  <c r="K110" i="15"/>
  <c r="D110" i="15"/>
  <c r="M110" i="15" s="1"/>
  <c r="H110" i="15"/>
  <c r="W110" i="15"/>
  <c r="C111" i="15"/>
  <c r="Q111" i="15" s="1"/>
  <c r="Z110" i="15"/>
  <c r="AE110" i="15"/>
  <c r="L110" i="15"/>
  <c r="A180" i="15"/>
  <c r="A227" i="15" s="1"/>
  <c r="A107" i="15"/>
  <c r="A108" i="15" s="1"/>
  <c r="E106" i="15"/>
  <c r="Q179" i="15"/>
  <c r="P179" i="15"/>
  <c r="I179" i="15"/>
  <c r="G179" i="15"/>
  <c r="N179" i="15"/>
  <c r="R179" i="15"/>
  <c r="H179" i="15"/>
  <c r="M179" i="15"/>
  <c r="L179" i="15"/>
  <c r="U179" i="15"/>
  <c r="T179" i="15"/>
  <c r="V179" i="15"/>
  <c r="C179" i="15"/>
  <c r="D179" i="15"/>
  <c r="E179" i="15"/>
  <c r="F179" i="15"/>
  <c r="K179" i="15"/>
  <c r="C57" i="13" l="1"/>
  <c r="F57" i="13"/>
  <c r="G57" i="13"/>
  <c r="E57" i="13"/>
  <c r="W111" i="15"/>
  <c r="D111" i="15"/>
  <c r="M111" i="15" s="1"/>
  <c r="K111" i="15"/>
  <c r="C112" i="15"/>
  <c r="Q112" i="15" s="1"/>
  <c r="L111" i="15"/>
  <c r="Z111" i="15"/>
  <c r="AE111" i="15"/>
  <c r="H111" i="15"/>
  <c r="AF111" i="15"/>
  <c r="A182" i="15"/>
  <c r="A109" i="15"/>
  <c r="E108" i="15"/>
  <c r="P180" i="15"/>
  <c r="G180" i="15"/>
  <c r="I180" i="15"/>
  <c r="Q180" i="15"/>
  <c r="R180" i="15"/>
  <c r="H180" i="15"/>
  <c r="M180" i="15"/>
  <c r="L180" i="15"/>
  <c r="V180" i="15"/>
  <c r="N180" i="15"/>
  <c r="T180" i="15"/>
  <c r="U180" i="15"/>
  <c r="A181" i="15"/>
  <c r="A228" i="15" s="1"/>
  <c r="E107" i="15"/>
  <c r="D180" i="15"/>
  <c r="E180" i="15"/>
  <c r="C180" i="15"/>
  <c r="F180" i="15"/>
  <c r="K180" i="15"/>
  <c r="D57" i="13" l="1"/>
  <c r="F181" i="15"/>
  <c r="I108" i="15"/>
  <c r="P108" i="15"/>
  <c r="N108" i="15"/>
  <c r="A110" i="15"/>
  <c r="E109" i="15"/>
  <c r="A229" i="15"/>
  <c r="T182" i="15"/>
  <c r="C182" i="15"/>
  <c r="C229" i="15" s="1"/>
  <c r="K182" i="15"/>
  <c r="D182" i="15"/>
  <c r="D229" i="15" s="1"/>
  <c r="H182" i="15"/>
  <c r="H229" i="15" s="1"/>
  <c r="E182" i="15"/>
  <c r="E229" i="15" s="1"/>
  <c r="L182" i="15"/>
  <c r="L229" i="15" s="1"/>
  <c r="P182" i="15"/>
  <c r="I182" i="15"/>
  <c r="I229" i="15" s="1"/>
  <c r="R182" i="15"/>
  <c r="Q182" i="15"/>
  <c r="N182" i="15"/>
  <c r="N229" i="15" s="1"/>
  <c r="U182" i="15"/>
  <c r="V182" i="15"/>
  <c r="M182" i="15"/>
  <c r="M229" i="15" s="1"/>
  <c r="G182" i="15"/>
  <c r="G229" i="15" s="1"/>
  <c r="C113" i="15"/>
  <c r="Q113" i="15" s="1"/>
  <c r="H112" i="15"/>
  <c r="AE112" i="15"/>
  <c r="K112" i="15"/>
  <c r="D112" i="15"/>
  <c r="M112" i="15" s="1"/>
  <c r="L112" i="15"/>
  <c r="AF112" i="15"/>
  <c r="Z112" i="15"/>
  <c r="W112" i="15"/>
  <c r="P181" i="15"/>
  <c r="T181" i="15"/>
  <c r="V181" i="15"/>
  <c r="R181" i="15"/>
  <c r="M181" i="15"/>
  <c r="Q181" i="15"/>
  <c r="L181" i="15"/>
  <c r="I181" i="15"/>
  <c r="U181" i="15"/>
  <c r="G181" i="15"/>
  <c r="N181" i="15"/>
  <c r="H181" i="15"/>
  <c r="E181" i="15"/>
  <c r="D181" i="15"/>
  <c r="C181" i="15"/>
  <c r="B182" i="15"/>
  <c r="J182" i="15"/>
  <c r="F182" i="15"/>
  <c r="K181" i="15"/>
  <c r="F229" i="15" l="1"/>
  <c r="R108" i="15"/>
  <c r="J229" i="15"/>
  <c r="O108" i="15"/>
  <c r="B229" i="15"/>
  <c r="I109" i="15"/>
  <c r="N109" i="15"/>
  <c r="R109" i="15"/>
  <c r="P109" i="15"/>
  <c r="O109" i="15"/>
  <c r="A111" i="15"/>
  <c r="E110" i="15"/>
  <c r="Z113" i="15"/>
  <c r="L113" i="15"/>
  <c r="W113" i="15"/>
  <c r="W114" i="15" s="1"/>
  <c r="K113" i="15"/>
  <c r="AF113" i="15"/>
  <c r="AE113" i="15"/>
  <c r="H113" i="15"/>
  <c r="D113" i="15"/>
  <c r="M113" i="15" s="1"/>
  <c r="K229" i="15"/>
  <c r="AA108" i="15"/>
  <c r="B92" i="14"/>
  <c r="AC108" i="15"/>
  <c r="C120" i="14"/>
  <c r="J108" i="15" l="1"/>
  <c r="O110" i="15"/>
  <c r="I110" i="15"/>
  <c r="N110" i="15"/>
  <c r="P110" i="15"/>
  <c r="R110" i="15"/>
  <c r="J109" i="15"/>
  <c r="A112" i="15"/>
  <c r="E111" i="15"/>
  <c r="AC109" i="15"/>
  <c r="AA109" i="15"/>
  <c r="E92" i="14"/>
  <c r="V92" i="14"/>
  <c r="C92" i="14"/>
  <c r="W92" i="14"/>
  <c r="B165" i="14" s="1"/>
  <c r="G92" i="14"/>
  <c r="K92" i="14"/>
  <c r="P92" i="14"/>
  <c r="U92" i="14"/>
  <c r="F92" i="14"/>
  <c r="M92" i="14"/>
  <c r="N92" i="14"/>
  <c r="S92" i="14"/>
  <c r="H92" i="14"/>
  <c r="L92" i="14"/>
  <c r="Q92" i="14"/>
  <c r="R92" i="14"/>
  <c r="T92" i="14"/>
  <c r="O92" i="14"/>
  <c r="J92" i="14"/>
  <c r="I92" i="14"/>
  <c r="D92" i="14"/>
  <c r="X92" i="14" l="1"/>
  <c r="A113" i="15"/>
  <c r="E113" i="15" s="1"/>
  <c r="E112" i="15"/>
  <c r="J110" i="15"/>
  <c r="AA110" i="15"/>
  <c r="AC110" i="15"/>
  <c r="U108" i="15"/>
  <c r="U109" i="15"/>
  <c r="U110" i="15"/>
  <c r="U111" i="15"/>
  <c r="U112" i="15"/>
  <c r="U113" i="15"/>
  <c r="R111" i="15"/>
  <c r="I111" i="15"/>
  <c r="P111" i="15"/>
  <c r="O111" i="15"/>
  <c r="N111" i="15"/>
  <c r="AC111" i="15" l="1"/>
  <c r="AA111" i="15"/>
  <c r="P112" i="15"/>
  <c r="I112" i="15"/>
  <c r="N112" i="15"/>
  <c r="R112" i="15"/>
  <c r="O112" i="15"/>
  <c r="P113" i="15"/>
  <c r="R113" i="15"/>
  <c r="N113" i="15"/>
  <c r="O113" i="15"/>
  <c r="I113" i="15"/>
  <c r="J111" i="15"/>
  <c r="AA113" i="15" l="1"/>
  <c r="AC113" i="15"/>
  <c r="J112" i="15"/>
  <c r="J113" i="15"/>
  <c r="AC112" i="15"/>
  <c r="AA112" i="15"/>
  <c r="F108" i="15" l="1"/>
  <c r="T108" i="15" s="1"/>
  <c r="F109" i="15"/>
  <c r="T109" i="15" s="1"/>
  <c r="F110" i="15"/>
  <c r="T110" i="15" s="1"/>
  <c r="F111" i="15"/>
  <c r="T111" i="15" s="1"/>
  <c r="F112" i="15"/>
  <c r="T112" i="15" s="1"/>
  <c r="F113" i="15"/>
  <c r="T113" i="15" s="1"/>
  <c r="V113" i="15" l="1"/>
  <c r="X113" i="15" s="1"/>
  <c r="Y113" i="15"/>
  <c r="Y112" i="15"/>
  <c r="V112" i="15"/>
  <c r="X112" i="15" s="1"/>
  <c r="Y111" i="15"/>
  <c r="V111" i="15"/>
  <c r="X111" i="15" s="1"/>
  <c r="V110" i="15"/>
  <c r="X110" i="15" s="1"/>
  <c r="Y110" i="15"/>
  <c r="Y109" i="15"/>
  <c r="V109" i="15"/>
  <c r="X109" i="15" s="1"/>
  <c r="V108" i="15"/>
  <c r="X108" i="15" s="1"/>
  <c r="Y108" i="15"/>
  <c r="AB108" i="15" l="1"/>
  <c r="AB109" i="15"/>
  <c r="AB110" i="15"/>
  <c r="AB111" i="15"/>
  <c r="AB112" i="15"/>
  <c r="AB113" i="15"/>
  <c r="E233" i="15"/>
  <c r="I35" i="34"/>
  <c r="C233" i="15"/>
  <c r="I33" i="34"/>
  <c r="D233" i="15"/>
  <c r="I34" i="34" s="1"/>
  <c r="L87" i="15"/>
  <c r="M87" i="15"/>
  <c r="F37" i="34"/>
  <c r="I48" i="119"/>
  <c r="H48" i="119"/>
  <c r="G48" i="119"/>
  <c r="E48" i="119"/>
  <c r="D48" i="119"/>
  <c r="C48" i="119"/>
  <c r="C25" i="6" s="1"/>
  <c r="F48" i="119"/>
  <c r="C100" i="34" l="1"/>
  <c r="E100" i="34"/>
  <c r="C37" i="34"/>
  <c r="D100" i="34"/>
  <c r="B22" i="15"/>
  <c r="C52" i="6"/>
  <c r="X59" i="15" s="1"/>
  <c r="F32" i="34"/>
  <c r="C134" i="6"/>
  <c r="C69" i="6"/>
  <c r="B20" i="15"/>
  <c r="B21" i="15" s="1"/>
  <c r="C4" i="119"/>
  <c r="D199" i="119" s="1"/>
  <c r="C27" i="6"/>
  <c r="C28" i="6" s="1"/>
  <c r="C4" i="24"/>
  <c r="C3" i="119"/>
  <c r="C199" i="119" s="1"/>
  <c r="B176" i="15"/>
  <c r="B173" i="15"/>
  <c r="B156" i="15"/>
  <c r="B152" i="15"/>
  <c r="B160" i="15"/>
  <c r="B161" i="15"/>
  <c r="B154" i="15"/>
  <c r="B149" i="15"/>
  <c r="B169" i="15"/>
  <c r="B140" i="15"/>
  <c r="B144" i="15"/>
  <c r="B142" i="15"/>
  <c r="B146" i="15"/>
  <c r="B158" i="15"/>
  <c r="B147" i="15"/>
  <c r="D66" i="34" l="1"/>
  <c r="C66" i="34"/>
  <c r="D37" i="34"/>
  <c r="E115" i="34"/>
  <c r="D115" i="34"/>
  <c r="E66" i="34"/>
  <c r="C115" i="34"/>
  <c r="C54" i="34"/>
  <c r="F100" i="34"/>
  <c r="E26" i="24"/>
  <c r="G26" i="24" s="1"/>
  <c r="E34" i="24"/>
  <c r="G34" i="24" s="1"/>
  <c r="E32" i="24"/>
  <c r="G32" i="24" s="1"/>
  <c r="E38" i="24"/>
  <c r="G38" i="24" s="1"/>
  <c r="E33" i="24"/>
  <c r="G33" i="24" s="1"/>
  <c r="E35" i="24"/>
  <c r="G35" i="24" s="1"/>
  <c r="E31" i="24"/>
  <c r="G31" i="24" s="1"/>
  <c r="E29" i="24"/>
  <c r="G29" i="24" s="1"/>
  <c r="E30" i="24"/>
  <c r="G30" i="24" s="1"/>
  <c r="E28" i="24"/>
  <c r="G28" i="24" s="1"/>
  <c r="E36" i="24"/>
  <c r="G36" i="24" s="1"/>
  <c r="E27" i="24"/>
  <c r="G27" i="24" s="1"/>
  <c r="E37" i="24"/>
  <c r="G37" i="24" s="1"/>
  <c r="B136" i="15"/>
  <c r="D36" i="14"/>
  <c r="H36" i="14"/>
  <c r="C47" i="33" s="1"/>
  <c r="C46" i="33"/>
  <c r="E22" i="15"/>
  <c r="C5" i="119"/>
  <c r="E199" i="119" s="1"/>
  <c r="G36" i="14"/>
  <c r="C36" i="14"/>
  <c r="B26" i="15"/>
  <c r="B27" i="15" s="1"/>
  <c r="F37" i="14" s="1"/>
  <c r="E36" i="14"/>
  <c r="AF116" i="15"/>
  <c r="AB55" i="15" s="1"/>
  <c r="AB57" i="15" s="1"/>
  <c r="W116" i="15"/>
  <c r="F36" i="14"/>
  <c r="Q105" i="15"/>
  <c r="Q97" i="15"/>
  <c r="Q89" i="15"/>
  <c r="Q81" i="15"/>
  <c r="Q73" i="15"/>
  <c r="Q104" i="15"/>
  <c r="Q96" i="15"/>
  <c r="Q88" i="15"/>
  <c r="Q80" i="15"/>
  <c r="Q72" i="15"/>
  <c r="Q106" i="15"/>
  <c r="Q103" i="15"/>
  <c r="Q95" i="15"/>
  <c r="Q87" i="15"/>
  <c r="Q79" i="15"/>
  <c r="Q71" i="15"/>
  <c r="Q98" i="15"/>
  <c r="Q102" i="15"/>
  <c r="Q94" i="15"/>
  <c r="Q86" i="15"/>
  <c r="Q78" i="15"/>
  <c r="Q70" i="15"/>
  <c r="Q74" i="15"/>
  <c r="Q101" i="15"/>
  <c r="Q93" i="15"/>
  <c r="Q85" i="15"/>
  <c r="Q77" i="15"/>
  <c r="Q69" i="15"/>
  <c r="Q100" i="15"/>
  <c r="Q92" i="15"/>
  <c r="Q84" i="15"/>
  <c r="Q76" i="15"/>
  <c r="Q68" i="15"/>
  <c r="Q90" i="15"/>
  <c r="Q107" i="15"/>
  <c r="Q99" i="15"/>
  <c r="Q91" i="15"/>
  <c r="Q83" i="15"/>
  <c r="Q75" i="15"/>
  <c r="Q82" i="15"/>
  <c r="F82" i="6"/>
  <c r="C144" i="6" s="1"/>
  <c r="B193" i="15"/>
  <c r="C197" i="119"/>
  <c r="C202" i="119" s="1"/>
  <c r="D202" i="119" s="1"/>
  <c r="D154" i="6"/>
  <c r="D153" i="6"/>
  <c r="D155" i="6"/>
  <c r="E22" i="24"/>
  <c r="G22" i="24" s="1"/>
  <c r="E14" i="24"/>
  <c r="G14" i="24" s="1"/>
  <c r="D150" i="6"/>
  <c r="E150" i="6" s="1"/>
  <c r="D122" i="6"/>
  <c r="E122" i="6" s="1"/>
  <c r="E25" i="24"/>
  <c r="G25" i="24" s="1"/>
  <c r="E23" i="24"/>
  <c r="G23" i="24" s="1"/>
  <c r="E19" i="24"/>
  <c r="G19" i="24" s="1"/>
  <c r="E18" i="24"/>
  <c r="G18" i="24" s="1"/>
  <c r="E20" i="24"/>
  <c r="G20" i="24" s="1"/>
  <c r="E21" i="24"/>
  <c r="G21" i="24" s="1"/>
  <c r="E16" i="24"/>
  <c r="G16" i="24" s="1"/>
  <c r="E24" i="24"/>
  <c r="G24" i="24" s="1"/>
  <c r="E17" i="24"/>
  <c r="G17" i="24" s="1"/>
  <c r="D148" i="6"/>
  <c r="E148" i="6" s="1"/>
  <c r="E15" i="24"/>
  <c r="G15" i="24" s="1"/>
  <c r="D151" i="6"/>
  <c r="E151" i="6" s="1"/>
  <c r="D149" i="6"/>
  <c r="E149" i="6" s="1"/>
  <c r="D111" i="6"/>
  <c r="E111" i="6" s="1"/>
  <c r="E113" i="6" s="1"/>
  <c r="E13" i="24"/>
  <c r="O68" i="15"/>
  <c r="O84" i="15"/>
  <c r="O80" i="15"/>
  <c r="H206" i="15"/>
  <c r="F193" i="15"/>
  <c r="F208" i="15"/>
  <c r="L199" i="15"/>
  <c r="AE106" i="15"/>
  <c r="E205" i="15"/>
  <c r="G204" i="15"/>
  <c r="L219" i="15"/>
  <c r="M189" i="15"/>
  <c r="G190" i="15"/>
  <c r="F209" i="15"/>
  <c r="C216" i="15"/>
  <c r="N209" i="15"/>
  <c r="F211" i="15"/>
  <c r="H196" i="15"/>
  <c r="C227" i="15"/>
  <c r="F204" i="15"/>
  <c r="L202" i="15"/>
  <c r="G222" i="15"/>
  <c r="F212" i="15"/>
  <c r="C193" i="15"/>
  <c r="H222" i="15"/>
  <c r="F224" i="15"/>
  <c r="I227" i="15"/>
  <c r="AE80" i="15"/>
  <c r="E213" i="15"/>
  <c r="C223" i="15"/>
  <c r="N191" i="15"/>
  <c r="D194" i="15"/>
  <c r="E222" i="15"/>
  <c r="I191" i="15"/>
  <c r="N225" i="15"/>
  <c r="I223" i="15"/>
  <c r="F191" i="15"/>
  <c r="F226" i="15"/>
  <c r="C203" i="15"/>
  <c r="N204" i="15"/>
  <c r="AE79" i="15"/>
  <c r="E189" i="15"/>
  <c r="G216" i="15"/>
  <c r="D217" i="15"/>
  <c r="D204" i="15"/>
  <c r="K210" i="15"/>
  <c r="C224" i="15"/>
  <c r="E223" i="15"/>
  <c r="D200" i="15"/>
  <c r="E217" i="15"/>
  <c r="M223" i="15"/>
  <c r="F195" i="15"/>
  <c r="H226" i="15"/>
  <c r="G226" i="15"/>
  <c r="C217" i="15"/>
  <c r="I192" i="15"/>
  <c r="G227" i="15"/>
  <c r="D215" i="15"/>
  <c r="I214" i="15"/>
  <c r="L224" i="15"/>
  <c r="G225" i="15"/>
  <c r="F198" i="15"/>
  <c r="K212" i="15"/>
  <c r="AE69" i="15"/>
  <c r="AE94" i="15"/>
  <c r="N205" i="15"/>
  <c r="H225" i="15"/>
  <c r="D224" i="15"/>
  <c r="D209" i="15"/>
  <c r="AE88" i="15"/>
  <c r="E208" i="15"/>
  <c r="F214" i="15"/>
  <c r="C225" i="15"/>
  <c r="M212" i="15"/>
  <c r="L217" i="15"/>
  <c r="D216" i="15"/>
  <c r="L227" i="15"/>
  <c r="N210" i="15"/>
  <c r="D212" i="15"/>
  <c r="G220" i="15"/>
  <c r="N222" i="15"/>
  <c r="K219" i="15"/>
  <c r="M209" i="15"/>
  <c r="K195" i="15"/>
  <c r="M217" i="15"/>
  <c r="L204" i="15"/>
  <c r="C190" i="15"/>
  <c r="G197" i="15"/>
  <c r="G200" i="15"/>
  <c r="AE105" i="15"/>
  <c r="H195" i="15"/>
  <c r="M219" i="15"/>
  <c r="M210" i="15"/>
  <c r="AE96" i="15"/>
  <c r="M197" i="15"/>
  <c r="M222" i="15"/>
  <c r="N203" i="15"/>
  <c r="E191" i="15"/>
  <c r="I208" i="15"/>
  <c r="K202" i="15"/>
  <c r="D202" i="15"/>
  <c r="L226" i="15"/>
  <c r="C201" i="15"/>
  <c r="I220" i="15"/>
  <c r="C211" i="15"/>
  <c r="D205" i="15"/>
  <c r="M193" i="15"/>
  <c r="G214" i="15"/>
  <c r="K226" i="15"/>
  <c r="K198" i="15"/>
  <c r="I199" i="15"/>
  <c r="K214" i="15"/>
  <c r="M215" i="15"/>
  <c r="L208" i="15"/>
  <c r="F219" i="15"/>
  <c r="AE90" i="15"/>
  <c r="N223" i="15"/>
  <c r="D213" i="15"/>
  <c r="M221" i="15"/>
  <c r="L193" i="15"/>
  <c r="N226" i="15"/>
  <c r="M195" i="15"/>
  <c r="N211" i="15"/>
  <c r="H221" i="15"/>
  <c r="N216" i="15"/>
  <c r="I211" i="15"/>
  <c r="C202" i="15"/>
  <c r="H190" i="15"/>
  <c r="L201" i="15"/>
  <c r="F225" i="15"/>
  <c r="I198" i="15"/>
  <c r="G210" i="15"/>
  <c r="C205" i="15"/>
  <c r="E196" i="15"/>
  <c r="L222" i="15"/>
  <c r="H220" i="15"/>
  <c r="C194" i="15"/>
  <c r="AE85" i="15"/>
  <c r="F220" i="15"/>
  <c r="E193" i="15"/>
  <c r="K194" i="15"/>
  <c r="K223" i="15"/>
  <c r="K192" i="15"/>
  <c r="I205" i="15"/>
  <c r="E219" i="15"/>
  <c r="H213" i="15"/>
  <c r="E203" i="15"/>
  <c r="AE81" i="15"/>
  <c r="C208" i="15"/>
  <c r="I212" i="15"/>
  <c r="I201" i="15"/>
  <c r="H200" i="15"/>
  <c r="I222" i="15"/>
  <c r="F207" i="15"/>
  <c r="G198" i="15"/>
  <c r="I221" i="15"/>
  <c r="L216" i="15"/>
  <c r="N198" i="15"/>
  <c r="C189" i="15"/>
  <c r="H216" i="15"/>
  <c r="AE75" i="15"/>
  <c r="AE95" i="15"/>
  <c r="I200" i="15"/>
  <c r="I217" i="15"/>
  <c r="C212" i="15"/>
  <c r="N220" i="15"/>
  <c r="C209" i="15"/>
  <c r="I218" i="15"/>
  <c r="N200" i="15"/>
  <c r="L194" i="15"/>
  <c r="N196" i="15"/>
  <c r="M214" i="15"/>
  <c r="I207" i="15"/>
  <c r="I228" i="15"/>
  <c r="D218" i="15"/>
  <c r="N221" i="15"/>
  <c r="K208" i="15"/>
  <c r="E212" i="15"/>
  <c r="L214" i="15"/>
  <c r="D196" i="15"/>
  <c r="M216" i="15"/>
  <c r="G189" i="15"/>
  <c r="G223" i="15"/>
  <c r="AE74" i="15"/>
  <c r="D223" i="15"/>
  <c r="L211" i="15"/>
  <c r="L198" i="15"/>
  <c r="E218" i="15"/>
  <c r="E214" i="15"/>
  <c r="K205" i="15"/>
  <c r="E192" i="15"/>
  <c r="L203" i="15"/>
  <c r="I213" i="15"/>
  <c r="E200" i="15"/>
  <c r="D220" i="15"/>
  <c r="H207" i="15"/>
  <c r="D225" i="15"/>
  <c r="AE83" i="15"/>
  <c r="D197" i="15"/>
  <c r="F215" i="15"/>
  <c r="F210" i="15"/>
  <c r="F199" i="15"/>
  <c r="G192" i="15"/>
  <c r="K191" i="15"/>
  <c r="N197" i="15"/>
  <c r="F200" i="15"/>
  <c r="AE84" i="15"/>
  <c r="N215" i="15"/>
  <c r="D201" i="15"/>
  <c r="E227" i="15"/>
  <c r="AE102" i="15"/>
  <c r="D208" i="15"/>
  <c r="L191" i="15"/>
  <c r="AE73" i="15"/>
  <c r="C222" i="15"/>
  <c r="I193" i="15"/>
  <c r="AE70" i="15"/>
  <c r="G209" i="15"/>
  <c r="C197" i="15"/>
  <c r="F201" i="15"/>
  <c r="D199" i="15"/>
  <c r="G205" i="15"/>
  <c r="F213" i="15"/>
  <c r="L195" i="15"/>
  <c r="K190" i="15"/>
  <c r="M227" i="15"/>
  <c r="G195" i="15"/>
  <c r="G228" i="15"/>
  <c r="C219" i="15"/>
  <c r="K197" i="15"/>
  <c r="H203" i="15"/>
  <c r="H208" i="15"/>
  <c r="F190" i="15"/>
  <c r="C192" i="15"/>
  <c r="F194" i="15"/>
  <c r="G224" i="15"/>
  <c r="G208" i="15"/>
  <c r="C221" i="15"/>
  <c r="N207" i="15"/>
  <c r="G193" i="15"/>
  <c r="L197" i="15"/>
  <c r="H191" i="15"/>
  <c r="AE89" i="15"/>
  <c r="H210" i="15"/>
  <c r="F192" i="15"/>
  <c r="L196" i="15"/>
  <c r="H197" i="15"/>
  <c r="E228" i="15"/>
  <c r="K225" i="15"/>
  <c r="D207" i="15"/>
  <c r="H198" i="15"/>
  <c r="D206" i="15"/>
  <c r="L209" i="15"/>
  <c r="M199" i="15"/>
  <c r="E224" i="15"/>
  <c r="K199" i="15"/>
  <c r="M207" i="15"/>
  <c r="K204" i="15"/>
  <c r="E202" i="15"/>
  <c r="M228" i="15"/>
  <c r="H194" i="15"/>
  <c r="K215" i="15"/>
  <c r="E204" i="15"/>
  <c r="G211" i="15"/>
  <c r="H212" i="15"/>
  <c r="E211" i="15"/>
  <c r="AE93" i="15"/>
  <c r="I226" i="15"/>
  <c r="C218" i="15"/>
  <c r="D192" i="15"/>
  <c r="D211" i="15"/>
  <c r="AE78" i="15"/>
  <c r="K227" i="15"/>
  <c r="K211" i="15"/>
  <c r="C213" i="15"/>
  <c r="AE71" i="15"/>
  <c r="AE92" i="15"/>
  <c r="M224" i="15"/>
  <c r="N212" i="15"/>
  <c r="N213" i="15"/>
  <c r="N214" i="15"/>
  <c r="F196" i="15"/>
  <c r="D219" i="15"/>
  <c r="M196" i="15"/>
  <c r="D203" i="15"/>
  <c r="N192" i="15"/>
  <c r="K216" i="15"/>
  <c r="H211" i="15"/>
  <c r="M191" i="15"/>
  <c r="H217" i="15"/>
  <c r="E201" i="15"/>
  <c r="L228" i="15"/>
  <c r="C207" i="15"/>
  <c r="K213" i="15"/>
  <c r="G221" i="15"/>
  <c r="L210" i="15"/>
  <c r="K200" i="15"/>
  <c r="M201" i="15"/>
  <c r="E199" i="15"/>
  <c r="N224" i="15"/>
  <c r="D195" i="15"/>
  <c r="AE76" i="15"/>
  <c r="L221" i="15"/>
  <c r="K220" i="15"/>
  <c r="I203" i="15"/>
  <c r="I189" i="15"/>
  <c r="H228" i="15"/>
  <c r="M220" i="15"/>
  <c r="H224" i="15"/>
  <c r="L189" i="15"/>
  <c r="G213" i="15"/>
  <c r="I190" i="15"/>
  <c r="E209" i="15"/>
  <c r="G207" i="15"/>
  <c r="L190" i="15"/>
  <c r="E216" i="15"/>
  <c r="G203" i="15"/>
  <c r="D227" i="15"/>
  <c r="D226" i="15"/>
  <c r="AE86" i="15"/>
  <c r="I219" i="15"/>
  <c r="K207" i="15"/>
  <c r="AE107" i="15"/>
  <c r="N189" i="15"/>
  <c r="E225" i="15"/>
  <c r="C228" i="15"/>
  <c r="I206" i="15"/>
  <c r="D228" i="15"/>
  <c r="G202" i="15"/>
  <c r="M194" i="15"/>
  <c r="E198" i="15"/>
  <c r="H214" i="15"/>
  <c r="F222" i="15"/>
  <c r="H189" i="15"/>
  <c r="G201" i="15"/>
  <c r="C220" i="15"/>
  <c r="AE99" i="15"/>
  <c r="F197" i="15"/>
  <c r="AE97" i="15"/>
  <c r="G217" i="15"/>
  <c r="F206" i="15"/>
  <c r="L218" i="15"/>
  <c r="F217" i="15"/>
  <c r="N194" i="15"/>
  <c r="I195" i="15"/>
  <c r="L223" i="15"/>
  <c r="D191" i="15"/>
  <c r="E210" i="15"/>
  <c r="I197" i="15"/>
  <c r="F218" i="15"/>
  <c r="H192" i="15"/>
  <c r="N190" i="15"/>
  <c r="M208" i="15"/>
  <c r="D190" i="15"/>
  <c r="H219" i="15"/>
  <c r="G206" i="15"/>
  <c r="M204" i="15"/>
  <c r="M200" i="15"/>
  <c r="K222" i="15"/>
  <c r="F189" i="15"/>
  <c r="K217" i="15"/>
  <c r="AE104" i="15"/>
  <c r="K209" i="15"/>
  <c r="L205" i="15"/>
  <c r="N201" i="15"/>
  <c r="M226" i="15"/>
  <c r="E207" i="15"/>
  <c r="M192" i="15"/>
  <c r="F228" i="15"/>
  <c r="N228" i="15"/>
  <c r="M202" i="15"/>
  <c r="D193" i="15"/>
  <c r="H205" i="15"/>
  <c r="C204" i="15"/>
  <c r="C191" i="15"/>
  <c r="H209" i="15"/>
  <c r="E206" i="15"/>
  <c r="F203" i="15"/>
  <c r="C196" i="15"/>
  <c r="G212" i="15"/>
  <c r="N227" i="15"/>
  <c r="I210" i="15"/>
  <c r="M203" i="15"/>
  <c r="L206" i="15"/>
  <c r="I196" i="15"/>
  <c r="D221" i="15"/>
  <c r="N202" i="15"/>
  <c r="F221" i="15"/>
  <c r="K189" i="15"/>
  <c r="AE77" i="15"/>
  <c r="L212" i="15"/>
  <c r="AE72" i="15"/>
  <c r="C226" i="15"/>
  <c r="G196" i="15"/>
  <c r="E195" i="15"/>
  <c r="C214" i="15"/>
  <c r="E190" i="15"/>
  <c r="D198" i="15"/>
  <c r="D189" i="15"/>
  <c r="M205" i="15"/>
  <c r="E194" i="15"/>
  <c r="AE91" i="15"/>
  <c r="M213" i="15"/>
  <c r="H193" i="15"/>
  <c r="N195" i="15"/>
  <c r="H215" i="15"/>
  <c r="I215" i="15"/>
  <c r="C215" i="15"/>
  <c r="C200" i="15"/>
  <c r="K221" i="15"/>
  <c r="K224" i="15"/>
  <c r="L207" i="15"/>
  <c r="K193" i="15"/>
  <c r="AE100" i="15"/>
  <c r="K228" i="15"/>
  <c r="E226" i="15"/>
  <c r="L213" i="15"/>
  <c r="H202" i="15"/>
  <c r="L225" i="15"/>
  <c r="N208" i="15"/>
  <c r="E215" i="15"/>
  <c r="C210" i="15"/>
  <c r="D214" i="15"/>
  <c r="I216" i="15"/>
  <c r="C198" i="15"/>
  <c r="G218" i="15"/>
  <c r="D222" i="15"/>
  <c r="I204" i="15"/>
  <c r="D210" i="15"/>
  <c r="H199" i="15"/>
  <c r="K206" i="15"/>
  <c r="AE68" i="15"/>
  <c r="I202" i="15"/>
  <c r="K218" i="15"/>
  <c r="F216" i="15"/>
  <c r="C206" i="15"/>
  <c r="I209" i="15"/>
  <c r="H204" i="15"/>
  <c r="M206" i="15"/>
  <c r="N219" i="15"/>
  <c r="E220" i="15"/>
  <c r="L200" i="15"/>
  <c r="AE103" i="15"/>
  <c r="C195" i="15"/>
  <c r="N217" i="15"/>
  <c r="H227" i="15"/>
  <c r="I224" i="15"/>
  <c r="K196" i="15"/>
  <c r="N206" i="15"/>
  <c r="F223" i="15"/>
  <c r="M225" i="15"/>
  <c r="AE101" i="15"/>
  <c r="G191" i="15"/>
  <c r="H201" i="15"/>
  <c r="L220" i="15"/>
  <c r="N193" i="15"/>
  <c r="M218" i="15"/>
  <c r="I225" i="15"/>
  <c r="L192" i="15"/>
  <c r="AE82" i="15"/>
  <c r="M190" i="15"/>
  <c r="K201" i="15"/>
  <c r="F227" i="15"/>
  <c r="C199" i="15"/>
  <c r="E197" i="15"/>
  <c r="G215" i="15"/>
  <c r="M211" i="15"/>
  <c r="H223" i="15"/>
  <c r="I194" i="15"/>
  <c r="H218" i="15"/>
  <c r="AE98" i="15"/>
  <c r="N199" i="15"/>
  <c r="G219" i="15"/>
  <c r="M198" i="15"/>
  <c r="AE87" i="15"/>
  <c r="F202" i="15"/>
  <c r="G194" i="15"/>
  <c r="F205" i="15"/>
  <c r="K203" i="15"/>
  <c r="L215" i="15"/>
  <c r="E221" i="15"/>
  <c r="N218" i="15"/>
  <c r="G199" i="15"/>
  <c r="B17" i="15"/>
  <c r="B189" i="15"/>
  <c r="B205" i="15"/>
  <c r="B201" i="15"/>
  <c r="O72" i="15"/>
  <c r="C81" i="119"/>
  <c r="D81" i="119" s="1"/>
  <c r="I4" i="119"/>
  <c r="C82" i="119" s="1"/>
  <c r="D82" i="119" s="1"/>
  <c r="H4" i="119"/>
  <c r="O99" i="15"/>
  <c r="O95" i="15"/>
  <c r="O87" i="15"/>
  <c r="B220" i="15"/>
  <c r="B216" i="15"/>
  <c r="B208" i="15"/>
  <c r="B223" i="15"/>
  <c r="O86" i="15"/>
  <c r="O82" i="15"/>
  <c r="O78" i="15"/>
  <c r="O75" i="15"/>
  <c r="O70" i="15"/>
  <c r="O102" i="15"/>
  <c r="B207" i="15"/>
  <c r="B203" i="15"/>
  <c r="B199" i="15"/>
  <c r="B196" i="15"/>
  <c r="B191" i="15"/>
  <c r="C78" i="119"/>
  <c r="D78" i="119" s="1"/>
  <c r="H3" i="119"/>
  <c r="I3" i="119"/>
  <c r="C79" i="119" s="1"/>
  <c r="D79" i="119" s="1"/>
  <c r="D95" i="34"/>
  <c r="E95" i="34"/>
  <c r="C95" i="34"/>
  <c r="C32" i="34"/>
  <c r="O73" i="15"/>
  <c r="B194" i="15"/>
  <c r="B181" i="15"/>
  <c r="B179" i="15"/>
  <c r="B174" i="15"/>
  <c r="B175" i="15"/>
  <c r="B177" i="15"/>
  <c r="B180" i="15"/>
  <c r="B172" i="15"/>
  <c r="B178" i="15"/>
  <c r="B155" i="15"/>
  <c r="B168" i="15"/>
  <c r="B143" i="15"/>
  <c r="B151" i="15"/>
  <c r="B145" i="15"/>
  <c r="B170" i="15"/>
  <c r="B166" i="15"/>
  <c r="B150" i="15"/>
  <c r="B162" i="15"/>
  <c r="B159" i="15"/>
  <c r="B164" i="15"/>
  <c r="B141" i="15"/>
  <c r="B167" i="15"/>
  <c r="B165" i="15"/>
  <c r="B157" i="15"/>
  <c r="B153" i="15"/>
  <c r="B171" i="15"/>
  <c r="B139" i="15"/>
  <c r="B148" i="15"/>
  <c r="B163" i="15"/>
  <c r="F115" i="34" l="1"/>
  <c r="C48" i="33"/>
  <c r="H5" i="119"/>
  <c r="C83" i="119" s="1"/>
  <c r="D83" i="119" s="1"/>
  <c r="C84" i="119"/>
  <c r="D84" i="119" s="1"/>
  <c r="W115" i="15"/>
  <c r="C37" i="14"/>
  <c r="H37" i="14"/>
  <c r="E23" i="15"/>
  <c r="G37" i="14"/>
  <c r="E37" i="14"/>
  <c r="D37" i="14"/>
  <c r="E24" i="15"/>
  <c r="I5" i="119"/>
  <c r="C85" i="119" s="1"/>
  <c r="D85" i="119" s="1"/>
  <c r="O105" i="15"/>
  <c r="B226" i="15"/>
  <c r="O69" i="15"/>
  <c r="B190" i="15"/>
  <c r="B221" i="15"/>
  <c r="O100" i="15"/>
  <c r="B202" i="15"/>
  <c r="O81" i="15"/>
  <c r="O101" i="15"/>
  <c r="B222" i="15"/>
  <c r="O96" i="15"/>
  <c r="B217" i="15"/>
  <c r="B228" i="15"/>
  <c r="O107" i="15"/>
  <c r="B206" i="15"/>
  <c r="O85" i="15"/>
  <c r="B210" i="15"/>
  <c r="O89" i="15"/>
  <c r="O74" i="15"/>
  <c r="B195" i="15"/>
  <c r="B212" i="15"/>
  <c r="O91" i="15"/>
  <c r="O88" i="15"/>
  <c r="B209" i="15"/>
  <c r="B224" i="15"/>
  <c r="O103" i="15"/>
  <c r="O98" i="15"/>
  <c r="B219" i="15"/>
  <c r="O94" i="15"/>
  <c r="B215" i="15"/>
  <c r="O71" i="15"/>
  <c r="B192" i="15"/>
  <c r="O97" i="15"/>
  <c r="B218" i="15"/>
  <c r="O106" i="15"/>
  <c r="B227" i="15"/>
  <c r="O90" i="15"/>
  <c r="B211" i="15"/>
  <c r="B225" i="15"/>
  <c r="O104" i="15"/>
  <c r="B200" i="15"/>
  <c r="O79" i="15"/>
  <c r="O77" i="15"/>
  <c r="B198" i="15"/>
  <c r="B204" i="15"/>
  <c r="O83" i="15"/>
  <c r="O76" i="15"/>
  <c r="B197" i="15"/>
  <c r="O93" i="15"/>
  <c r="B214" i="15"/>
  <c r="O92" i="15"/>
  <c r="B213" i="15"/>
  <c r="B203" i="119"/>
  <c r="Q115" i="15"/>
  <c r="B124" i="15" s="1"/>
  <c r="F95" i="34"/>
  <c r="D85" i="34"/>
  <c r="H231" i="15"/>
  <c r="E231" i="15"/>
  <c r="E39" i="24"/>
  <c r="G13" i="24"/>
  <c r="G39" i="24" s="1"/>
  <c r="F85" i="34"/>
  <c r="F86" i="34" s="1"/>
  <c r="AE116" i="15"/>
  <c r="L231" i="15"/>
  <c r="E115" i="6"/>
  <c r="L101" i="119"/>
  <c r="C77" i="119"/>
  <c r="D77" i="119" s="1"/>
  <c r="N231" i="15"/>
  <c r="C231" i="15"/>
  <c r="B57" i="15"/>
  <c r="D61" i="34"/>
  <c r="C61" i="34"/>
  <c r="D32" i="34"/>
  <c r="E61" i="34"/>
  <c r="C53" i="34"/>
  <c r="E110" i="34"/>
  <c r="D110" i="34"/>
  <c r="C110" i="34"/>
  <c r="E85" i="34"/>
  <c r="E86" i="34" s="1"/>
  <c r="Q114" i="15"/>
  <c r="Q116" i="15"/>
  <c r="D231" i="15"/>
  <c r="G231" i="15"/>
  <c r="M231" i="15"/>
  <c r="B18" i="15"/>
  <c r="B19" i="15"/>
  <c r="F231" i="15"/>
  <c r="L102" i="119"/>
  <c r="C80" i="119"/>
  <c r="D80" i="119" s="1"/>
  <c r="K231" i="15"/>
  <c r="I231" i="15"/>
  <c r="L103" i="119" l="1"/>
  <c r="E25" i="15"/>
  <c r="B231" i="15"/>
  <c r="B232" i="15" s="1"/>
  <c r="B233" i="15" s="1"/>
  <c r="I32" i="34" s="1"/>
  <c r="O114" i="15"/>
  <c r="O116" i="15"/>
  <c r="O117" i="15" s="1"/>
  <c r="T48" i="119" s="1"/>
  <c r="E165" i="119" s="1"/>
  <c r="O115" i="15"/>
  <c r="B122" i="15" s="1"/>
  <c r="C203" i="119"/>
  <c r="D203" i="119" s="1"/>
  <c r="F232" i="15"/>
  <c r="F233" i="15" s="1"/>
  <c r="I37" i="34" s="1"/>
  <c r="Q118" i="15"/>
  <c r="L48" i="119" s="1"/>
  <c r="E156" i="119" s="1"/>
  <c r="I232" i="15"/>
  <c r="K232" i="15"/>
  <c r="K233" i="15" s="1"/>
  <c r="I47" i="34" s="1"/>
  <c r="M232" i="15"/>
  <c r="G232" i="15"/>
  <c r="D232" i="15"/>
  <c r="E232" i="15"/>
  <c r="H232" i="15"/>
  <c r="L232" i="15"/>
  <c r="C232" i="15"/>
  <c r="N232" i="15"/>
  <c r="F110" i="34"/>
  <c r="P106" i="15"/>
  <c r="P84" i="15"/>
  <c r="P107" i="15"/>
  <c r="P93" i="15"/>
  <c r="P101" i="15"/>
  <c r="P72" i="15"/>
  <c r="P104" i="15"/>
  <c r="P92" i="15"/>
  <c r="P75" i="15"/>
  <c r="P94" i="15"/>
  <c r="P98" i="15"/>
  <c r="P82" i="15"/>
  <c r="P81" i="15"/>
  <c r="P95" i="15"/>
  <c r="P80" i="15"/>
  <c r="P70" i="15"/>
  <c r="P105" i="15"/>
  <c r="P103" i="15"/>
  <c r="P91" i="15"/>
  <c r="P85" i="15"/>
  <c r="P99" i="15"/>
  <c r="P88" i="15"/>
  <c r="P86" i="15"/>
  <c r="P79" i="15"/>
  <c r="P89" i="15"/>
  <c r="P73" i="15"/>
  <c r="P76" i="15"/>
  <c r="P100" i="15"/>
  <c r="P83" i="15"/>
  <c r="P78" i="15"/>
  <c r="P96" i="15"/>
  <c r="P90" i="15"/>
  <c r="P69" i="15"/>
  <c r="P87" i="15"/>
  <c r="P97" i="15"/>
  <c r="P77" i="15"/>
  <c r="P71" i="15"/>
  <c r="P102" i="15"/>
  <c r="P74" i="15"/>
  <c r="P68" i="15"/>
  <c r="C22" i="33"/>
  <c r="D86" i="34"/>
  <c r="AC55" i="15"/>
  <c r="AC57" i="15" s="1"/>
  <c r="G85" i="34"/>
  <c r="G86" i="34" s="1"/>
  <c r="C5" i="24"/>
  <c r="C88" i="6"/>
  <c r="B204" i="119" l="1"/>
  <c r="C204" i="119" s="1"/>
  <c r="B205" i="119" s="1"/>
  <c r="J36" i="33"/>
  <c r="C21" i="33"/>
  <c r="C23" i="33"/>
  <c r="D119" i="6"/>
  <c r="E119" i="6" s="1"/>
  <c r="D120" i="6"/>
  <c r="D121" i="6"/>
  <c r="E121" i="6" s="1"/>
  <c r="D123" i="6"/>
  <c r="E123" i="6" s="1"/>
  <c r="D116" i="6"/>
  <c r="E116" i="6" s="1"/>
  <c r="D103" i="6"/>
  <c r="E103" i="6" s="1"/>
  <c r="E104" i="6" s="1"/>
  <c r="E106" i="6" s="1"/>
  <c r="B52" i="15" s="1"/>
  <c r="K65" i="15" s="1"/>
  <c r="P114" i="15"/>
  <c r="P116" i="15"/>
  <c r="P117" i="15" s="1"/>
  <c r="U48" i="119" s="1"/>
  <c r="E166" i="119" s="1"/>
  <c r="P115" i="15"/>
  <c r="B123" i="15" s="1"/>
  <c r="C38" i="33"/>
  <c r="D204" i="119" l="1"/>
  <c r="C205" i="119"/>
  <c r="D205" i="119" s="1"/>
  <c r="C53" i="33"/>
  <c r="C55" i="33" s="1"/>
  <c r="E120" i="6"/>
  <c r="C68" i="33"/>
  <c r="C26" i="33" s="1"/>
  <c r="J133" i="15" s="1"/>
  <c r="C24" i="33"/>
  <c r="K114" i="15"/>
  <c r="K116" i="15"/>
  <c r="K117" i="15" s="1"/>
  <c r="Q48" i="119" s="1"/>
  <c r="E162" i="119" s="1"/>
  <c r="K115" i="15"/>
  <c r="B206" i="119" l="1"/>
  <c r="C54" i="33"/>
  <c r="F42" i="34"/>
  <c r="D87" i="34"/>
  <c r="D88" i="34" s="1"/>
  <c r="J131" i="15"/>
  <c r="C107" i="33"/>
  <c r="C99" i="33"/>
  <c r="C95" i="33"/>
  <c r="C83" i="33"/>
  <c r="C106" i="33"/>
  <c r="C82" i="33"/>
  <c r="C94" i="33"/>
  <c r="C98" i="33"/>
  <c r="C56" i="33"/>
  <c r="C57" i="33"/>
  <c r="C75" i="33"/>
  <c r="C70" i="33"/>
  <c r="C71" i="33" s="1"/>
  <c r="J23" i="33" s="1"/>
  <c r="C74" i="33"/>
  <c r="J24" i="33" l="1"/>
  <c r="J31" i="33"/>
  <c r="J34" i="33" s="1"/>
  <c r="J22" i="33"/>
  <c r="C206" i="119"/>
  <c r="D206" i="119" s="1"/>
  <c r="C100" i="33"/>
  <c r="E18" i="17" s="1"/>
  <c r="F18" i="17" s="1"/>
  <c r="C58" i="33"/>
  <c r="J40" i="33"/>
  <c r="J185" i="15"/>
  <c r="J137" i="15"/>
  <c r="J135" i="15"/>
  <c r="J134" i="15"/>
  <c r="B42" i="34"/>
  <c r="J132" i="15"/>
  <c r="J25" i="33"/>
  <c r="C78" i="33"/>
  <c r="J38" i="33" s="1"/>
  <c r="C86" i="33"/>
  <c r="J39" i="33" s="1"/>
  <c r="J150" i="15"/>
  <c r="G21" i="34" l="1"/>
  <c r="K45" i="33"/>
  <c r="H21" i="34" s="1"/>
  <c r="J27" i="33"/>
  <c r="J41" i="33"/>
  <c r="G20" i="34" s="1"/>
  <c r="B207" i="119"/>
  <c r="E46" i="17"/>
  <c r="F46" i="17" s="1"/>
  <c r="E27" i="17"/>
  <c r="F27" i="17" s="1"/>
  <c r="E26" i="17"/>
  <c r="F26" i="17" s="1"/>
  <c r="E47" i="17"/>
  <c r="F47" i="17" s="1"/>
  <c r="E29" i="17"/>
  <c r="F29" i="17" s="1"/>
  <c r="E21" i="17"/>
  <c r="F21" i="17" s="1"/>
  <c r="E42" i="17"/>
  <c r="F42" i="17" s="1"/>
  <c r="E40" i="17"/>
  <c r="F40" i="17" s="1"/>
  <c r="E36" i="17"/>
  <c r="F36" i="17" s="1"/>
  <c r="E25" i="17"/>
  <c r="F25" i="17" s="1"/>
  <c r="E32" i="17"/>
  <c r="F32" i="17" s="1"/>
  <c r="E53" i="17"/>
  <c r="F53" i="17" s="1"/>
  <c r="E39" i="17"/>
  <c r="F39" i="17" s="1"/>
  <c r="E43" i="17"/>
  <c r="F43" i="17" s="1"/>
  <c r="E31" i="17"/>
  <c r="F31" i="17" s="1"/>
  <c r="E57" i="17"/>
  <c r="F57" i="17" s="1"/>
  <c r="E28" i="17"/>
  <c r="F28" i="17" s="1"/>
  <c r="E20" i="17"/>
  <c r="F20" i="17" s="1"/>
  <c r="E54" i="17"/>
  <c r="F54" i="17" s="1"/>
  <c r="E30" i="17"/>
  <c r="F30" i="17" s="1"/>
  <c r="E45" i="17"/>
  <c r="F45" i="17" s="1"/>
  <c r="E24" i="17"/>
  <c r="F24" i="17" s="1"/>
  <c r="E50" i="17"/>
  <c r="F50" i="17" s="1"/>
  <c r="E49" i="17"/>
  <c r="F49" i="17" s="1"/>
  <c r="E19" i="17"/>
  <c r="F19" i="17" s="1"/>
  <c r="E38" i="17"/>
  <c r="F38" i="17" s="1"/>
  <c r="E34" i="17"/>
  <c r="F34" i="17" s="1"/>
  <c r="E35" i="17"/>
  <c r="F35" i="17" s="1"/>
  <c r="E52" i="17"/>
  <c r="F52" i="17" s="1"/>
  <c r="E33" i="17"/>
  <c r="F33" i="17" s="1"/>
  <c r="E37" i="17"/>
  <c r="F37" i="17" s="1"/>
  <c r="E41" i="17"/>
  <c r="F41" i="17" s="1"/>
  <c r="E51" i="17"/>
  <c r="F51" i="17" s="1"/>
  <c r="E55" i="17"/>
  <c r="F55" i="17" s="1"/>
  <c r="E48" i="17"/>
  <c r="F48" i="17" s="1"/>
  <c r="E22" i="17"/>
  <c r="F22" i="17" s="1"/>
  <c r="E44" i="17"/>
  <c r="F44" i="17" s="1"/>
  <c r="E23" i="17"/>
  <c r="F23" i="17" s="1"/>
  <c r="E56" i="17"/>
  <c r="F56" i="17" s="1"/>
  <c r="J197" i="15"/>
  <c r="H42" i="34"/>
  <c r="G42" i="34"/>
  <c r="E42" i="34"/>
  <c r="B105" i="34"/>
  <c r="B120" i="34"/>
  <c r="B71" i="34"/>
  <c r="J136" i="15"/>
  <c r="J26" i="33"/>
  <c r="C89" i="6" s="1"/>
  <c r="C95" i="6" s="1"/>
  <c r="J180" i="15"/>
  <c r="J174" i="15"/>
  <c r="J181" i="15"/>
  <c r="J175" i="15"/>
  <c r="J176" i="15"/>
  <c r="J173" i="15"/>
  <c r="J178" i="15"/>
  <c r="J177" i="15"/>
  <c r="J179" i="15"/>
  <c r="J172" i="15"/>
  <c r="J144" i="15"/>
  <c r="J143" i="15"/>
  <c r="J170" i="15"/>
  <c r="J161" i="15"/>
  <c r="J149" i="15"/>
  <c r="J151" i="15"/>
  <c r="J160" i="15"/>
  <c r="J157" i="15"/>
  <c r="J164" i="15"/>
  <c r="J162" i="15"/>
  <c r="J156" i="15"/>
  <c r="J167" i="15"/>
  <c r="J153" i="15"/>
  <c r="J166" i="15"/>
  <c r="J139" i="15"/>
  <c r="J148" i="15"/>
  <c r="J142" i="15"/>
  <c r="J152" i="15"/>
  <c r="J168" i="15"/>
  <c r="J145" i="15"/>
  <c r="J169" i="15"/>
  <c r="J159" i="15"/>
  <c r="J146" i="15"/>
  <c r="J154" i="15"/>
  <c r="J158" i="15"/>
  <c r="J165" i="15"/>
  <c r="J163" i="15"/>
  <c r="J141" i="15"/>
  <c r="J155" i="15"/>
  <c r="J147" i="15"/>
  <c r="J140" i="15"/>
  <c r="J171" i="15"/>
  <c r="C92" i="6" l="1"/>
  <c r="C93" i="6" s="1"/>
  <c r="J225" i="15"/>
  <c r="J205" i="15"/>
  <c r="J210" i="15"/>
  <c r="J227" i="15"/>
  <c r="J215" i="15"/>
  <c r="J189" i="15"/>
  <c r="J223" i="15"/>
  <c r="J209" i="15"/>
  <c r="J206" i="15"/>
  <c r="J208" i="15"/>
  <c r="J218" i="15"/>
  <c r="J199" i="15"/>
  <c r="J226" i="15"/>
  <c r="J216" i="15"/>
  <c r="J194" i="15"/>
  <c r="J195" i="15"/>
  <c r="J201" i="15"/>
  <c r="J202" i="15"/>
  <c r="J203" i="15"/>
  <c r="J217" i="15"/>
  <c r="J211" i="15"/>
  <c r="J190" i="15"/>
  <c r="J198" i="15"/>
  <c r="J193" i="15"/>
  <c r="J207" i="15"/>
  <c r="J212" i="15"/>
  <c r="J214" i="15"/>
  <c r="J191" i="15"/>
  <c r="J219" i="15"/>
  <c r="J192" i="15"/>
  <c r="J220" i="15"/>
  <c r="J213" i="15"/>
  <c r="J222" i="15"/>
  <c r="J224" i="15"/>
  <c r="J204" i="15"/>
  <c r="J228" i="15"/>
  <c r="J221" i="15"/>
  <c r="J196" i="15"/>
  <c r="J200" i="15"/>
  <c r="C207" i="119"/>
  <c r="D207" i="119" s="1"/>
  <c r="E156" i="6"/>
  <c r="B58" i="15" s="1"/>
  <c r="C42" i="34"/>
  <c r="C55" i="34" s="1"/>
  <c r="D52" i="34" s="1"/>
  <c r="J43" i="33"/>
  <c r="K46" i="33" s="1"/>
  <c r="G19" i="34"/>
  <c r="G22" i="34" s="1"/>
  <c r="K47" i="33"/>
  <c r="H19" i="34" s="1"/>
  <c r="D105" i="34"/>
  <c r="E83" i="34" s="1"/>
  <c r="E105" i="34"/>
  <c r="F83" i="34" s="1"/>
  <c r="C105" i="34"/>
  <c r="D83" i="34" s="1"/>
  <c r="J231" i="15" l="1"/>
  <c r="J232" i="15" s="1"/>
  <c r="J233" i="15" s="1"/>
  <c r="B208" i="119"/>
  <c r="C120" i="34"/>
  <c r="C121" i="34" s="1"/>
  <c r="D77" i="34" s="1"/>
  <c r="D120" i="34"/>
  <c r="D121" i="34" s="1"/>
  <c r="E77" i="34" s="1"/>
  <c r="E120" i="34"/>
  <c r="E121" i="34" s="1"/>
  <c r="F77" i="34" s="1"/>
  <c r="C71" i="34"/>
  <c r="E71" i="34"/>
  <c r="D71" i="34"/>
  <c r="D42" i="34"/>
  <c r="F105" i="34"/>
  <c r="G83" i="34" s="1"/>
  <c r="G84" i="34" s="1"/>
  <c r="E84" i="34"/>
  <c r="E89" i="34"/>
  <c r="H20" i="34"/>
  <c r="H22" i="34" s="1"/>
  <c r="K48" i="33"/>
  <c r="R104" i="15"/>
  <c r="R88" i="15"/>
  <c r="R77" i="15"/>
  <c r="R74" i="15"/>
  <c r="R68" i="15"/>
  <c r="R100" i="15"/>
  <c r="R96" i="15"/>
  <c r="R92" i="15"/>
  <c r="R71" i="15"/>
  <c r="R79" i="15"/>
  <c r="R103" i="15"/>
  <c r="R91" i="15"/>
  <c r="R87" i="15"/>
  <c r="R69" i="15"/>
  <c r="R107" i="15"/>
  <c r="R99" i="15"/>
  <c r="R95" i="15"/>
  <c r="R70" i="15"/>
  <c r="R81" i="15"/>
  <c r="R78" i="15"/>
  <c r="R98" i="15"/>
  <c r="R94" i="15"/>
  <c r="R86" i="15"/>
  <c r="R85" i="15"/>
  <c r="R75" i="15"/>
  <c r="R106" i="15"/>
  <c r="R102" i="15"/>
  <c r="R90" i="15"/>
  <c r="R83" i="15"/>
  <c r="R80" i="15"/>
  <c r="R76" i="15"/>
  <c r="R105" i="15"/>
  <c r="R101" i="15"/>
  <c r="R97" i="15"/>
  <c r="R93" i="15"/>
  <c r="R89" i="15"/>
  <c r="R72" i="15"/>
  <c r="R84" i="15"/>
  <c r="R82" i="15"/>
  <c r="R73" i="15"/>
  <c r="E95" i="6"/>
  <c r="E93" i="6"/>
  <c r="E92" i="6"/>
  <c r="D89" i="34"/>
  <c r="D84" i="34"/>
  <c r="E158" i="6" s="1"/>
  <c r="F84" i="34"/>
  <c r="F89" i="34"/>
  <c r="E98" i="6" l="1"/>
  <c r="E99" i="6" s="1"/>
  <c r="C208" i="119"/>
  <c r="D208" i="119" s="1"/>
  <c r="F120" i="34"/>
  <c r="F121" i="34" s="1"/>
  <c r="G77" i="34" s="1"/>
  <c r="E160" i="6" s="1"/>
  <c r="E161" i="6" s="1"/>
  <c r="R114" i="15"/>
  <c r="R116" i="15"/>
  <c r="R117" i="15" s="1"/>
  <c r="V48" i="119" s="1"/>
  <c r="E167" i="119" s="1"/>
  <c r="R115" i="15"/>
  <c r="B125" i="15" s="1"/>
  <c r="D78" i="34"/>
  <c r="D80" i="34" s="1"/>
  <c r="D90" i="34"/>
  <c r="G89" i="34"/>
  <c r="E90" i="34"/>
  <c r="E78" i="34"/>
  <c r="E80" i="34" s="1"/>
  <c r="F78" i="34"/>
  <c r="F80" i="34" s="1"/>
  <c r="F90" i="34"/>
  <c r="G26" i="17" l="1"/>
  <c r="H26" i="17" s="1"/>
  <c r="I76" i="15" s="1"/>
  <c r="B60" i="14" s="1"/>
  <c r="B209" i="119"/>
  <c r="G49" i="17"/>
  <c r="H49" i="17" s="1"/>
  <c r="I99" i="15" s="1"/>
  <c r="B83" i="14" s="1"/>
  <c r="G37" i="17"/>
  <c r="H37" i="17" s="1"/>
  <c r="I87" i="15" s="1"/>
  <c r="B71" i="14" s="1"/>
  <c r="G20" i="17"/>
  <c r="H20" i="17" s="1"/>
  <c r="I70" i="15" s="1"/>
  <c r="B54" i="14" s="1"/>
  <c r="G43" i="17"/>
  <c r="H43" i="17" s="1"/>
  <c r="I93" i="15" s="1"/>
  <c r="B77" i="14" s="1"/>
  <c r="G39" i="17"/>
  <c r="H39" i="17" s="1"/>
  <c r="I89" i="15" s="1"/>
  <c r="B73" i="14" s="1"/>
  <c r="G30" i="17"/>
  <c r="H30" i="17" s="1"/>
  <c r="I80" i="15" s="1"/>
  <c r="B64" i="14" s="1"/>
  <c r="G54" i="17"/>
  <c r="H54" i="17" s="1"/>
  <c r="I104" i="15" s="1"/>
  <c r="B88" i="14" s="1"/>
  <c r="G40" i="17"/>
  <c r="H40" i="17" s="1"/>
  <c r="I90" i="15" s="1"/>
  <c r="B74" i="14" s="1"/>
  <c r="G18" i="17"/>
  <c r="H18" i="17" s="1"/>
  <c r="I68" i="15" s="1"/>
  <c r="G47" i="17"/>
  <c r="H47" i="17" s="1"/>
  <c r="I97" i="15" s="1"/>
  <c r="B81" i="14" s="1"/>
  <c r="G46" i="17"/>
  <c r="H46" i="17" s="1"/>
  <c r="I96" i="15" s="1"/>
  <c r="B80" i="14" s="1"/>
  <c r="G57" i="17"/>
  <c r="H57" i="17" s="1"/>
  <c r="I107" i="15" s="1"/>
  <c r="B91" i="14" s="1"/>
  <c r="G23" i="17"/>
  <c r="H23" i="17" s="1"/>
  <c r="I73" i="15" s="1"/>
  <c r="B57" i="14" s="1"/>
  <c r="G56" i="17"/>
  <c r="H56" i="17" s="1"/>
  <c r="I106" i="15" s="1"/>
  <c r="B90" i="14" s="1"/>
  <c r="G53" i="17"/>
  <c r="H53" i="17" s="1"/>
  <c r="I103" i="15" s="1"/>
  <c r="B87" i="14" s="1"/>
  <c r="G51" i="17"/>
  <c r="H51" i="17" s="1"/>
  <c r="I101" i="15" s="1"/>
  <c r="B85" i="14" s="1"/>
  <c r="G25" i="17"/>
  <c r="H25" i="17" s="1"/>
  <c r="I75" i="15" s="1"/>
  <c r="B59" i="14" s="1"/>
  <c r="G38" i="17"/>
  <c r="H38" i="17" s="1"/>
  <c r="I88" i="15" s="1"/>
  <c r="B72" i="14" s="1"/>
  <c r="G34" i="17"/>
  <c r="H34" i="17" s="1"/>
  <c r="I84" i="15" s="1"/>
  <c r="B68" i="14" s="1"/>
  <c r="G31" i="17"/>
  <c r="H31" i="17" s="1"/>
  <c r="I81" i="15" s="1"/>
  <c r="B65" i="14" s="1"/>
  <c r="G19" i="17"/>
  <c r="H19" i="17" s="1"/>
  <c r="I69" i="15" s="1"/>
  <c r="B53" i="14" s="1"/>
  <c r="C108" i="6"/>
  <c r="C15" i="34" s="1"/>
  <c r="G50" i="17"/>
  <c r="H50" i="17" s="1"/>
  <c r="I100" i="15" s="1"/>
  <c r="B84" i="14" s="1"/>
  <c r="G27" i="17"/>
  <c r="H27" i="17" s="1"/>
  <c r="I77" i="15" s="1"/>
  <c r="B61" i="14" s="1"/>
  <c r="G21" i="17"/>
  <c r="H21" i="17" s="1"/>
  <c r="I71" i="15" s="1"/>
  <c r="B55" i="14" s="1"/>
  <c r="G48" i="17"/>
  <c r="H48" i="17" s="1"/>
  <c r="I98" i="15" s="1"/>
  <c r="B82" i="14" s="1"/>
  <c r="G42" i="17"/>
  <c r="H42" i="17" s="1"/>
  <c r="I92" i="15" s="1"/>
  <c r="B76" i="14" s="1"/>
  <c r="G35" i="17"/>
  <c r="H35" i="17" s="1"/>
  <c r="I85" i="15" s="1"/>
  <c r="B69" i="14" s="1"/>
  <c r="G32" i="17"/>
  <c r="H32" i="17" s="1"/>
  <c r="I82" i="15" s="1"/>
  <c r="B66" i="14" s="1"/>
  <c r="G55" i="17"/>
  <c r="H55" i="17" s="1"/>
  <c r="I105" i="15" s="1"/>
  <c r="B89" i="14" s="1"/>
  <c r="G41" i="17"/>
  <c r="H41" i="17" s="1"/>
  <c r="I91" i="15" s="1"/>
  <c r="B75" i="14" s="1"/>
  <c r="G24" i="17"/>
  <c r="H24" i="17" s="1"/>
  <c r="I74" i="15" s="1"/>
  <c r="B58" i="14" s="1"/>
  <c r="G22" i="17"/>
  <c r="H22" i="17" s="1"/>
  <c r="I72" i="15" s="1"/>
  <c r="B56" i="14" s="1"/>
  <c r="G33" i="17"/>
  <c r="H33" i="17" s="1"/>
  <c r="I83" i="15" s="1"/>
  <c r="B67" i="14" s="1"/>
  <c r="G44" i="17"/>
  <c r="H44" i="17" s="1"/>
  <c r="I94" i="15" s="1"/>
  <c r="B78" i="14" s="1"/>
  <c r="G52" i="17"/>
  <c r="H52" i="17" s="1"/>
  <c r="I102" i="15" s="1"/>
  <c r="B86" i="14" s="1"/>
  <c r="G36" i="17"/>
  <c r="H36" i="17" s="1"/>
  <c r="I86" i="15" s="1"/>
  <c r="B70" i="14" s="1"/>
  <c r="G45" i="17"/>
  <c r="H45" i="17" s="1"/>
  <c r="I95" i="15" s="1"/>
  <c r="B79" i="14" s="1"/>
  <c r="G29" i="17"/>
  <c r="H29" i="17" s="1"/>
  <c r="I79" i="15" s="1"/>
  <c r="B63" i="14" s="1"/>
  <c r="G28" i="17"/>
  <c r="H28" i="17" s="1"/>
  <c r="I78" i="15" s="1"/>
  <c r="B62" i="14" s="1"/>
  <c r="G78" i="34"/>
  <c r="G80" i="34" s="1"/>
  <c r="G90" i="34"/>
  <c r="C209" i="119" l="1"/>
  <c r="D209" i="119" s="1"/>
  <c r="B51" i="15"/>
  <c r="H65" i="15" s="1"/>
  <c r="E118" i="6"/>
  <c r="C8" i="119"/>
  <c r="I116" i="15"/>
  <c r="I117" i="15" s="1"/>
  <c r="O48" i="119" s="1"/>
  <c r="E160" i="119" s="1"/>
  <c r="I114" i="15"/>
  <c r="I115" i="15"/>
  <c r="F60" i="14"/>
  <c r="Q60" i="14"/>
  <c r="U60" i="14"/>
  <c r="H60" i="14"/>
  <c r="T60" i="14"/>
  <c r="D60" i="14"/>
  <c r="O60" i="14"/>
  <c r="P60" i="14"/>
  <c r="K60" i="14"/>
  <c r="L60" i="14"/>
  <c r="V60" i="14"/>
  <c r="I60" i="14"/>
  <c r="R60" i="14"/>
  <c r="J60" i="14"/>
  <c r="S60" i="14"/>
  <c r="M60" i="14"/>
  <c r="E60" i="14"/>
  <c r="N60" i="14"/>
  <c r="G60" i="14"/>
  <c r="C60" i="14"/>
  <c r="W60" i="14"/>
  <c r="F79" i="14"/>
  <c r="S79" i="14"/>
  <c r="G79" i="14"/>
  <c r="O79" i="14"/>
  <c r="J79" i="14"/>
  <c r="N79" i="14"/>
  <c r="T79" i="14"/>
  <c r="K79" i="14"/>
  <c r="M79" i="14"/>
  <c r="U79" i="14"/>
  <c r="D79" i="14"/>
  <c r="L79" i="14"/>
  <c r="H79" i="14"/>
  <c r="P79" i="14"/>
  <c r="I79" i="14"/>
  <c r="V79" i="14"/>
  <c r="Q79" i="14"/>
  <c r="R79" i="14"/>
  <c r="E79" i="14"/>
  <c r="W79" i="14"/>
  <c r="C79" i="14"/>
  <c r="R74" i="14"/>
  <c r="H74" i="14"/>
  <c r="N74" i="14"/>
  <c r="K74" i="14"/>
  <c r="U74" i="14"/>
  <c r="M74" i="14"/>
  <c r="D74" i="14"/>
  <c r="L74" i="14"/>
  <c r="T74" i="14"/>
  <c r="V74" i="14"/>
  <c r="S74" i="14"/>
  <c r="G74" i="14"/>
  <c r="W74" i="14"/>
  <c r="J74" i="14"/>
  <c r="I74" i="14"/>
  <c r="Q74" i="14"/>
  <c r="E74" i="14"/>
  <c r="F74" i="14"/>
  <c r="P74" i="14"/>
  <c r="O74" i="14"/>
  <c r="C74" i="14"/>
  <c r="G56" i="14"/>
  <c r="U56" i="14"/>
  <c r="L56" i="14"/>
  <c r="R56" i="14"/>
  <c r="T56" i="14"/>
  <c r="H56" i="14"/>
  <c r="D56" i="14"/>
  <c r="I56" i="14"/>
  <c r="O56" i="14"/>
  <c r="K56" i="14"/>
  <c r="J56" i="14"/>
  <c r="S56" i="14"/>
  <c r="N56" i="14"/>
  <c r="F56" i="14"/>
  <c r="M56" i="14"/>
  <c r="Q56" i="14"/>
  <c r="E56" i="14"/>
  <c r="P56" i="14"/>
  <c r="V56" i="14"/>
  <c r="C56" i="14"/>
  <c r="W56" i="14"/>
  <c r="I73" i="14"/>
  <c r="N73" i="14"/>
  <c r="R73" i="14"/>
  <c r="H73" i="14"/>
  <c r="E73" i="14"/>
  <c r="M73" i="14"/>
  <c r="L73" i="14"/>
  <c r="V73" i="14"/>
  <c r="G73" i="14"/>
  <c r="J73" i="14"/>
  <c r="D73" i="14"/>
  <c r="W73" i="14"/>
  <c r="K73" i="14"/>
  <c r="T73" i="14"/>
  <c r="U73" i="14"/>
  <c r="Q73" i="14"/>
  <c r="F73" i="14"/>
  <c r="S73" i="14"/>
  <c r="O73" i="14"/>
  <c r="P73" i="14"/>
  <c r="C73" i="14"/>
  <c r="O71" i="14"/>
  <c r="Q71" i="14"/>
  <c r="S71" i="14"/>
  <c r="F71" i="14"/>
  <c r="L71" i="14"/>
  <c r="I71" i="14"/>
  <c r="T71" i="14"/>
  <c r="V71" i="14"/>
  <c r="M71" i="14"/>
  <c r="G71" i="14"/>
  <c r="J71" i="14"/>
  <c r="H71" i="14"/>
  <c r="N71" i="14"/>
  <c r="K71" i="14"/>
  <c r="E71" i="14"/>
  <c r="R71" i="14"/>
  <c r="P71" i="14"/>
  <c r="U71" i="14"/>
  <c r="D71" i="14"/>
  <c r="C71" i="14"/>
  <c r="W71" i="14"/>
  <c r="T59" i="14"/>
  <c r="E59" i="14"/>
  <c r="I59" i="14"/>
  <c r="V59" i="14"/>
  <c r="G59" i="14"/>
  <c r="F59" i="14"/>
  <c r="L59" i="14"/>
  <c r="M59" i="14"/>
  <c r="O59" i="14"/>
  <c r="R59" i="14"/>
  <c r="P59" i="14"/>
  <c r="K59" i="14"/>
  <c r="U59" i="14"/>
  <c r="S59" i="14"/>
  <c r="D59" i="14"/>
  <c r="N59" i="14"/>
  <c r="H59" i="14"/>
  <c r="J59" i="14"/>
  <c r="Q59" i="14"/>
  <c r="C59" i="14"/>
  <c r="W59" i="14"/>
  <c r="F68" i="14"/>
  <c r="R68" i="14"/>
  <c r="J68" i="14"/>
  <c r="G68" i="14"/>
  <c r="P68" i="14"/>
  <c r="L68" i="14"/>
  <c r="I68" i="14"/>
  <c r="O68" i="14"/>
  <c r="T68" i="14"/>
  <c r="E68" i="14"/>
  <c r="D68" i="14"/>
  <c r="Q68" i="14"/>
  <c r="N68" i="14"/>
  <c r="U68" i="14"/>
  <c r="K68" i="14"/>
  <c r="S68" i="14"/>
  <c r="V68" i="14"/>
  <c r="M68" i="14"/>
  <c r="H68" i="14"/>
  <c r="C68" i="14"/>
  <c r="W68" i="14"/>
  <c r="O85" i="14"/>
  <c r="U85" i="14"/>
  <c r="W85" i="14"/>
  <c r="J85" i="14"/>
  <c r="L85" i="14"/>
  <c r="V85" i="14"/>
  <c r="H85" i="14"/>
  <c r="D85" i="14"/>
  <c r="F85" i="14"/>
  <c r="Q85" i="14"/>
  <c r="K85" i="14"/>
  <c r="T85" i="14"/>
  <c r="S85" i="14"/>
  <c r="R85" i="14"/>
  <c r="G85" i="14"/>
  <c r="I85" i="14"/>
  <c r="N85" i="14"/>
  <c r="M85" i="14"/>
  <c r="P85" i="14"/>
  <c r="E85" i="14"/>
  <c r="C85" i="14"/>
  <c r="K63" i="14"/>
  <c r="O63" i="14"/>
  <c r="L63" i="14"/>
  <c r="D63" i="14"/>
  <c r="M63" i="14"/>
  <c r="H63" i="14"/>
  <c r="G63" i="14"/>
  <c r="F63" i="14"/>
  <c r="I63" i="14"/>
  <c r="S63" i="14"/>
  <c r="U63" i="14"/>
  <c r="E63" i="14"/>
  <c r="T63" i="14"/>
  <c r="Q63" i="14"/>
  <c r="N63" i="14"/>
  <c r="R63" i="14"/>
  <c r="J63" i="14"/>
  <c r="V63" i="14"/>
  <c r="P63" i="14"/>
  <c r="C63" i="14"/>
  <c r="W63" i="14"/>
  <c r="L53" i="14"/>
  <c r="V53" i="14"/>
  <c r="E53" i="14"/>
  <c r="F53" i="14"/>
  <c r="Q53" i="14"/>
  <c r="G53" i="14"/>
  <c r="R53" i="14"/>
  <c r="J53" i="14"/>
  <c r="K53" i="14"/>
  <c r="I53" i="14"/>
  <c r="O53" i="14"/>
  <c r="S53" i="14"/>
  <c r="U53" i="14"/>
  <c r="T53" i="14"/>
  <c r="D53" i="14"/>
  <c r="P53" i="14"/>
  <c r="M53" i="14"/>
  <c r="H53" i="14"/>
  <c r="N53" i="14"/>
  <c r="C53" i="14"/>
  <c r="W53" i="14"/>
  <c r="H86" i="14"/>
  <c r="I86" i="14"/>
  <c r="L86" i="14"/>
  <c r="J86" i="14"/>
  <c r="R86" i="14"/>
  <c r="T86" i="14"/>
  <c r="N86" i="14"/>
  <c r="D86" i="14"/>
  <c r="O86" i="14"/>
  <c r="F86" i="14"/>
  <c r="E86" i="14"/>
  <c r="K86" i="14"/>
  <c r="W86" i="14"/>
  <c r="U86" i="14"/>
  <c r="S86" i="14"/>
  <c r="Q86" i="14"/>
  <c r="M86" i="14"/>
  <c r="V86" i="14"/>
  <c r="P86" i="14"/>
  <c r="G86" i="14"/>
  <c r="C86" i="14"/>
  <c r="I80" i="14"/>
  <c r="U80" i="14"/>
  <c r="T80" i="14"/>
  <c r="H80" i="14"/>
  <c r="R80" i="14"/>
  <c r="S80" i="14"/>
  <c r="O80" i="14"/>
  <c r="G80" i="14"/>
  <c r="M80" i="14"/>
  <c r="P80" i="14"/>
  <c r="W80" i="14"/>
  <c r="V80" i="14"/>
  <c r="F80" i="14"/>
  <c r="Q80" i="14"/>
  <c r="K80" i="14"/>
  <c r="L80" i="14"/>
  <c r="D80" i="14"/>
  <c r="E80" i="14"/>
  <c r="N80" i="14"/>
  <c r="J80" i="14"/>
  <c r="C80" i="14"/>
  <c r="H75" i="14"/>
  <c r="L75" i="14"/>
  <c r="I75" i="14"/>
  <c r="F75" i="14"/>
  <c r="O75" i="14"/>
  <c r="J75" i="14"/>
  <c r="W75" i="14"/>
  <c r="V75" i="14"/>
  <c r="K75" i="14"/>
  <c r="N75" i="14"/>
  <c r="G75" i="14"/>
  <c r="U75" i="14"/>
  <c r="R75" i="14"/>
  <c r="E75" i="14"/>
  <c r="Q75" i="14"/>
  <c r="P75" i="14"/>
  <c r="M75" i="14"/>
  <c r="T75" i="14"/>
  <c r="S75" i="14"/>
  <c r="D75" i="14"/>
  <c r="C75" i="14"/>
  <c r="D82" i="14"/>
  <c r="E82" i="14"/>
  <c r="P82" i="14"/>
  <c r="U82" i="14"/>
  <c r="F82" i="14"/>
  <c r="S82" i="14"/>
  <c r="G82" i="14"/>
  <c r="O82" i="14"/>
  <c r="R82" i="14"/>
  <c r="V82" i="14"/>
  <c r="J82" i="14"/>
  <c r="M82" i="14"/>
  <c r="Q82" i="14"/>
  <c r="W82" i="14"/>
  <c r="I82" i="14"/>
  <c r="L82" i="14"/>
  <c r="T82" i="14"/>
  <c r="K82" i="14"/>
  <c r="N82" i="14"/>
  <c r="H82" i="14"/>
  <c r="C82" i="14"/>
  <c r="K69" i="14"/>
  <c r="O69" i="14"/>
  <c r="D69" i="14"/>
  <c r="S69" i="14"/>
  <c r="E69" i="14"/>
  <c r="P69" i="14"/>
  <c r="F69" i="14"/>
  <c r="Q69" i="14"/>
  <c r="U69" i="14"/>
  <c r="I69" i="14"/>
  <c r="G69" i="14"/>
  <c r="M69" i="14"/>
  <c r="R69" i="14"/>
  <c r="L69" i="14"/>
  <c r="T69" i="14"/>
  <c r="V69" i="14"/>
  <c r="J69" i="14"/>
  <c r="H69" i="14"/>
  <c r="N69" i="14"/>
  <c r="C69" i="14"/>
  <c r="W69" i="14"/>
  <c r="M55" i="14"/>
  <c r="H55" i="14"/>
  <c r="R55" i="14"/>
  <c r="N55" i="14"/>
  <c r="E55" i="14"/>
  <c r="G55" i="14"/>
  <c r="I55" i="14"/>
  <c r="F55" i="14"/>
  <c r="O55" i="14"/>
  <c r="V55" i="14"/>
  <c r="K55" i="14"/>
  <c r="T55" i="14"/>
  <c r="L55" i="14"/>
  <c r="D55" i="14"/>
  <c r="Q55" i="14"/>
  <c r="U55" i="14"/>
  <c r="S55" i="14"/>
  <c r="J55" i="14"/>
  <c r="P55" i="14"/>
  <c r="C55" i="14"/>
  <c r="W55" i="14"/>
  <c r="E78" i="14"/>
  <c r="U78" i="14"/>
  <c r="O78" i="14"/>
  <c r="P78" i="14"/>
  <c r="T78" i="14"/>
  <c r="S78" i="14"/>
  <c r="Q78" i="14"/>
  <c r="J78" i="14"/>
  <c r="D78" i="14"/>
  <c r="W78" i="14"/>
  <c r="F78" i="14"/>
  <c r="V78" i="14"/>
  <c r="H78" i="14"/>
  <c r="G78" i="14"/>
  <c r="L78" i="14"/>
  <c r="R78" i="14"/>
  <c r="K78" i="14"/>
  <c r="N78" i="14"/>
  <c r="I78" i="14"/>
  <c r="M78" i="14"/>
  <c r="C78" i="14"/>
  <c r="D62" i="14"/>
  <c r="G62" i="14"/>
  <c r="R62" i="14"/>
  <c r="I62" i="14"/>
  <c r="E62" i="14"/>
  <c r="V62" i="14"/>
  <c r="P62" i="14"/>
  <c r="J62" i="14"/>
  <c r="F62" i="14"/>
  <c r="U62" i="14"/>
  <c r="O62" i="14"/>
  <c r="M62" i="14"/>
  <c r="H62" i="14"/>
  <c r="T62" i="14"/>
  <c r="L62" i="14"/>
  <c r="S62" i="14"/>
  <c r="K62" i="14"/>
  <c r="N62" i="14"/>
  <c r="Q62" i="14"/>
  <c r="C62" i="14"/>
  <c r="W62" i="14"/>
  <c r="L87" i="14"/>
  <c r="P87" i="14"/>
  <c r="S87" i="14"/>
  <c r="E87" i="14"/>
  <c r="N87" i="14"/>
  <c r="O87" i="14"/>
  <c r="T87" i="14"/>
  <c r="J87" i="14"/>
  <c r="V87" i="14"/>
  <c r="M87" i="14"/>
  <c r="G87" i="14"/>
  <c r="D87" i="14"/>
  <c r="R87" i="14"/>
  <c r="F87" i="14"/>
  <c r="W87" i="14"/>
  <c r="H87" i="14"/>
  <c r="U87" i="14"/>
  <c r="I87" i="14"/>
  <c r="K87" i="14"/>
  <c r="Q87" i="14"/>
  <c r="C87" i="14"/>
  <c r="Q58" i="14"/>
  <c r="N58" i="14"/>
  <c r="P58" i="14"/>
  <c r="L58" i="14"/>
  <c r="I58" i="14"/>
  <c r="J58" i="14"/>
  <c r="S58" i="14"/>
  <c r="U58" i="14"/>
  <c r="H58" i="14"/>
  <c r="G58" i="14"/>
  <c r="E58" i="14"/>
  <c r="K58" i="14"/>
  <c r="V58" i="14"/>
  <c r="O58" i="14"/>
  <c r="M58" i="14"/>
  <c r="T58" i="14"/>
  <c r="F58" i="14"/>
  <c r="D58" i="14"/>
  <c r="R58" i="14"/>
  <c r="C58" i="14"/>
  <c r="W58" i="14"/>
  <c r="K77" i="14"/>
  <c r="T77" i="14"/>
  <c r="O77" i="14"/>
  <c r="E77" i="14"/>
  <c r="Q77" i="14"/>
  <c r="L77" i="14"/>
  <c r="S77" i="14"/>
  <c r="D77" i="14"/>
  <c r="U77" i="14"/>
  <c r="I77" i="14"/>
  <c r="P77" i="14"/>
  <c r="F77" i="14"/>
  <c r="V77" i="14"/>
  <c r="J77" i="14"/>
  <c r="H77" i="14"/>
  <c r="N77" i="14"/>
  <c r="W77" i="14"/>
  <c r="M77" i="14"/>
  <c r="R77" i="14"/>
  <c r="G77" i="14"/>
  <c r="C77" i="14"/>
  <c r="K57" i="14"/>
  <c r="P57" i="14"/>
  <c r="S57" i="14"/>
  <c r="L57" i="14"/>
  <c r="T57" i="14"/>
  <c r="G57" i="14"/>
  <c r="J57" i="14"/>
  <c r="Q57" i="14"/>
  <c r="I57" i="14"/>
  <c r="H57" i="14"/>
  <c r="F57" i="14"/>
  <c r="N57" i="14"/>
  <c r="O57" i="14"/>
  <c r="M57" i="14"/>
  <c r="D57" i="14"/>
  <c r="U57" i="14"/>
  <c r="R57" i="14"/>
  <c r="E57" i="14"/>
  <c r="V57" i="14"/>
  <c r="C57" i="14"/>
  <c r="W57" i="14"/>
  <c r="M89" i="14"/>
  <c r="F89" i="14"/>
  <c r="T89" i="14"/>
  <c r="R89" i="14"/>
  <c r="V89" i="14"/>
  <c r="U89" i="14"/>
  <c r="G89" i="14"/>
  <c r="S89" i="14"/>
  <c r="P89" i="14"/>
  <c r="N89" i="14"/>
  <c r="H89" i="14"/>
  <c r="K89" i="14"/>
  <c r="L89" i="14"/>
  <c r="D89" i="14"/>
  <c r="O89" i="14"/>
  <c r="E89" i="14"/>
  <c r="W89" i="14"/>
  <c r="Q89" i="14"/>
  <c r="I89" i="14"/>
  <c r="J89" i="14"/>
  <c r="C89" i="14"/>
  <c r="P70" i="14"/>
  <c r="Q70" i="14"/>
  <c r="M70" i="14"/>
  <c r="R70" i="14"/>
  <c r="T70" i="14"/>
  <c r="O70" i="14"/>
  <c r="K70" i="14"/>
  <c r="E70" i="14"/>
  <c r="I70" i="14"/>
  <c r="L70" i="14"/>
  <c r="U70" i="14"/>
  <c r="S70" i="14"/>
  <c r="V70" i="14"/>
  <c r="J70" i="14"/>
  <c r="D70" i="14"/>
  <c r="N70" i="14"/>
  <c r="G70" i="14"/>
  <c r="F70" i="14"/>
  <c r="H70" i="14"/>
  <c r="C70" i="14"/>
  <c r="W70" i="14"/>
  <c r="V81" i="14"/>
  <c r="F81" i="14"/>
  <c r="S81" i="14"/>
  <c r="L81" i="14"/>
  <c r="Q81" i="14"/>
  <c r="J81" i="14"/>
  <c r="W81" i="14"/>
  <c r="R81" i="14"/>
  <c r="K81" i="14"/>
  <c r="N81" i="14"/>
  <c r="M81" i="14"/>
  <c r="E81" i="14"/>
  <c r="T81" i="14"/>
  <c r="U81" i="14"/>
  <c r="I81" i="14"/>
  <c r="H81" i="14"/>
  <c r="O81" i="14"/>
  <c r="D81" i="14"/>
  <c r="P81" i="14"/>
  <c r="G81" i="14"/>
  <c r="C81" i="14"/>
  <c r="P88" i="14"/>
  <c r="T88" i="14"/>
  <c r="G88" i="14"/>
  <c r="N88" i="14"/>
  <c r="O88" i="14"/>
  <c r="L88" i="14"/>
  <c r="D88" i="14"/>
  <c r="F88" i="14"/>
  <c r="V88" i="14"/>
  <c r="R88" i="14"/>
  <c r="E88" i="14"/>
  <c r="U88" i="14"/>
  <c r="M88" i="14"/>
  <c r="J88" i="14"/>
  <c r="W88" i="14"/>
  <c r="K88" i="14"/>
  <c r="I88" i="14"/>
  <c r="H88" i="14"/>
  <c r="Q88" i="14"/>
  <c r="S88" i="14"/>
  <c r="C88" i="14"/>
  <c r="V83" i="14"/>
  <c r="Q83" i="14"/>
  <c r="U83" i="14"/>
  <c r="P83" i="14"/>
  <c r="D83" i="14"/>
  <c r="J83" i="14"/>
  <c r="E83" i="14"/>
  <c r="R83" i="14"/>
  <c r="M83" i="14"/>
  <c r="T83" i="14"/>
  <c r="I83" i="14"/>
  <c r="G83" i="14"/>
  <c r="L83" i="14"/>
  <c r="H83" i="14"/>
  <c r="F83" i="14"/>
  <c r="O83" i="14"/>
  <c r="N83" i="14"/>
  <c r="K83" i="14"/>
  <c r="W83" i="14"/>
  <c r="S83" i="14"/>
  <c r="C83" i="14"/>
  <c r="T76" i="14"/>
  <c r="H76" i="14"/>
  <c r="M76" i="14"/>
  <c r="N76" i="14"/>
  <c r="Q76" i="14"/>
  <c r="R76" i="14"/>
  <c r="G76" i="14"/>
  <c r="V76" i="14"/>
  <c r="I76" i="14"/>
  <c r="E76" i="14"/>
  <c r="J76" i="14"/>
  <c r="D76" i="14"/>
  <c r="W76" i="14"/>
  <c r="S76" i="14"/>
  <c r="O76" i="14"/>
  <c r="L76" i="14"/>
  <c r="F76" i="14"/>
  <c r="P76" i="14"/>
  <c r="K76" i="14"/>
  <c r="U76" i="14"/>
  <c r="C76" i="14"/>
  <c r="H61" i="14"/>
  <c r="U61" i="14"/>
  <c r="E61" i="14"/>
  <c r="M61" i="14"/>
  <c r="Q61" i="14"/>
  <c r="S61" i="14"/>
  <c r="J61" i="14"/>
  <c r="D61" i="14"/>
  <c r="N61" i="14"/>
  <c r="F61" i="14"/>
  <c r="K61" i="14"/>
  <c r="O61" i="14"/>
  <c r="G61" i="14"/>
  <c r="L61" i="14"/>
  <c r="V61" i="14"/>
  <c r="P61" i="14"/>
  <c r="T61" i="14"/>
  <c r="R61" i="14"/>
  <c r="I61" i="14"/>
  <c r="C61" i="14"/>
  <c r="W61" i="14"/>
  <c r="M65" i="14"/>
  <c r="F65" i="14"/>
  <c r="G65" i="14"/>
  <c r="I65" i="14"/>
  <c r="R65" i="14"/>
  <c r="P65" i="14"/>
  <c r="T65" i="14"/>
  <c r="H65" i="14"/>
  <c r="K65" i="14"/>
  <c r="O65" i="14"/>
  <c r="N65" i="14"/>
  <c r="Q65" i="14"/>
  <c r="S65" i="14"/>
  <c r="U65" i="14"/>
  <c r="E65" i="14"/>
  <c r="V65" i="14"/>
  <c r="L65" i="14"/>
  <c r="D65" i="14"/>
  <c r="J65" i="14"/>
  <c r="C65" i="14"/>
  <c r="W65" i="14"/>
  <c r="M72" i="14"/>
  <c r="G72" i="14"/>
  <c r="K72" i="14"/>
  <c r="E72" i="14"/>
  <c r="O72" i="14"/>
  <c r="T72" i="14"/>
  <c r="J72" i="14"/>
  <c r="P72" i="14"/>
  <c r="S72" i="14"/>
  <c r="U72" i="14"/>
  <c r="V72" i="14"/>
  <c r="Q72" i="14"/>
  <c r="D72" i="14"/>
  <c r="N72" i="14"/>
  <c r="L72" i="14"/>
  <c r="H72" i="14"/>
  <c r="R72" i="14"/>
  <c r="F72" i="14"/>
  <c r="I72" i="14"/>
  <c r="C72" i="14"/>
  <c r="W72" i="14"/>
  <c r="H90" i="14"/>
  <c r="K90" i="14"/>
  <c r="U90" i="14"/>
  <c r="T90" i="14"/>
  <c r="G90" i="14"/>
  <c r="I90" i="14"/>
  <c r="J90" i="14"/>
  <c r="S90" i="14"/>
  <c r="V90" i="14"/>
  <c r="D90" i="14"/>
  <c r="M90" i="14"/>
  <c r="N90" i="14"/>
  <c r="W90" i="14"/>
  <c r="O90" i="14"/>
  <c r="P90" i="14"/>
  <c r="F90" i="14"/>
  <c r="L90" i="14"/>
  <c r="Q90" i="14"/>
  <c r="E90" i="14"/>
  <c r="R90" i="14"/>
  <c r="C90" i="14"/>
  <c r="K64" i="14"/>
  <c r="G64" i="14"/>
  <c r="E64" i="14"/>
  <c r="T64" i="14"/>
  <c r="U64" i="14"/>
  <c r="S64" i="14"/>
  <c r="M64" i="14"/>
  <c r="R64" i="14"/>
  <c r="J64" i="14"/>
  <c r="F64" i="14"/>
  <c r="H64" i="14"/>
  <c r="V64" i="14"/>
  <c r="P64" i="14"/>
  <c r="O64" i="14"/>
  <c r="Q64" i="14"/>
  <c r="D64" i="14"/>
  <c r="N64" i="14"/>
  <c r="I64" i="14"/>
  <c r="L64" i="14"/>
  <c r="C64" i="14"/>
  <c r="W64" i="14"/>
  <c r="F54" i="14"/>
  <c r="R54" i="14"/>
  <c r="I54" i="14"/>
  <c r="J54" i="14"/>
  <c r="M54" i="14"/>
  <c r="T54" i="14"/>
  <c r="H54" i="14"/>
  <c r="V54" i="14"/>
  <c r="Q54" i="14"/>
  <c r="P54" i="14"/>
  <c r="K54" i="14"/>
  <c r="U54" i="14"/>
  <c r="S54" i="14"/>
  <c r="G54" i="14"/>
  <c r="D54" i="14"/>
  <c r="O54" i="14"/>
  <c r="L54" i="14"/>
  <c r="E54" i="14"/>
  <c r="N54" i="14"/>
  <c r="C54" i="14"/>
  <c r="W54" i="14"/>
  <c r="J84" i="14"/>
  <c r="R84" i="14"/>
  <c r="O84" i="14"/>
  <c r="H84" i="14"/>
  <c r="I84" i="14"/>
  <c r="V84" i="14"/>
  <c r="G84" i="14"/>
  <c r="N84" i="14"/>
  <c r="S84" i="14"/>
  <c r="M84" i="14"/>
  <c r="U84" i="14"/>
  <c r="F84" i="14"/>
  <c r="T84" i="14"/>
  <c r="W84" i="14"/>
  <c r="L84" i="14"/>
  <c r="Q84" i="14"/>
  <c r="E84" i="14"/>
  <c r="D84" i="14"/>
  <c r="P84" i="14"/>
  <c r="K84" i="14"/>
  <c r="C84" i="14"/>
  <c r="S91" i="14"/>
  <c r="J91" i="14"/>
  <c r="O91" i="14"/>
  <c r="R91" i="14"/>
  <c r="H91" i="14"/>
  <c r="D91" i="14"/>
  <c r="V91" i="14"/>
  <c r="T91" i="14"/>
  <c r="L91" i="14"/>
  <c r="W91" i="14"/>
  <c r="B164" i="14" s="1"/>
  <c r="N91" i="14"/>
  <c r="Q91" i="14"/>
  <c r="K91" i="14"/>
  <c r="U91" i="14"/>
  <c r="C91" i="14"/>
  <c r="P91" i="14"/>
  <c r="E91" i="14"/>
  <c r="I91" i="14"/>
  <c r="F91" i="14"/>
  <c r="M91" i="14"/>
  <c r="G91" i="14"/>
  <c r="L67" i="14"/>
  <c r="K67" i="14"/>
  <c r="F67" i="14"/>
  <c r="D67" i="14"/>
  <c r="G67" i="14"/>
  <c r="P67" i="14"/>
  <c r="N67" i="14"/>
  <c r="S67" i="14"/>
  <c r="M67" i="14"/>
  <c r="I67" i="14"/>
  <c r="O67" i="14"/>
  <c r="T67" i="14"/>
  <c r="R67" i="14"/>
  <c r="V67" i="14"/>
  <c r="U67" i="14"/>
  <c r="E67" i="14"/>
  <c r="J67" i="14"/>
  <c r="Q67" i="14"/>
  <c r="H67" i="14"/>
  <c r="C67" i="14"/>
  <c r="W67" i="14"/>
  <c r="G66" i="14"/>
  <c r="H66" i="14"/>
  <c r="R66" i="14"/>
  <c r="M66" i="14"/>
  <c r="D66" i="14"/>
  <c r="J66" i="14"/>
  <c r="O66" i="14"/>
  <c r="I66" i="14"/>
  <c r="V66" i="14"/>
  <c r="E66" i="14"/>
  <c r="P66" i="14"/>
  <c r="K66" i="14"/>
  <c r="T66" i="14"/>
  <c r="U66" i="14"/>
  <c r="F66" i="14"/>
  <c r="S66" i="14"/>
  <c r="Q66" i="14"/>
  <c r="L66" i="14"/>
  <c r="N66" i="14"/>
  <c r="C66" i="14"/>
  <c r="W66" i="14"/>
  <c r="E124" i="6" l="1"/>
  <c r="C9" i="119" s="1"/>
  <c r="I199" i="119" s="1"/>
  <c r="B210" i="119"/>
  <c r="C93" i="119"/>
  <c r="D93" i="119" s="1"/>
  <c r="H199" i="119"/>
  <c r="C198" i="119" s="1"/>
  <c r="H8" i="119"/>
  <c r="C92" i="119" s="1"/>
  <c r="D92" i="119" s="1"/>
  <c r="I8" i="119"/>
  <c r="C94" i="119" s="1"/>
  <c r="D94" i="119" s="1"/>
  <c r="G65" i="15"/>
  <c r="C14" i="13" s="1"/>
  <c r="B53" i="15"/>
  <c r="B55" i="15" s="1"/>
  <c r="H67" i="15"/>
  <c r="H66" i="15"/>
  <c r="B54" i="15"/>
  <c r="B160" i="14"/>
  <c r="B163" i="14"/>
  <c r="B161" i="14"/>
  <c r="B158" i="14"/>
  <c r="B155" i="14"/>
  <c r="B162" i="14"/>
  <c r="B154" i="14"/>
  <c r="X72" i="14"/>
  <c r="X88" i="14"/>
  <c r="X80" i="14"/>
  <c r="X68" i="14"/>
  <c r="X74" i="14"/>
  <c r="B148" i="14"/>
  <c r="B152" i="14"/>
  <c r="B149" i="14"/>
  <c r="X66" i="14"/>
  <c r="B159" i="14"/>
  <c r="X60" i="14"/>
  <c r="B147" i="14"/>
  <c r="B135" i="14"/>
  <c r="B150" i="14"/>
  <c r="B151" i="14"/>
  <c r="B153" i="14"/>
  <c r="X58" i="14"/>
  <c r="X82" i="14"/>
  <c r="X63" i="14"/>
  <c r="X73" i="14"/>
  <c r="X84" i="14"/>
  <c r="X54" i="14"/>
  <c r="B129" i="14"/>
  <c r="B130" i="14"/>
  <c r="X78" i="14"/>
  <c r="B136" i="14"/>
  <c r="B156" i="14"/>
  <c r="X90" i="14"/>
  <c r="X61" i="14"/>
  <c r="B138" i="14"/>
  <c r="X77" i="14"/>
  <c r="X62" i="14"/>
  <c r="B121" i="14"/>
  <c r="U89" i="15" s="1"/>
  <c r="X83" i="14"/>
  <c r="X70" i="14"/>
  <c r="B137" i="14"/>
  <c r="X53" i="14"/>
  <c r="B139" i="14"/>
  <c r="C139" i="14" s="1"/>
  <c r="X67" i="14"/>
  <c r="B146" i="14"/>
  <c r="B133" i="14"/>
  <c r="X87" i="14"/>
  <c r="X69" i="14"/>
  <c r="X85" i="14"/>
  <c r="X71" i="14"/>
  <c r="B128" i="14"/>
  <c r="U96" i="15" s="1"/>
  <c r="B157" i="14"/>
  <c r="B132" i="14"/>
  <c r="X65" i="14"/>
  <c r="X81" i="14"/>
  <c r="B125" i="14"/>
  <c r="U93" i="15" s="1"/>
  <c r="X75" i="14"/>
  <c r="B124" i="14"/>
  <c r="U92" i="15" s="1"/>
  <c r="B134" i="14"/>
  <c r="X91" i="14"/>
  <c r="X64" i="14"/>
  <c r="X76" i="14"/>
  <c r="X57" i="14"/>
  <c r="B123" i="14"/>
  <c r="U91" i="15" s="1"/>
  <c r="B127" i="14"/>
  <c r="U95" i="15" s="1"/>
  <c r="X56" i="14"/>
  <c r="B140" i="14"/>
  <c r="C140" i="14" s="1"/>
  <c r="X89" i="14"/>
  <c r="B126" i="14"/>
  <c r="U94" i="15" s="1"/>
  <c r="X55" i="14"/>
  <c r="X86" i="14"/>
  <c r="B131" i="14"/>
  <c r="X59" i="14"/>
  <c r="X79" i="14"/>
  <c r="B122" i="14"/>
  <c r="U90" i="15" s="1"/>
  <c r="I9" i="119" l="1"/>
  <c r="C97" i="119" s="1"/>
  <c r="D97" i="119" s="1"/>
  <c r="D147" i="119" s="1"/>
  <c r="H9" i="119"/>
  <c r="C95" i="119" s="1"/>
  <c r="D95" i="119" s="1"/>
  <c r="D115" i="119" s="1"/>
  <c r="C96" i="119"/>
  <c r="D96" i="119" s="1"/>
  <c r="B56" i="15"/>
  <c r="N86" i="15" s="1"/>
  <c r="U102" i="15"/>
  <c r="C134" i="14"/>
  <c r="U106" i="15"/>
  <c r="C138" i="14"/>
  <c r="L107" i="15"/>
  <c r="L97" i="15"/>
  <c r="L116" i="15" s="1"/>
  <c r="L118" i="15" s="1"/>
  <c r="M48" i="119" s="1"/>
  <c r="E157" i="119" s="1"/>
  <c r="U99" i="15"/>
  <c r="C131" i="14"/>
  <c r="U105" i="15"/>
  <c r="C137" i="14"/>
  <c r="U104" i="15"/>
  <c r="C136" i="14"/>
  <c r="U101" i="15"/>
  <c r="C133" i="14"/>
  <c r="U103" i="15"/>
  <c r="C135" i="14"/>
  <c r="U100" i="15"/>
  <c r="C132" i="14"/>
  <c r="U98" i="15"/>
  <c r="C130" i="14"/>
  <c r="M107" i="15"/>
  <c r="M97" i="15"/>
  <c r="M116" i="15" s="1"/>
  <c r="M117" i="15" s="1"/>
  <c r="R48" i="119" s="1"/>
  <c r="E163" i="119" s="1"/>
  <c r="D117" i="119"/>
  <c r="G114" i="15"/>
  <c r="D132" i="119"/>
  <c r="D137" i="119"/>
  <c r="D127" i="119"/>
  <c r="D122" i="119"/>
  <c r="W14" i="119"/>
  <c r="W34" i="119"/>
  <c r="C210" i="119"/>
  <c r="D210" i="119" s="1"/>
  <c r="W15" i="119"/>
  <c r="W23" i="119"/>
  <c r="W31" i="119"/>
  <c r="W16" i="119"/>
  <c r="W24" i="119"/>
  <c r="W32" i="119"/>
  <c r="W17" i="119"/>
  <c r="W25" i="119"/>
  <c r="W33" i="119"/>
  <c r="W18" i="119"/>
  <c r="W26" i="119"/>
  <c r="W19" i="119"/>
  <c r="W27" i="119"/>
  <c r="W30" i="119"/>
  <c r="W20" i="119"/>
  <c r="W28" i="119"/>
  <c r="W21" i="119"/>
  <c r="W29" i="119"/>
  <c r="W22" i="119"/>
  <c r="E202" i="119"/>
  <c r="F202" i="119"/>
  <c r="E203" i="119"/>
  <c r="F203" i="119"/>
  <c r="E204" i="119"/>
  <c r="F204" i="119"/>
  <c r="E205" i="119"/>
  <c r="F205" i="119"/>
  <c r="E206" i="119"/>
  <c r="F206" i="119"/>
  <c r="E207" i="119"/>
  <c r="F207" i="119"/>
  <c r="E208" i="119"/>
  <c r="F208" i="119"/>
  <c r="E209" i="119"/>
  <c r="N99" i="15"/>
  <c r="N102" i="15"/>
  <c r="N106" i="15"/>
  <c r="N101" i="15"/>
  <c r="N104" i="15"/>
  <c r="N100" i="15"/>
  <c r="N103" i="15"/>
  <c r="N98" i="15"/>
  <c r="N105" i="15"/>
  <c r="N107" i="15"/>
  <c r="L106" i="119"/>
  <c r="L114" i="15"/>
  <c r="H115" i="15"/>
  <c r="H116" i="15"/>
  <c r="H117" i="15" s="1"/>
  <c r="G115" i="15"/>
  <c r="H114" i="15"/>
  <c r="G116" i="15"/>
  <c r="B44" i="14"/>
  <c r="B52" i="14" s="1"/>
  <c r="S52" i="14" s="1"/>
  <c r="B116" i="14" s="1"/>
  <c r="U84" i="15" s="1"/>
  <c r="L107" i="119"/>
  <c r="D107" i="119" s="1"/>
  <c r="B166" i="14"/>
  <c r="N91" i="15" l="1"/>
  <c r="N78" i="15"/>
  <c r="N93" i="15"/>
  <c r="N75" i="15"/>
  <c r="N69" i="15"/>
  <c r="N96" i="15"/>
  <c r="N95" i="15"/>
  <c r="N77" i="15"/>
  <c r="N85" i="15"/>
  <c r="J86" i="15" s="1"/>
  <c r="N87" i="15"/>
  <c r="J87" i="15" s="1"/>
  <c r="N70" i="15"/>
  <c r="N79" i="15"/>
  <c r="N74" i="15"/>
  <c r="N80" i="15"/>
  <c r="N76" i="15"/>
  <c r="N68" i="15"/>
  <c r="J68" i="15" s="1"/>
  <c r="N92" i="15"/>
  <c r="N84" i="15"/>
  <c r="N72" i="15"/>
  <c r="N90" i="15"/>
  <c r="N71" i="15"/>
  <c r="N82" i="15"/>
  <c r="N73" i="15"/>
  <c r="N81" i="15"/>
  <c r="N97" i="15"/>
  <c r="N88" i="15"/>
  <c r="J88" i="15" s="1"/>
  <c r="N83" i="15"/>
  <c r="N94" i="15"/>
  <c r="N89" i="15"/>
  <c r="M115" i="15"/>
  <c r="B120" i="15" s="1"/>
  <c r="D142" i="119"/>
  <c r="L115" i="15"/>
  <c r="C141" i="14"/>
  <c r="U97" i="15" s="1"/>
  <c r="M114" i="15"/>
  <c r="D101" i="119"/>
  <c r="D125" i="119"/>
  <c r="D145" i="119"/>
  <c r="D130" i="119"/>
  <c r="D104" i="119"/>
  <c r="D120" i="119"/>
  <c r="D140" i="119"/>
  <c r="D135" i="119"/>
  <c r="D106" i="119"/>
  <c r="D105" i="119"/>
  <c r="D103" i="119"/>
  <c r="D102" i="119"/>
  <c r="G207" i="119"/>
  <c r="G203" i="119"/>
  <c r="G205" i="119"/>
  <c r="G208" i="119"/>
  <c r="G204" i="119"/>
  <c r="G206" i="119"/>
  <c r="G202" i="119"/>
  <c r="B211" i="119"/>
  <c r="F209" i="119"/>
  <c r="G209" i="119" s="1"/>
  <c r="J100" i="15"/>
  <c r="J99" i="15"/>
  <c r="J102" i="15"/>
  <c r="J103" i="15"/>
  <c r="J101" i="15"/>
  <c r="J104" i="15"/>
  <c r="J105" i="15"/>
  <c r="J98" i="15"/>
  <c r="J106" i="15"/>
  <c r="P52" i="14"/>
  <c r="B113" i="14" s="1"/>
  <c r="U81" i="15" s="1"/>
  <c r="I52" i="14"/>
  <c r="B106" i="14" s="1"/>
  <c r="U74" i="15" s="1"/>
  <c r="W52" i="14"/>
  <c r="B120" i="14" s="1"/>
  <c r="U88" i="15" s="1"/>
  <c r="M52" i="14"/>
  <c r="B110" i="14" s="1"/>
  <c r="U78" i="15" s="1"/>
  <c r="T52" i="14"/>
  <c r="B117" i="14" s="1"/>
  <c r="U85" i="15" s="1"/>
  <c r="K52" i="14"/>
  <c r="B108" i="14" s="1"/>
  <c r="U76" i="15" s="1"/>
  <c r="J52" i="14"/>
  <c r="B107" i="14" s="1"/>
  <c r="U75" i="15" s="1"/>
  <c r="V52" i="14"/>
  <c r="B119" i="14" s="1"/>
  <c r="U87" i="15" s="1"/>
  <c r="H52" i="14"/>
  <c r="B105" i="14" s="1"/>
  <c r="U73" i="15" s="1"/>
  <c r="Q52" i="14"/>
  <c r="B114" i="14" s="1"/>
  <c r="U82" i="15" s="1"/>
  <c r="E52" i="14"/>
  <c r="B102" i="14" s="1"/>
  <c r="U70" i="15" s="1"/>
  <c r="C52" i="14"/>
  <c r="B100" i="14" s="1"/>
  <c r="N52" i="14"/>
  <c r="B111" i="14" s="1"/>
  <c r="U79" i="15" s="1"/>
  <c r="R52" i="14"/>
  <c r="B115" i="14" s="1"/>
  <c r="U83" i="15" s="1"/>
  <c r="D52" i="14"/>
  <c r="B101" i="14" s="1"/>
  <c r="U69" i="15" s="1"/>
  <c r="G52" i="14"/>
  <c r="B104" i="14" s="1"/>
  <c r="U72" i="15" s="1"/>
  <c r="U52" i="14"/>
  <c r="B118" i="14" s="1"/>
  <c r="U86" i="15" s="1"/>
  <c r="F52" i="14"/>
  <c r="B103" i="14" s="1"/>
  <c r="U71" i="15" s="1"/>
  <c r="O52" i="14"/>
  <c r="B112" i="14" s="1"/>
  <c r="U80" i="15" s="1"/>
  <c r="L52" i="14"/>
  <c r="B109" i="14" s="1"/>
  <c r="U77" i="15" s="1"/>
  <c r="N48" i="119"/>
  <c r="E159" i="119" s="1"/>
  <c r="J79" i="15" l="1"/>
  <c r="J76" i="15"/>
  <c r="J80" i="15"/>
  <c r="J75" i="15"/>
  <c r="J96" i="15"/>
  <c r="J77" i="15"/>
  <c r="J94" i="15"/>
  <c r="J91" i="15"/>
  <c r="J78" i="15"/>
  <c r="J71" i="15"/>
  <c r="J93" i="15"/>
  <c r="J70" i="15"/>
  <c r="J81" i="15"/>
  <c r="J69" i="15"/>
  <c r="J92" i="15"/>
  <c r="J85" i="15"/>
  <c r="J95" i="15"/>
  <c r="J82" i="15"/>
  <c r="J84" i="15"/>
  <c r="J89" i="15"/>
  <c r="J73" i="15"/>
  <c r="J83" i="15"/>
  <c r="J72" i="15"/>
  <c r="J74" i="15"/>
  <c r="N116" i="15"/>
  <c r="N117" i="15" s="1"/>
  <c r="S48" i="119" s="1"/>
  <c r="E164" i="119" s="1"/>
  <c r="J90" i="15"/>
  <c r="N114" i="15"/>
  <c r="N115" i="15"/>
  <c r="B121" i="15" s="1"/>
  <c r="U107" i="15"/>
  <c r="C211" i="119"/>
  <c r="D211" i="119" s="1"/>
  <c r="E210" i="119"/>
  <c r="X52" i="14"/>
  <c r="U68" i="15"/>
  <c r="B141" i="14"/>
  <c r="J97" i="15" l="1"/>
  <c r="J107" i="15" s="1"/>
  <c r="B212" i="119"/>
  <c r="F210" i="119"/>
  <c r="G210" i="119" s="1"/>
  <c r="U114" i="15"/>
  <c r="U116" i="15"/>
  <c r="Y55" i="15" s="1"/>
  <c r="Y57" i="15" s="1"/>
  <c r="U115" i="15"/>
  <c r="J116" i="15" l="1"/>
  <c r="J117" i="15" s="1"/>
  <c r="P48" i="119" s="1"/>
  <c r="E161" i="119" s="1"/>
  <c r="J115" i="15"/>
  <c r="J114" i="15"/>
  <c r="C212" i="119"/>
  <c r="D212" i="119" s="1"/>
  <c r="E211" i="119"/>
  <c r="X55" i="15" l="1"/>
  <c r="X57" i="15" s="1"/>
  <c r="Z66" i="15"/>
  <c r="B213" i="119"/>
  <c r="F211" i="119"/>
  <c r="G211" i="119" s="1"/>
  <c r="C213" i="119" l="1"/>
  <c r="D213" i="119" s="1"/>
  <c r="E212" i="119"/>
  <c r="B214" i="119" l="1"/>
  <c r="F212" i="119"/>
  <c r="G212" i="119" s="1"/>
  <c r="Z67" i="15" l="1"/>
  <c r="C214" i="119"/>
  <c r="D214" i="119" s="1"/>
  <c r="E213" i="119"/>
  <c r="B215" i="119" l="1"/>
  <c r="F213" i="119"/>
  <c r="G213" i="119" s="1"/>
  <c r="C215" i="119" l="1"/>
  <c r="D215" i="119" s="1"/>
  <c r="E214" i="119"/>
  <c r="Z68" i="15" l="1"/>
  <c r="B216" i="119"/>
  <c r="F214" i="119"/>
  <c r="G214" i="119" s="1"/>
  <c r="C216" i="119" l="1"/>
  <c r="D216" i="119" s="1"/>
  <c r="E215" i="119"/>
  <c r="B217" i="119" l="1"/>
  <c r="F215" i="119"/>
  <c r="G215" i="119" s="1"/>
  <c r="C217" i="119" l="1"/>
  <c r="D217" i="119" s="1"/>
  <c r="E216" i="119"/>
  <c r="Z69" i="15" l="1"/>
  <c r="B218" i="119"/>
  <c r="F216" i="119"/>
  <c r="G216" i="119" s="1"/>
  <c r="C218" i="119" l="1"/>
  <c r="D218" i="119" s="1"/>
  <c r="E217" i="119"/>
  <c r="B219" i="119" l="1"/>
  <c r="F217" i="119"/>
  <c r="G217" i="119" s="1"/>
  <c r="C219" i="119" l="1"/>
  <c r="D219" i="119" s="1"/>
  <c r="E218" i="119"/>
  <c r="Z70" i="15" l="1"/>
  <c r="B220" i="119"/>
  <c r="F218" i="119"/>
  <c r="G218" i="119" s="1"/>
  <c r="C220" i="119" l="1"/>
  <c r="D220" i="119" s="1"/>
  <c r="E219" i="119"/>
  <c r="B221" i="119" l="1"/>
  <c r="F219" i="119"/>
  <c r="G219" i="119" s="1"/>
  <c r="Z71" i="15" l="1"/>
  <c r="C221" i="119"/>
  <c r="D221" i="119" s="1"/>
  <c r="F222" i="119"/>
  <c r="G222" i="119" s="1"/>
  <c r="E220" i="119"/>
  <c r="D223" i="119" l="1"/>
  <c r="H220" i="119" s="1"/>
  <c r="F220" i="119"/>
  <c r="G220" i="119" s="1"/>
  <c r="H221" i="119" l="1"/>
  <c r="H202" i="119"/>
  <c r="I202" i="119" s="1"/>
  <c r="H203" i="119"/>
  <c r="H204" i="119"/>
  <c r="H205" i="119"/>
  <c r="H206" i="119"/>
  <c r="H207" i="119"/>
  <c r="H208" i="119"/>
  <c r="H209" i="119"/>
  <c r="H210" i="119"/>
  <c r="H211" i="119"/>
  <c r="H212" i="119"/>
  <c r="H213" i="119"/>
  <c r="H214" i="119"/>
  <c r="H215" i="119"/>
  <c r="H216" i="119"/>
  <c r="H217" i="119"/>
  <c r="H218" i="119"/>
  <c r="H219" i="119"/>
  <c r="F221" i="119"/>
  <c r="E221" i="119"/>
  <c r="I203" i="119" l="1"/>
  <c r="I204" i="119" s="1"/>
  <c r="I205" i="119" s="1"/>
  <c r="I206" i="119" s="1"/>
  <c r="I207" i="119" s="1"/>
  <c r="I208" i="119" s="1"/>
  <c r="I209" i="119" s="1"/>
  <c r="I210" i="119" s="1"/>
  <c r="I211" i="119" s="1"/>
  <c r="I212" i="119" s="1"/>
  <c r="I213" i="119" s="1"/>
  <c r="I214" i="119" s="1"/>
  <c r="I215" i="119" s="1"/>
  <c r="I216" i="119" s="1"/>
  <c r="I217" i="119" s="1"/>
  <c r="I218" i="119" s="1"/>
  <c r="I219" i="119" s="1"/>
  <c r="I220" i="119" s="1"/>
  <c r="I221" i="119" s="1"/>
  <c r="G221" i="119"/>
  <c r="Z72" i="15" l="1"/>
  <c r="Z73" i="15" l="1"/>
  <c r="Z74" i="15" l="1"/>
  <c r="Z75" i="15" l="1"/>
  <c r="Z76" i="15" l="1"/>
  <c r="Z77" i="15" l="1"/>
  <c r="Z78" i="15" l="1"/>
  <c r="Z79" i="15" l="1"/>
  <c r="Z80" i="15" l="1"/>
  <c r="Z81" i="15" l="1"/>
  <c r="Z82" i="15" l="1"/>
  <c r="Z83" i="15" l="1"/>
  <c r="Z84" i="15" l="1"/>
  <c r="Z85" i="15" l="1"/>
  <c r="Z86" i="15" l="1"/>
  <c r="Z87" i="15" l="1"/>
  <c r="Z88" i="15" l="1"/>
  <c r="Z89" i="15" l="1"/>
  <c r="Z90" i="15" l="1"/>
  <c r="Z91" i="15" l="1"/>
  <c r="Z92" i="15" l="1"/>
  <c r="Z93" i="15" l="1"/>
  <c r="Z94" i="15" l="1"/>
  <c r="Z95" i="15" l="1"/>
  <c r="Z96" i="15" l="1"/>
  <c r="Z98" i="15" l="1"/>
  <c r="Z99" i="15" l="1"/>
  <c r="Z100" i="15" l="1"/>
  <c r="Z101" i="15" l="1"/>
  <c r="Z102" i="15" l="1"/>
  <c r="Z103" i="15" l="1"/>
  <c r="Z104" i="15" l="1"/>
  <c r="Z105" i="15" l="1"/>
  <c r="Z106" i="15" l="1"/>
  <c r="F14" i="13" l="1"/>
  <c r="Z65" i="15" s="1"/>
  <c r="E14" i="13" l="1"/>
  <c r="D14" i="13" s="1"/>
  <c r="G14" i="13"/>
  <c r="C15" i="13" s="1"/>
  <c r="E15" i="13" l="1"/>
  <c r="D15" i="13" s="1"/>
  <c r="G15" i="13"/>
  <c r="C16" i="13" s="1"/>
  <c r="S65" i="15"/>
  <c r="S66" i="15" l="1"/>
  <c r="T66" i="15" s="1"/>
  <c r="T65" i="15"/>
  <c r="E16" i="13"/>
  <c r="D16" i="13" s="1"/>
  <c r="G16" i="13"/>
  <c r="C17" i="13" s="1"/>
  <c r="AC65" i="15" l="1"/>
  <c r="AC66" i="15"/>
  <c r="S67" i="15"/>
  <c r="E17" i="13"/>
  <c r="D17" i="13" s="1"/>
  <c r="G17" i="13"/>
  <c r="C18" i="13" s="1"/>
  <c r="V65" i="15"/>
  <c r="V66" i="15"/>
  <c r="X66" i="15" s="1"/>
  <c r="Y66" i="15" s="1"/>
  <c r="AA66" i="15" l="1"/>
  <c r="X65" i="15"/>
  <c r="AA65" i="15" s="1"/>
  <c r="E18" i="13"/>
  <c r="D18" i="13" s="1"/>
  <c r="G18" i="13"/>
  <c r="C19" i="13" s="1"/>
  <c r="S68" i="15"/>
  <c r="T67" i="15"/>
  <c r="AB65" i="15" l="1"/>
  <c r="AC67" i="15"/>
  <c r="S69" i="15"/>
  <c r="E19" i="13"/>
  <c r="D19" i="13" s="1"/>
  <c r="G19" i="13"/>
  <c r="C20" i="13" s="1"/>
  <c r="V67" i="15"/>
  <c r="Y65" i="15"/>
  <c r="AB66" i="15" l="1"/>
  <c r="X67" i="15"/>
  <c r="AA67" i="15" s="1"/>
  <c r="E20" i="13"/>
  <c r="D20" i="13" s="1"/>
  <c r="G20" i="13"/>
  <c r="C21" i="13" s="1"/>
  <c r="S70" i="15"/>
  <c r="AB67" i="15" l="1"/>
  <c r="Y67" i="15"/>
  <c r="E21" i="13"/>
  <c r="D21" i="13" s="1"/>
  <c r="G21" i="13"/>
  <c r="C22" i="13" s="1"/>
  <c r="S71" i="15"/>
  <c r="G22" i="13" l="1"/>
  <c r="C23" i="13" s="1"/>
  <c r="E22" i="13"/>
  <c r="D22" i="13" s="1"/>
  <c r="S72" i="15"/>
  <c r="S73" i="15" l="1"/>
  <c r="E23" i="13"/>
  <c r="D23" i="13" s="1"/>
  <c r="G23" i="13"/>
  <c r="C24" i="13" s="1"/>
  <c r="S74" i="15" l="1"/>
  <c r="E24" i="13"/>
  <c r="D24" i="13" s="1"/>
  <c r="G24" i="13"/>
  <c r="C25" i="13" s="1"/>
  <c r="S75" i="15" l="1"/>
  <c r="E25" i="13"/>
  <c r="D25" i="13" s="1"/>
  <c r="G25" i="13"/>
  <c r="C26" i="13" s="1"/>
  <c r="E26" i="13" l="1"/>
  <c r="D26" i="13" s="1"/>
  <c r="G26" i="13"/>
  <c r="C27" i="13" s="1"/>
  <c r="S76" i="15"/>
  <c r="E27" i="13" l="1"/>
  <c r="D27" i="13" s="1"/>
  <c r="G27" i="13"/>
  <c r="C28" i="13" s="1"/>
  <c r="S77" i="15"/>
  <c r="E28" i="13" l="1"/>
  <c r="D28" i="13" s="1"/>
  <c r="G28" i="13"/>
  <c r="C29" i="13" s="1"/>
  <c r="S78" i="15"/>
  <c r="E29" i="13" l="1"/>
  <c r="D29" i="13" s="1"/>
  <c r="G29" i="13"/>
  <c r="C30" i="13" s="1"/>
  <c r="S79" i="15"/>
  <c r="E30" i="13" l="1"/>
  <c r="D30" i="13" s="1"/>
  <c r="G30" i="13"/>
  <c r="C31" i="13" s="1"/>
  <c r="S80" i="15"/>
  <c r="E31" i="13" l="1"/>
  <c r="D31" i="13" s="1"/>
  <c r="G31" i="13"/>
  <c r="C32" i="13" s="1"/>
  <c r="S81" i="15"/>
  <c r="E32" i="13" l="1"/>
  <c r="D32" i="13" s="1"/>
  <c r="G32" i="13"/>
  <c r="C33" i="13" s="1"/>
  <c r="S82" i="15"/>
  <c r="E33" i="13" l="1"/>
  <c r="D33" i="13" s="1"/>
  <c r="G33" i="13"/>
  <c r="C34" i="13" s="1"/>
  <c r="S83" i="15"/>
  <c r="E34" i="13" l="1"/>
  <c r="D34" i="13" s="1"/>
  <c r="G34" i="13"/>
  <c r="C35" i="13" s="1"/>
  <c r="S84" i="15"/>
  <c r="E35" i="13" l="1"/>
  <c r="D35" i="13" s="1"/>
  <c r="G35" i="13"/>
  <c r="C36" i="13" s="1"/>
  <c r="S85" i="15"/>
  <c r="E36" i="13" l="1"/>
  <c r="D36" i="13" s="1"/>
  <c r="G36" i="13"/>
  <c r="C37" i="13" s="1"/>
  <c r="S86" i="15"/>
  <c r="E37" i="13" l="1"/>
  <c r="D37" i="13" s="1"/>
  <c r="G37" i="13"/>
  <c r="C38" i="13" s="1"/>
  <c r="S87" i="15"/>
  <c r="E38" i="13" l="1"/>
  <c r="D38" i="13" s="1"/>
  <c r="G38" i="13"/>
  <c r="C39" i="13" s="1"/>
  <c r="S88" i="15"/>
  <c r="E39" i="13" l="1"/>
  <c r="D39" i="13" s="1"/>
  <c r="G39" i="13"/>
  <c r="C40" i="13" s="1"/>
  <c r="S89" i="15"/>
  <c r="E40" i="13" l="1"/>
  <c r="D40" i="13" s="1"/>
  <c r="G40" i="13"/>
  <c r="C41" i="13" s="1"/>
  <c r="S90" i="15"/>
  <c r="E41" i="13" l="1"/>
  <c r="D41" i="13" s="1"/>
  <c r="G41" i="13"/>
  <c r="C42" i="13" s="1"/>
  <c r="S91" i="15"/>
  <c r="E42" i="13" l="1"/>
  <c r="D42" i="13" s="1"/>
  <c r="G42" i="13"/>
  <c r="C43" i="13" s="1"/>
  <c r="S92" i="15"/>
  <c r="E43" i="13" l="1"/>
  <c r="D43" i="13" s="1"/>
  <c r="G43" i="13"/>
  <c r="C44" i="13" s="1"/>
  <c r="S93" i="15"/>
  <c r="E44" i="13" l="1"/>
  <c r="D44" i="13" s="1"/>
  <c r="G44" i="13"/>
  <c r="C45" i="13" s="1"/>
  <c r="S94" i="15"/>
  <c r="E45" i="13" l="1"/>
  <c r="D45" i="13" s="1"/>
  <c r="G45" i="13"/>
  <c r="C46" i="13" s="1"/>
  <c r="F46" i="13" s="1"/>
  <c r="Z97" i="15" s="1"/>
  <c r="S95" i="15"/>
  <c r="E46" i="13" l="1"/>
  <c r="D46" i="13" s="1"/>
  <c r="G46" i="13"/>
  <c r="C47" i="13" s="1"/>
  <c r="S96" i="15"/>
  <c r="E47" i="13" l="1"/>
  <c r="D47" i="13" s="1"/>
  <c r="G47" i="13"/>
  <c r="C48" i="13" s="1"/>
  <c r="S97" i="15"/>
  <c r="E48" i="13" l="1"/>
  <c r="D48" i="13" s="1"/>
  <c r="G48" i="13"/>
  <c r="C49" i="13" s="1"/>
  <c r="S98" i="15"/>
  <c r="E49" i="13" l="1"/>
  <c r="D49" i="13" s="1"/>
  <c r="G49" i="13"/>
  <c r="C50" i="13" s="1"/>
  <c r="S99" i="15"/>
  <c r="E50" i="13" l="1"/>
  <c r="D50" i="13" s="1"/>
  <c r="G50" i="13"/>
  <c r="C51" i="13" s="1"/>
  <c r="S100" i="15"/>
  <c r="E51" i="13" l="1"/>
  <c r="D51" i="13" s="1"/>
  <c r="G51" i="13"/>
  <c r="C52" i="13" s="1"/>
  <c r="S101" i="15"/>
  <c r="E52" i="13" l="1"/>
  <c r="D52" i="13" s="1"/>
  <c r="G52" i="13"/>
  <c r="C53" i="13" s="1"/>
  <c r="S102" i="15"/>
  <c r="E53" i="13" l="1"/>
  <c r="D53" i="13" s="1"/>
  <c r="G53" i="13"/>
  <c r="C54" i="13" s="1"/>
  <c r="S103" i="15"/>
  <c r="E54" i="13" l="1"/>
  <c r="D54" i="13" s="1"/>
  <c r="G54" i="13"/>
  <c r="C55" i="13" s="1"/>
  <c r="S104" i="15"/>
  <c r="E55" i="13" l="1"/>
  <c r="D55" i="13" s="1"/>
  <c r="G55" i="13"/>
  <c r="C56" i="13" s="1"/>
  <c r="S105" i="15"/>
  <c r="F56" i="13" l="1"/>
  <c r="Z107" i="15" s="1"/>
  <c r="E56" i="13"/>
  <c r="S106" i="15"/>
  <c r="D56" i="13" l="1"/>
  <c r="G56" i="13"/>
  <c r="S107" i="15"/>
  <c r="Z116" i="15"/>
  <c r="Z115" i="15"/>
  <c r="Z114" i="15"/>
  <c r="Z55" i="15" l="1"/>
  <c r="Z57" i="15" s="1"/>
  <c r="Z117" i="15"/>
  <c r="Y48" i="119" s="1"/>
  <c r="E170" i="119" s="1"/>
  <c r="S116" i="15"/>
  <c r="S115" i="15"/>
  <c r="B119" i="15" s="1"/>
  <c r="S114" i="15"/>
  <c r="S117" i="15" l="1"/>
  <c r="AA55" i="15"/>
  <c r="AA57" i="15" s="1"/>
  <c r="X60" i="15" s="1"/>
  <c r="C125" i="15"/>
  <c r="C121" i="15"/>
  <c r="C122" i="15"/>
  <c r="C119" i="15"/>
  <c r="C123" i="15"/>
  <c r="C120" i="15"/>
  <c r="C124" i="15"/>
  <c r="E17" i="15" l="1"/>
  <c r="F70" i="15" s="1"/>
  <c r="T70" i="15" s="1"/>
  <c r="W48" i="119"/>
  <c r="E168" i="119" s="1"/>
  <c r="D24" i="34"/>
  <c r="D20" i="34"/>
  <c r="D23" i="34"/>
  <c r="D19" i="34"/>
  <c r="D22" i="34"/>
  <c r="D21" i="34"/>
  <c r="D25" i="34"/>
  <c r="F91" i="15" l="1"/>
  <c r="T91" i="15" s="1"/>
  <c r="AC91" i="15" s="1"/>
  <c r="F82" i="15"/>
  <c r="T82" i="15" s="1"/>
  <c r="AC82" i="15" s="1"/>
  <c r="F94" i="15"/>
  <c r="T94" i="15" s="1"/>
  <c r="V94" i="15" s="1"/>
  <c r="X94" i="15" s="1"/>
  <c r="AA94" i="15" s="1"/>
  <c r="F107" i="15"/>
  <c r="T107" i="15" s="1"/>
  <c r="V107" i="15" s="1"/>
  <c r="X107" i="15" s="1"/>
  <c r="AA107" i="15" s="1"/>
  <c r="F89" i="15"/>
  <c r="T89" i="15" s="1"/>
  <c r="AC89" i="15" s="1"/>
  <c r="F78" i="15"/>
  <c r="T78" i="15" s="1"/>
  <c r="AC78" i="15" s="1"/>
  <c r="F74" i="15"/>
  <c r="T74" i="15" s="1"/>
  <c r="AC74" i="15" s="1"/>
  <c r="F102" i="15"/>
  <c r="T102" i="15" s="1"/>
  <c r="AC102" i="15" s="1"/>
  <c r="F73" i="15"/>
  <c r="T73" i="15" s="1"/>
  <c r="V73" i="15" s="1"/>
  <c r="X73" i="15" s="1"/>
  <c r="AA73" i="15" s="1"/>
  <c r="F85" i="15"/>
  <c r="T85" i="15" s="1"/>
  <c r="V85" i="15" s="1"/>
  <c r="X85" i="15" s="1"/>
  <c r="AA85" i="15" s="1"/>
  <c r="F99" i="15"/>
  <c r="T99" i="15" s="1"/>
  <c r="V99" i="15" s="1"/>
  <c r="X99" i="15" s="1"/>
  <c r="AA99" i="15" s="1"/>
  <c r="F101" i="15"/>
  <c r="T101" i="15" s="1"/>
  <c r="V101" i="15" s="1"/>
  <c r="X101" i="15" s="1"/>
  <c r="Y101" i="15" s="1"/>
  <c r="F90" i="15"/>
  <c r="T90" i="15" s="1"/>
  <c r="AC90" i="15" s="1"/>
  <c r="F96" i="15"/>
  <c r="T96" i="15" s="1"/>
  <c r="AC96" i="15" s="1"/>
  <c r="F69" i="15"/>
  <c r="T69" i="15" s="1"/>
  <c r="AC69" i="15" s="1"/>
  <c r="F81" i="15"/>
  <c r="T81" i="15" s="1"/>
  <c r="V81" i="15" s="1"/>
  <c r="X81" i="15" s="1"/>
  <c r="Y81" i="15" s="1"/>
  <c r="E16" i="15"/>
  <c r="D119" i="15" s="1"/>
  <c r="C19" i="34" s="1"/>
  <c r="F79" i="15"/>
  <c r="T79" i="15" s="1"/>
  <c r="V79" i="15" s="1"/>
  <c r="X79" i="15" s="1"/>
  <c r="Y79" i="15" s="1"/>
  <c r="F80" i="15"/>
  <c r="T80" i="15" s="1"/>
  <c r="V80" i="15" s="1"/>
  <c r="X80" i="15" s="1"/>
  <c r="Y80" i="15" s="1"/>
  <c r="F92" i="15"/>
  <c r="T92" i="15" s="1"/>
  <c r="V92" i="15" s="1"/>
  <c r="X92" i="15" s="1"/>
  <c r="AA92" i="15" s="1"/>
  <c r="F104" i="15"/>
  <c r="T104" i="15" s="1"/>
  <c r="AC104" i="15" s="1"/>
  <c r="F93" i="15"/>
  <c r="T93" i="15" s="1"/>
  <c r="AC93" i="15" s="1"/>
  <c r="F72" i="15"/>
  <c r="T72" i="15" s="1"/>
  <c r="AC72" i="15" s="1"/>
  <c r="F75" i="15"/>
  <c r="T75" i="15" s="1"/>
  <c r="AC75" i="15" s="1"/>
  <c r="F87" i="15"/>
  <c r="T87" i="15" s="1"/>
  <c r="V87" i="15" s="1"/>
  <c r="X87" i="15" s="1"/>
  <c r="AA87" i="15" s="1"/>
  <c r="F83" i="15"/>
  <c r="T83" i="15" s="1"/>
  <c r="V83" i="15" s="1"/>
  <c r="X83" i="15" s="1"/>
  <c r="AA83" i="15" s="1"/>
  <c r="F103" i="15"/>
  <c r="T103" i="15" s="1"/>
  <c r="V103" i="15" s="1"/>
  <c r="X103" i="15" s="1"/>
  <c r="AA103" i="15" s="1"/>
  <c r="F84" i="15"/>
  <c r="T84" i="15" s="1"/>
  <c r="AC84" i="15" s="1"/>
  <c r="F76" i="15"/>
  <c r="T76" i="15" s="1"/>
  <c r="AC76" i="15" s="1"/>
  <c r="F100" i="15"/>
  <c r="T100" i="15" s="1"/>
  <c r="V100" i="15" s="1"/>
  <c r="X100" i="15" s="1"/>
  <c r="Y100" i="15" s="1"/>
  <c r="F98" i="15"/>
  <c r="T98" i="15" s="1"/>
  <c r="AC98" i="15" s="1"/>
  <c r="F71" i="15"/>
  <c r="T71" i="15" s="1"/>
  <c r="V71" i="15" s="1"/>
  <c r="X71" i="15" s="1"/>
  <c r="AA71" i="15" s="1"/>
  <c r="F106" i="15"/>
  <c r="T106" i="15" s="1"/>
  <c r="V106" i="15" s="1"/>
  <c r="X106" i="15" s="1"/>
  <c r="AA106" i="15" s="1"/>
  <c r="F97" i="15"/>
  <c r="T97" i="15" s="1"/>
  <c r="V97" i="15" s="1"/>
  <c r="X97" i="15" s="1"/>
  <c r="Y97" i="15" s="1"/>
  <c r="F95" i="15"/>
  <c r="T95" i="15" s="1"/>
  <c r="V95" i="15" s="1"/>
  <c r="X95" i="15" s="1"/>
  <c r="AA95" i="15" s="1"/>
  <c r="F77" i="15"/>
  <c r="T77" i="15" s="1"/>
  <c r="V77" i="15" s="1"/>
  <c r="X77" i="15" s="1"/>
  <c r="Y77" i="15" s="1"/>
  <c r="F86" i="15"/>
  <c r="T86" i="15" s="1"/>
  <c r="V86" i="15" s="1"/>
  <c r="X86" i="15" s="1"/>
  <c r="AA86" i="15" s="1"/>
  <c r="F68" i="15"/>
  <c r="T68" i="15" s="1"/>
  <c r="F105" i="15"/>
  <c r="T105" i="15" s="1"/>
  <c r="AC105" i="15" s="1"/>
  <c r="F88" i="15"/>
  <c r="T88" i="15" s="1"/>
  <c r="AC88" i="15" s="1"/>
  <c r="V70" i="15"/>
  <c r="X70" i="15" s="1"/>
  <c r="AA70" i="15" s="1"/>
  <c r="AC70" i="15"/>
  <c r="D123" i="15" l="1"/>
  <c r="C23" i="34" s="1"/>
  <c r="AC94" i="15"/>
  <c r="AC79" i="15"/>
  <c r="V82" i="15"/>
  <c r="X82" i="15" s="1"/>
  <c r="AA82" i="15" s="1"/>
  <c r="AC85" i="15"/>
  <c r="V69" i="15"/>
  <c r="X69" i="15" s="1"/>
  <c r="AA69" i="15" s="1"/>
  <c r="V78" i="15"/>
  <c r="X78" i="15" s="1"/>
  <c r="AA78" i="15" s="1"/>
  <c r="V98" i="15"/>
  <c r="X98" i="15" s="1"/>
  <c r="Y98" i="15" s="1"/>
  <c r="AC83" i="15"/>
  <c r="V91" i="15"/>
  <c r="X91" i="15" s="1"/>
  <c r="AA91" i="15" s="1"/>
  <c r="AC80" i="15"/>
  <c r="V72" i="15"/>
  <c r="X72" i="15" s="1"/>
  <c r="Y72" i="15" s="1"/>
  <c r="V75" i="15"/>
  <c r="X75" i="15" s="1"/>
  <c r="AA75" i="15" s="1"/>
  <c r="AC107" i="15"/>
  <c r="V105" i="15"/>
  <c r="X105" i="15" s="1"/>
  <c r="AA105" i="15" s="1"/>
  <c r="V76" i="15"/>
  <c r="X76" i="15" s="1"/>
  <c r="Y76" i="15" s="1"/>
  <c r="V90" i="15"/>
  <c r="X90" i="15" s="1"/>
  <c r="AA90" i="15" s="1"/>
  <c r="V96" i="15"/>
  <c r="X96" i="15" s="1"/>
  <c r="Y96" i="15" s="1"/>
  <c r="AC100" i="15"/>
  <c r="V104" i="15"/>
  <c r="X104" i="15" s="1"/>
  <c r="Y104" i="15" s="1"/>
  <c r="V93" i="15"/>
  <c r="X93" i="15" s="1"/>
  <c r="Y93" i="15" s="1"/>
  <c r="V102" i="15"/>
  <c r="X102" i="15" s="1"/>
  <c r="AA102" i="15" s="1"/>
  <c r="V74" i="15"/>
  <c r="X74" i="15" s="1"/>
  <c r="Y74" i="15" s="1"/>
  <c r="V88" i="15"/>
  <c r="X88" i="15" s="1"/>
  <c r="AA88" i="15" s="1"/>
  <c r="AC81" i="15"/>
  <c r="AC71" i="15"/>
  <c r="AC87" i="15"/>
  <c r="AC73" i="15"/>
  <c r="D120" i="15"/>
  <c r="C20" i="34" s="1"/>
  <c r="D121" i="15"/>
  <c r="C21" i="34" s="1"/>
  <c r="AC103" i="15"/>
  <c r="AC95" i="15"/>
  <c r="AC99" i="15"/>
  <c r="F114" i="15"/>
  <c r="V84" i="15"/>
  <c r="X84" i="15" s="1"/>
  <c r="AA84" i="15" s="1"/>
  <c r="AC97" i="15"/>
  <c r="AC106" i="15"/>
  <c r="D122" i="15"/>
  <c r="C22" i="34" s="1"/>
  <c r="F116" i="15"/>
  <c r="F118" i="15" s="1"/>
  <c r="AG118" i="15" s="1"/>
  <c r="F115" i="15"/>
  <c r="AC77" i="15"/>
  <c r="D125" i="15"/>
  <c r="C25" i="34" s="1"/>
  <c r="AC86" i="15"/>
  <c r="AC92" i="15"/>
  <c r="V89" i="15"/>
  <c r="X89" i="15" s="1"/>
  <c r="AA89" i="15" s="1"/>
  <c r="AC101" i="15"/>
  <c r="D124" i="15"/>
  <c r="C24" i="34" s="1"/>
  <c r="Y107" i="15"/>
  <c r="Y70" i="15"/>
  <c r="Y86" i="15"/>
  <c r="AA79" i="15"/>
  <c r="Y92" i="15"/>
  <c r="Y103" i="15"/>
  <c r="Y99" i="15"/>
  <c r="Y73" i="15"/>
  <c r="Y95" i="15"/>
  <c r="Y83" i="15"/>
  <c r="Y94" i="15"/>
  <c r="AA80" i="15"/>
  <c r="AA101" i="15"/>
  <c r="Y71" i="15"/>
  <c r="Y87" i="15"/>
  <c r="AA81" i="15"/>
  <c r="AA100" i="15"/>
  <c r="AA77" i="15"/>
  <c r="Y85" i="15"/>
  <c r="AC68" i="15"/>
  <c r="V68" i="15"/>
  <c r="T114" i="15"/>
  <c r="T116" i="15"/>
  <c r="T115" i="15"/>
  <c r="AA97" i="15"/>
  <c r="Y106" i="15"/>
  <c r="Y69" i="15" l="1"/>
  <c r="Y78" i="15"/>
  <c r="Y82" i="15"/>
  <c r="AA98" i="15"/>
  <c r="Y91" i="15"/>
  <c r="AA72" i="15"/>
  <c r="Y75" i="15"/>
  <c r="Y102" i="15"/>
  <c r="AA76" i="15"/>
  <c r="AA96" i="15"/>
  <c r="Y105" i="15"/>
  <c r="AA104" i="15"/>
  <c r="Y90" i="15"/>
  <c r="AA74" i="15"/>
  <c r="Y88" i="15"/>
  <c r="AA93" i="15"/>
  <c r="Y84" i="15"/>
  <c r="K48" i="119"/>
  <c r="E155" i="119" s="1"/>
  <c r="F155" i="119" s="1"/>
  <c r="C26" i="34"/>
  <c r="Y89" i="15"/>
  <c r="X68" i="15"/>
  <c r="V115" i="15"/>
  <c r="V114" i="15"/>
  <c r="V116" i="15"/>
  <c r="AC114" i="15"/>
  <c r="E21" i="15"/>
  <c r="E19" i="15" s="1"/>
  <c r="AC115" i="15"/>
  <c r="AC116" i="15"/>
  <c r="F156" i="119" l="1"/>
  <c r="F157" i="119"/>
  <c r="X116" i="15"/>
  <c r="X117" i="15" s="1"/>
  <c r="X114" i="15"/>
  <c r="X115" i="15"/>
  <c r="Y68" i="15"/>
  <c r="AA68" i="15"/>
  <c r="I155" i="119" l="1"/>
  <c r="L155" i="119" s="1"/>
  <c r="H155" i="119"/>
  <c r="K155" i="119" s="1"/>
  <c r="I157" i="119"/>
  <c r="L157" i="119" s="1"/>
  <c r="H157" i="119"/>
  <c r="K157" i="119" s="1"/>
  <c r="I156" i="119"/>
  <c r="L156" i="119" s="1"/>
  <c r="H156" i="119"/>
  <c r="K156" i="119" s="1"/>
  <c r="E26" i="15"/>
  <c r="H17" i="6" s="1"/>
  <c r="AA116" i="15"/>
  <c r="AA114" i="15"/>
  <c r="AA115" i="15"/>
  <c r="E20" i="15"/>
  <c r="E18" i="15" s="1"/>
  <c r="AB68" i="15"/>
  <c r="Y114" i="15"/>
  <c r="Y115" i="15"/>
  <c r="Y116" i="15"/>
  <c r="X48" i="119"/>
  <c r="E169" i="119" s="1"/>
  <c r="AG117" i="15"/>
  <c r="N157" i="119" l="1"/>
  <c r="N155" i="119"/>
  <c r="L171" i="119"/>
  <c r="N156" i="119"/>
  <c r="AB69" i="15"/>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89" i="15" s="1"/>
  <c r="AB90" i="15" s="1"/>
  <c r="AB91" i="15" s="1"/>
  <c r="AB92" i="15" s="1"/>
  <c r="AB93" i="15" s="1"/>
  <c r="AB94" i="15" s="1"/>
  <c r="AB95" i="15" s="1"/>
  <c r="AB96" i="15" s="1"/>
  <c r="AB97" i="15" s="1"/>
  <c r="AB98" i="15" s="1"/>
  <c r="AB99" i="15" s="1"/>
  <c r="AB100" i="15" s="1"/>
  <c r="AB101" i="15" s="1"/>
  <c r="AB102" i="15" s="1"/>
  <c r="AB103" i="15" s="1"/>
  <c r="AB104" i="15" s="1"/>
  <c r="AB105" i="15" s="1"/>
  <c r="AB106" i="15" s="1"/>
  <c r="AB107" i="15" s="1"/>
  <c r="F169" i="119"/>
  <c r="F161" i="119"/>
  <c r="F165" i="119"/>
  <c r="F160" i="119"/>
  <c r="F170" i="119"/>
  <c r="F168" i="119"/>
  <c r="F166" i="119"/>
  <c r="F164" i="119"/>
  <c r="F159" i="119"/>
  <c r="F167" i="119"/>
  <c r="F162" i="119"/>
  <c r="F163" i="119"/>
  <c r="AB114" i="15" l="1"/>
  <c r="I160" i="119"/>
  <c r="M160" i="119" s="1"/>
  <c r="H170" i="119"/>
  <c r="K170" i="119" s="1"/>
  <c r="H166" i="119"/>
  <c r="K166" i="119" s="1"/>
  <c r="H165" i="119"/>
  <c r="K165" i="119" s="1"/>
  <c r="I161" i="119"/>
  <c r="M161" i="119" s="1"/>
  <c r="I164" i="119"/>
  <c r="M164" i="119" s="1"/>
  <c r="I166" i="119"/>
  <c r="M166" i="119" s="1"/>
  <c r="H164" i="119"/>
  <c r="K164" i="119" s="1"/>
  <c r="H168" i="119"/>
  <c r="K168" i="119" s="1"/>
  <c r="H162" i="119"/>
  <c r="K162" i="119" s="1"/>
  <c r="I163" i="119"/>
  <c r="M163" i="119" s="1"/>
  <c r="I159" i="119"/>
  <c r="M159" i="119" s="1"/>
  <c r="H161" i="119"/>
  <c r="K161" i="119" s="1"/>
  <c r="I168" i="119"/>
  <c r="M168" i="119" s="1"/>
  <c r="H167" i="119"/>
  <c r="K167" i="119" s="1"/>
  <c r="I165" i="119"/>
  <c r="M165" i="119" s="1"/>
  <c r="I170" i="119"/>
  <c r="M170" i="119" s="1"/>
  <c r="H159" i="119"/>
  <c r="K159" i="119" s="1"/>
  <c r="H163" i="119"/>
  <c r="K163" i="119" s="1"/>
  <c r="I167" i="119"/>
  <c r="M167" i="119" s="1"/>
  <c r="I162" i="119"/>
  <c r="M162" i="119" s="1"/>
  <c r="I169" i="119"/>
  <c r="M169" i="119" s="1"/>
  <c r="H169" i="119"/>
  <c r="K169" i="119" s="1"/>
  <c r="H160" i="119"/>
  <c r="K160" i="119" s="1"/>
  <c r="AB116" i="15"/>
  <c r="AB115" i="15"/>
  <c r="N170" i="119" l="1"/>
  <c r="N162" i="119"/>
  <c r="N166" i="119"/>
  <c r="N168" i="119"/>
  <c r="N164" i="119"/>
  <c r="N167" i="119"/>
  <c r="N169" i="119"/>
  <c r="N165" i="119"/>
  <c r="N161" i="119"/>
  <c r="N159" i="119"/>
  <c r="M171" i="119"/>
  <c r="N171" i="119" s="1"/>
  <c r="N163" i="119"/>
  <c r="N160" i="1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NREL</author>
  </authors>
  <commentList>
    <comment ref="D18" authorId="0" shapeId="0" xr:uid="{00000000-0006-0000-0400-000001000000}">
      <text>
        <r>
          <rPr>
            <b/>
            <sz val="9"/>
            <color indexed="81"/>
            <rFont val="Tahoma"/>
            <family val="2"/>
          </rPr>
          <t>NREL:</t>
        </r>
        <r>
          <rPr>
            <sz val="9"/>
            <color indexed="81"/>
            <rFont val="Tahoma"/>
            <family val="2"/>
          </rPr>
          <t xml:space="preserve">
Convert from reference year dollars to 2005 dollars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J34" authorId="0" shapeId="0" xr:uid="{00000000-0006-0000-0700-000001000000}">
      <text>
        <r>
          <rPr>
            <b/>
            <sz val="8"/>
            <color indexed="81"/>
            <rFont val="Tahoma"/>
            <family val="2"/>
          </rPr>
          <t>Windows User:</t>
        </r>
        <r>
          <rPr>
            <sz val="8"/>
            <color indexed="81"/>
            <rFont val="Tahoma"/>
            <family val="2"/>
          </rPr>
          <t xml:space="preserve">
Not used in calculation.  Instead, electricity usage is added to production site electricity consumption (kWh/kg), input sheet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Grasshopper</author>
  </authors>
  <commentList>
    <comment ref="B19" authorId="0" shapeId="0" xr:uid="{00000000-0006-0000-0800-000001000000}">
      <text>
        <r>
          <rPr>
            <b/>
            <sz val="9"/>
            <color indexed="81"/>
            <rFont val="Tahoma"/>
            <family val="2"/>
          </rPr>
          <t xml:space="preserve">Includes: 
</t>
        </r>
        <r>
          <rPr>
            <sz val="9"/>
            <color indexed="81"/>
            <rFont val="Tahoma"/>
            <family val="2"/>
          </rPr>
          <t xml:space="preserve">• Initial Equity Depreciable Capital
• Yearly Replacement Costs
• Cash from Working Capital Reserve
• Other Non-Depreciable Capital Costs
• Salvage Value
• Debt Interest
• Depreciation Charge
• Principal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900-000001000000}">
      <text>
        <r>
          <rPr>
            <b/>
            <sz val="9"/>
            <color indexed="81"/>
            <rFont val="Tahoma"/>
            <family val="2"/>
          </rPr>
          <t>All waterfall chart values trigger from this column.  Enter negative % to decrease a parameters' value in a waterfall chart.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Yongling</author>
  </authors>
  <commentList>
    <comment ref="A11" authorId="0" shapeId="0" xr:uid="{00000000-0006-0000-0B00-000001000000}">
      <text>
        <r>
          <rPr>
            <b/>
            <sz val="8"/>
            <color indexed="81"/>
            <rFont val="Tahoma"/>
            <family val="2"/>
          </rPr>
          <t>dsteward:</t>
        </r>
        <r>
          <rPr>
            <sz val="8"/>
            <color indexed="81"/>
            <rFont val="Tahoma"/>
            <family val="2"/>
          </rPr>
          <t xml:space="preserve">
values are assumed to be $2007/mmBtu LHV
</t>
        </r>
      </text>
    </comment>
    <comment ref="D11" authorId="0" shapeId="0" xr:uid="{00000000-0006-0000-0B00-000002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B00-000003000000}">
      <text>
        <r>
          <rPr>
            <sz val="8"/>
            <color indexed="81"/>
            <rFont val="Tahoma"/>
            <family val="2"/>
          </rPr>
          <t xml:space="preserve">Data from HyARC - see AEO tab
copied values are in $2005/GJ LHV
</t>
        </r>
      </text>
    </comment>
    <comment ref="D12" authorId="0" shapeId="0" xr:uid="{00000000-0006-0000-0B00-000004000000}">
      <text>
        <r>
          <rPr>
            <sz val="8"/>
            <color indexed="81"/>
            <rFont val="Tahoma"/>
            <family val="2"/>
          </rPr>
          <t xml:space="preserve">Data from HyARC - see AEO tab
copied values are in $2005/GJ LHV
</t>
        </r>
      </text>
    </comment>
    <comment ref="A13" authorId="0" shapeId="0" xr:uid="{00000000-0006-0000-0B00-000005000000}">
      <text>
        <r>
          <rPr>
            <b/>
            <sz val="8"/>
            <color indexed="81"/>
            <rFont val="Tahoma"/>
            <family val="2"/>
          </rPr>
          <t>Values from unpublished B2A model (v1_3_072110) based on Biomass Program 2009 MYPP
copied values are in $2007/GJ LHV</t>
        </r>
      </text>
    </comment>
    <comment ref="D13" authorId="0" shapeId="0" xr:uid="{00000000-0006-0000-0B00-000006000000}">
      <text>
        <r>
          <rPr>
            <b/>
            <sz val="8"/>
            <color indexed="81"/>
            <rFont val="Tahoma"/>
            <family val="2"/>
          </rPr>
          <t>Values from unpublished B2A model (v1_3_072110) based on Biomass Program 2009 MYPP
copied values are in $2007/GJ LHV</t>
        </r>
      </text>
    </comment>
    <comment ref="A15" authorId="0" shapeId="0" xr:uid="{00000000-0006-0000-0B00-000007000000}">
      <text>
        <r>
          <rPr>
            <sz val="8"/>
            <color indexed="81"/>
            <rFont val="Tahoma"/>
            <family val="2"/>
          </rPr>
          <t>AEO data for steam coal to 2030 Mini-CAM projections thereafter (see AEO Data Tab), HHV and LHV, GREET assumptions for electric power</t>
        </r>
      </text>
    </comment>
    <comment ref="D15" authorId="0" shapeId="0" xr:uid="{00000000-0006-0000-0B00-000008000000}">
      <text>
        <r>
          <rPr>
            <sz val="8"/>
            <color indexed="81"/>
            <rFont val="Tahoma"/>
            <family val="2"/>
          </rPr>
          <t>AEO data for steam coal to 2030 Mini-CAM projections thereafter (see AEO Data Tab), HHV and LHV, GREET assumptions for electric power</t>
        </r>
      </text>
    </comment>
    <comment ref="H23" authorId="1" shapeId="0" xr:uid="{00000000-0006-0000-0B00-000009000000}">
      <text>
        <r>
          <rPr>
            <b/>
            <sz val="8"/>
            <color indexed="81"/>
            <rFont val="Tahoma"/>
            <family val="2"/>
          </rPr>
          <t>Rachel Gelman:</t>
        </r>
        <r>
          <rPr>
            <sz val="8"/>
            <color indexed="81"/>
            <rFont val="Tahoma"/>
            <family val="2"/>
          </rPr>
          <t xml:space="preserve">
Based on 2009 AEO Reference Case</t>
        </r>
      </text>
    </comment>
    <comment ref="I23" authorId="1" shapeId="0" xr:uid="{00000000-0006-0000-0B00-00000A000000}">
      <text>
        <r>
          <rPr>
            <b/>
            <sz val="8"/>
            <color indexed="81"/>
            <rFont val="Tahoma"/>
            <family val="2"/>
          </rPr>
          <t>Rachel Gelman:</t>
        </r>
        <r>
          <rPr>
            <sz val="8"/>
            <color indexed="81"/>
            <rFont val="Tahoma"/>
            <family val="2"/>
          </rPr>
          <t xml:space="preserve">
Based on 2009 AEO Reference Case</t>
        </r>
      </text>
    </comment>
    <comment ref="J23" authorId="1" shapeId="0" xr:uid="{00000000-0006-0000-0B00-00000B000000}">
      <text>
        <r>
          <rPr>
            <b/>
            <sz val="8"/>
            <color indexed="81"/>
            <rFont val="Tahoma"/>
            <family val="2"/>
          </rPr>
          <t>Rachel Gelman:</t>
        </r>
        <r>
          <rPr>
            <sz val="8"/>
            <color indexed="81"/>
            <rFont val="Tahoma"/>
            <family val="2"/>
          </rPr>
          <t xml:space="preserve">
Based on 2009 AEO Reference Case</t>
        </r>
      </text>
    </comment>
    <comment ref="K23" authorId="1" shapeId="0" xr:uid="{00000000-0006-0000-0B00-00000C000000}">
      <text>
        <r>
          <rPr>
            <b/>
            <sz val="8"/>
            <color indexed="81"/>
            <rFont val="Tahoma"/>
            <family val="2"/>
          </rPr>
          <t>Rachel Gelman:</t>
        </r>
        <r>
          <rPr>
            <sz val="8"/>
            <color indexed="81"/>
            <rFont val="Tahoma"/>
            <family val="2"/>
          </rPr>
          <t xml:space="preserve">
Based on 2009 AEO Reference Case</t>
        </r>
      </text>
    </comment>
    <comment ref="L23" authorId="1" shapeId="0" xr:uid="{00000000-0006-0000-0B00-00000D000000}">
      <text>
        <r>
          <rPr>
            <b/>
            <sz val="8"/>
            <color indexed="81"/>
            <rFont val="Tahoma"/>
            <family val="2"/>
          </rPr>
          <t>Rachel Gelman:</t>
        </r>
        <r>
          <rPr>
            <sz val="8"/>
            <color indexed="81"/>
            <rFont val="Tahoma"/>
            <family val="2"/>
          </rPr>
          <t xml:space="preserve">
Based on 2009 AEO Reference Case</t>
        </r>
      </text>
    </comment>
    <comment ref="M23" authorId="1" shapeId="0" xr:uid="{00000000-0006-0000-0B00-00000E000000}">
      <text>
        <r>
          <rPr>
            <b/>
            <sz val="8"/>
            <color indexed="81"/>
            <rFont val="Tahoma"/>
            <family val="2"/>
          </rPr>
          <t>Rachel Gelman:</t>
        </r>
        <r>
          <rPr>
            <sz val="8"/>
            <color indexed="81"/>
            <rFont val="Tahoma"/>
            <family val="2"/>
          </rPr>
          <t xml:space="preserve">
Based on 2009 AEO Reference Case</t>
        </r>
      </text>
    </comment>
    <comment ref="A29" authorId="0" shapeId="0" xr:uid="{00000000-0006-0000-0B00-00000F000000}">
      <text>
        <r>
          <rPr>
            <b/>
            <sz val="8"/>
            <color indexed="81"/>
            <rFont val="Tahoma"/>
            <family val="2"/>
          </rPr>
          <t>dsteward:</t>
        </r>
        <r>
          <rPr>
            <sz val="8"/>
            <color indexed="81"/>
            <rFont val="Tahoma"/>
            <family val="2"/>
          </rPr>
          <t xml:space="preserve">
values are assumed to be $2007/mmBtu LHV
</t>
        </r>
      </text>
    </comment>
    <comment ref="D29" authorId="0" shapeId="0" xr:uid="{00000000-0006-0000-0B00-000010000000}">
      <text>
        <r>
          <rPr>
            <b/>
            <sz val="8"/>
            <color indexed="81"/>
            <rFont val="Tahoma"/>
            <family val="2"/>
          </rPr>
          <t>dsteward:</t>
        </r>
        <r>
          <rPr>
            <sz val="8"/>
            <color indexed="81"/>
            <rFont val="Tahoma"/>
            <family val="2"/>
          </rPr>
          <t xml:space="preserve">
values are assumed to be $2007/mmBtu LHV
</t>
        </r>
      </text>
    </comment>
    <comment ref="A30" authorId="0" shapeId="0" xr:uid="{00000000-0006-0000-0B00-000011000000}">
      <text>
        <r>
          <rPr>
            <sz val="8"/>
            <color indexed="81"/>
            <rFont val="Tahoma"/>
            <family val="2"/>
          </rPr>
          <t xml:space="preserve">Data from HyARC - see AEO tab
copied values are in $2005/GJ LHV
</t>
        </r>
      </text>
    </comment>
    <comment ref="D30" authorId="0" shapeId="0" xr:uid="{00000000-0006-0000-0B00-000012000000}">
      <text>
        <r>
          <rPr>
            <sz val="8"/>
            <color indexed="81"/>
            <rFont val="Tahoma"/>
            <family val="2"/>
          </rPr>
          <t xml:space="preserve">Data from HyARC - see AEO tab
copied values are in $2005/GJ LHV
</t>
        </r>
      </text>
    </comment>
    <comment ref="A32" authorId="0" shapeId="0" xr:uid="{00000000-0006-0000-0B00-000013000000}">
      <text>
        <r>
          <rPr>
            <sz val="8"/>
            <color indexed="81"/>
            <rFont val="Tahoma"/>
            <family val="2"/>
          </rPr>
          <t>AEO data for steam coal to 2030 Mini-CAM projections thereafter (see AEO Data Tab), HHV and LHV, GREET assumptions for electric power</t>
        </r>
      </text>
    </comment>
    <comment ref="D32" authorId="0" shapeId="0" xr:uid="{00000000-0006-0000-0B00-000014000000}">
      <text>
        <r>
          <rPr>
            <sz val="8"/>
            <color indexed="81"/>
            <rFont val="Tahoma"/>
            <family val="2"/>
          </rPr>
          <t>AEO data for steam coal to 2030 Mini-CAM projections thereafter (see AEO Data Tab), HHV and LHV, GREET assumptions for electric power</t>
        </r>
      </text>
    </comment>
    <comment ref="H57" authorId="1" shapeId="0" xr:uid="{00000000-0006-0000-0B00-000015000000}">
      <text>
        <r>
          <rPr>
            <b/>
            <sz val="8"/>
            <color indexed="81"/>
            <rFont val="Tahoma"/>
            <family val="2"/>
          </rPr>
          <t>Rachel Gelman:</t>
        </r>
        <r>
          <rPr>
            <sz val="8"/>
            <color indexed="81"/>
            <rFont val="Tahoma"/>
            <family val="2"/>
          </rPr>
          <t xml:space="preserve">
Based on 2009 AEO Reference Case</t>
        </r>
      </text>
    </comment>
    <comment ref="I57" authorId="1" shapeId="0" xr:uid="{00000000-0006-0000-0B00-000016000000}">
      <text>
        <r>
          <rPr>
            <b/>
            <sz val="8"/>
            <color indexed="81"/>
            <rFont val="Tahoma"/>
            <family val="2"/>
          </rPr>
          <t>Rachel Gelman:</t>
        </r>
        <r>
          <rPr>
            <sz val="8"/>
            <color indexed="81"/>
            <rFont val="Tahoma"/>
            <family val="2"/>
          </rPr>
          <t xml:space="preserve">
Based on 2009 AEO Reference Case</t>
        </r>
      </text>
    </comment>
    <comment ref="J57" authorId="1" shapeId="0" xr:uid="{00000000-0006-0000-0B00-000017000000}">
      <text>
        <r>
          <rPr>
            <b/>
            <sz val="8"/>
            <color indexed="81"/>
            <rFont val="Tahoma"/>
            <family val="2"/>
          </rPr>
          <t>Rachel Gelman:</t>
        </r>
        <r>
          <rPr>
            <sz val="8"/>
            <color indexed="81"/>
            <rFont val="Tahoma"/>
            <family val="2"/>
          </rPr>
          <t xml:space="preserve">
Based on 2009 AEO Reference Case</t>
        </r>
      </text>
    </comment>
    <comment ref="K57" authorId="1" shapeId="0" xr:uid="{00000000-0006-0000-0B00-000018000000}">
      <text>
        <r>
          <rPr>
            <b/>
            <sz val="8"/>
            <color indexed="81"/>
            <rFont val="Tahoma"/>
            <family val="2"/>
          </rPr>
          <t>Rachel Gelman:</t>
        </r>
        <r>
          <rPr>
            <sz val="8"/>
            <color indexed="81"/>
            <rFont val="Tahoma"/>
            <family val="2"/>
          </rPr>
          <t xml:space="preserve">
Based on 2009 AEO Reference Case</t>
        </r>
      </text>
    </comment>
    <comment ref="L57" authorId="1" shapeId="0" xr:uid="{00000000-0006-0000-0B00-000019000000}">
      <text>
        <r>
          <rPr>
            <b/>
            <sz val="8"/>
            <color indexed="81"/>
            <rFont val="Tahoma"/>
            <family val="2"/>
          </rPr>
          <t>Rachel Gelman:</t>
        </r>
        <r>
          <rPr>
            <sz val="8"/>
            <color indexed="81"/>
            <rFont val="Tahoma"/>
            <family val="2"/>
          </rPr>
          <t xml:space="preserve">
Based on 2009 AEO Reference Case</t>
        </r>
      </text>
    </comment>
    <comment ref="M57" authorId="1" shapeId="0" xr:uid="{00000000-0006-0000-0B00-00001A000000}">
      <text>
        <r>
          <rPr>
            <b/>
            <sz val="8"/>
            <color indexed="81"/>
            <rFont val="Tahoma"/>
            <family val="2"/>
          </rPr>
          <t>Rachel Gelman:</t>
        </r>
        <r>
          <rPr>
            <sz val="8"/>
            <color indexed="81"/>
            <rFont val="Tahoma"/>
            <family val="2"/>
          </rPr>
          <t xml:space="preserve">
Based on 2009 AEO Reference Case</t>
        </r>
      </text>
    </comment>
    <comment ref="A63" authorId="0" shapeId="0" xr:uid="{00000000-0006-0000-0B00-00001B000000}">
      <text>
        <r>
          <rPr>
            <b/>
            <sz val="8"/>
            <color indexed="81"/>
            <rFont val="Tahoma"/>
            <family val="2"/>
          </rPr>
          <t>dsteward:</t>
        </r>
        <r>
          <rPr>
            <sz val="8"/>
            <color indexed="81"/>
            <rFont val="Tahoma"/>
            <family val="2"/>
          </rPr>
          <t xml:space="preserve">
values are assumed $/mmBtu LHV
</t>
        </r>
      </text>
    </comment>
    <comment ref="D63" authorId="0" shapeId="0" xr:uid="{00000000-0006-0000-0B00-00001C000000}">
      <text>
        <r>
          <rPr>
            <b/>
            <sz val="8"/>
            <color indexed="81"/>
            <rFont val="Tahoma"/>
            <family val="2"/>
          </rPr>
          <t>dsteward:</t>
        </r>
        <r>
          <rPr>
            <sz val="8"/>
            <color indexed="81"/>
            <rFont val="Tahoma"/>
            <family val="2"/>
          </rPr>
          <t xml:space="preserve">
values are assumed $/mmBtu LHV
</t>
        </r>
      </text>
    </comment>
    <comment ref="A64" authorId="0" shapeId="0" xr:uid="{00000000-0006-0000-0B00-00001D000000}">
      <text>
        <r>
          <rPr>
            <sz val="8"/>
            <color indexed="81"/>
            <rFont val="Tahoma"/>
            <family val="2"/>
          </rPr>
          <t xml:space="preserve">Data from HyARC - see AEO tab
</t>
        </r>
      </text>
    </comment>
    <comment ref="D64" authorId="0" shapeId="0" xr:uid="{00000000-0006-0000-0B00-00001E000000}">
      <text>
        <r>
          <rPr>
            <sz val="8"/>
            <color indexed="81"/>
            <rFont val="Tahoma"/>
            <family val="2"/>
          </rPr>
          <t xml:space="preserve">Data from HyARC - see AEO tab
copied values are in $2005/GJ LHV
</t>
        </r>
      </text>
    </comment>
    <comment ref="D65" authorId="0" shapeId="0" xr:uid="{00000000-0006-0000-0B00-00001F000000}">
      <text>
        <r>
          <rPr>
            <sz val="8"/>
            <color indexed="81"/>
            <rFont val="Tahoma"/>
            <family val="2"/>
          </rPr>
          <t>AEO data for steam coal to 2030 Mini-CAM projections thereafter (see AEO Data Tab), HHV and LHV, GREET assumptions for electric power</t>
        </r>
      </text>
    </comment>
    <comment ref="A94" authorId="0" shapeId="0" xr:uid="{00000000-0006-0000-0B00-000020000000}">
      <text>
        <r>
          <rPr>
            <sz val="8"/>
            <color indexed="81"/>
            <rFont val="Tahoma"/>
            <family val="2"/>
          </rPr>
          <t xml:space="preserve">Data from HyARC - see AEO tab
Data from 2005 was assumed to be in $/GJ LHV
</t>
        </r>
      </text>
    </comment>
    <comment ref="D94" authorId="0" shapeId="0" xr:uid="{00000000-0006-0000-0B00-000021000000}">
      <text>
        <r>
          <rPr>
            <sz val="8"/>
            <color indexed="81"/>
            <rFont val="Tahoma"/>
            <family val="2"/>
          </rPr>
          <t xml:space="preserve">Data from HyARC - see AEO tab
copied values are in $2005/GJ LHV
</t>
        </r>
      </text>
    </comment>
    <comment ref="D97" authorId="0" shapeId="0" xr:uid="{00000000-0006-0000-0B00-000022000000}">
      <text>
        <r>
          <rPr>
            <sz val="8"/>
            <color indexed="81"/>
            <rFont val="Tahoma"/>
            <family val="2"/>
          </rPr>
          <t>AEO data for steam coal to 2030 Mini-CAM projections thereafter (see AEO Data Tab), HHV and LHV, GREET assumptions for electric power</t>
        </r>
      </text>
    </comment>
    <comment ref="A111" authorId="2" shapeId="0" xr:uid="{00000000-0006-0000-0B00-000023000000}">
      <text>
        <r>
          <rPr>
            <b/>
            <sz val="9"/>
            <color indexed="81"/>
            <rFont val="Tahoma"/>
            <family val="2"/>
          </rPr>
          <t>Yongling:</t>
        </r>
        <r>
          <rPr>
            <sz val="9"/>
            <color indexed="81"/>
            <rFont val="Tahoma"/>
            <family val="2"/>
          </rPr>
          <t xml:space="preserve">
Industrial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s>
  <commentList>
    <comment ref="B70" authorId="0" shapeId="0" xr:uid="{00000000-0006-0000-0E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0E00-000002000000}">
      <text>
        <r>
          <rPr>
            <b/>
            <sz val="8"/>
            <color indexed="81"/>
            <rFont val="Tahoma"/>
            <family val="2"/>
          </rPr>
          <t>dsteward:</t>
        </r>
        <r>
          <rPr>
            <sz val="8"/>
            <color indexed="81"/>
            <rFont val="Tahoma"/>
            <family val="2"/>
          </rPr>
          <t xml:space="preserve">
Enter as $(reference year)/GJ</t>
        </r>
      </text>
    </comment>
    <comment ref="G70" authorId="0" shapeId="0" xr:uid="{00000000-0006-0000-0E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0E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0E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 ref="B153" authorId="1" shapeId="0" xr:uid="{00000000-0006-0000-0E00-000006000000}">
      <text>
        <r>
          <rPr>
            <b/>
            <sz val="8"/>
            <color indexed="81"/>
            <rFont val="Tahoma"/>
            <family val="2"/>
          </rPr>
          <t>Rachel Gelman:</t>
        </r>
        <r>
          <rPr>
            <sz val="8"/>
            <color indexed="81"/>
            <rFont val="Tahoma"/>
            <family val="2"/>
          </rPr>
          <t xml:space="preserve">
NG values include NG recovery, processing and transportation to plant gate but do not include the combustion of NG. The generation of steam from NG includes all of the above plus the actual combustion of NG to provide heat of evaporation. </t>
        </r>
      </text>
    </comment>
  </commentList>
</comments>
</file>

<file path=xl/sharedStrings.xml><?xml version="1.0" encoding="utf-8"?>
<sst xmlns="http://schemas.openxmlformats.org/spreadsheetml/2006/main" count="4010" uniqueCount="1465">
  <si>
    <t>Real Present Value of Depreciation</t>
  </si>
  <si>
    <t>Approx Capital Charge Rate</t>
  </si>
  <si>
    <t>Cost Contribution ($/ kg H2)</t>
  </si>
  <si>
    <t>Cost Contribution ($/ tonne CO2 Sequestered)</t>
  </si>
  <si>
    <t>O&amp;M Cost</t>
  </si>
  <si>
    <t>Energy Cost</t>
  </si>
  <si>
    <t>*Carbon sequestration costs presented in this table do not include carbon capture capital and operating costs.</t>
  </si>
  <si>
    <t>anal_period</t>
  </si>
  <si>
    <t>cap_factor</t>
  </si>
  <si>
    <t>CO2_seq</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</si>
  <si>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</si>
  <si>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</si>
  <si>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</si>
  <si>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</si>
  <si>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</si>
  <si>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</si>
  <si>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</si>
  <si>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</si>
  <si>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</si>
  <si>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</si>
  <si>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</si>
  <si>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</si>
  <si>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</si>
  <si>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</si>
  <si>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</si>
  <si>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</si>
  <si>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</si>
  <si>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</si>
  <si>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</si>
  <si>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</si>
  <si>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</si>
  <si>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</si>
  <si>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</si>
  <si>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</si>
  <si>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</si>
  <si>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</si>
  <si>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</si>
  <si>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</si>
  <si>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</si>
  <si>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ANNUAL LOAN CALCULATION (if debt financing is assumed)</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</si>
  <si>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</si>
  <si>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</si>
  <si>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</si>
  <si>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</si>
  <si>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</si>
  <si>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</si>
  <si>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</si>
  <si>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</si>
  <si>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</si>
  <si>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</si>
  <si>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</si>
  <si>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</si>
  <si>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Inputs from Cash-Input Sheet</t>
  </si>
  <si>
    <t>Depreciation Period (yrs)</t>
  </si>
  <si>
    <t>Total Initial Depreciable Capital</t>
  </si>
  <si>
    <t>DEPRECIATION CALCULATION TABLE</t>
  </si>
  <si>
    <t>Operation Year</t>
  </si>
  <si>
    <t>Annual Depreciable Capital</t>
  </si>
  <si>
    <t>Total</t>
  </si>
  <si>
    <t>DEPRECIATION CHARGES TO CASH FLOW TAB</t>
  </si>
  <si>
    <t>Depreciation Charge</t>
  </si>
  <si>
    <t>Post Analysis Depreciation</t>
  </si>
  <si>
    <t>Totals</t>
  </si>
  <si>
    <t xml:space="preserve">Remaining Book Value Calculation for Greater than 40-year Plant Life </t>
  </si>
  <si>
    <t>Year after 40</t>
  </si>
  <si>
    <t>DCF CALCULATION OUTPUTS:</t>
  </si>
  <si>
    <t>After Tax Real Capital Recovery Factor</t>
  </si>
  <si>
    <t>Energy Feedstocks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</si>
  <si>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</si>
  <si>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</si>
  <si>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</si>
  <si>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</si>
  <si>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</si>
  <si>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</si>
  <si>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</si>
  <si>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</si>
  <si>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</si>
  <si>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</si>
  <si>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</si>
  <si>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</si>
  <si>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</si>
  <si>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Cost Contribution ($/kg)</t>
  </si>
  <si>
    <t>Percentage of H2 Cost</t>
  </si>
  <si>
    <t>Capital Costs</t>
  </si>
  <si>
    <t>Decommissioning Costs</t>
  </si>
  <si>
    <t>Fixed O&amp;M</t>
  </si>
  <si>
    <t>Other Raw Material Costs</t>
  </si>
  <si>
    <t>Byproduct Credits</t>
  </si>
  <si>
    <t>Other Variable Costs (including utilities)</t>
  </si>
  <si>
    <t>DCF CALCULATION INPUTS:</t>
  </si>
  <si>
    <t>Process</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</si>
  <si>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</si>
  <si>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</si>
  <si>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</si>
  <si>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</si>
  <si>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</si>
  <si>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</si>
  <si>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</si>
  <si>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</si>
  <si>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</si>
  <si>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</si>
  <si>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</si>
  <si>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</si>
  <si>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</si>
  <si>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</si>
  <si>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</si>
  <si>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</si>
  <si>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</si>
  <si>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</si>
  <si>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</si>
  <si>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</si>
  <si>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</si>
  <si>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</si>
  <si>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</si>
  <si>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</si>
  <si>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</si>
  <si>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</si>
  <si>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</si>
  <si>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</si>
  <si>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</si>
  <si>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Inflation Price Increase Factor</t>
  </si>
  <si>
    <t>Portion of Initial Depreciable Capital Investment Financed with Debt (value ONLY used in debt financing calculations)</t>
  </si>
  <si>
    <t>Initial Equity Depreciable Capital</t>
  </si>
  <si>
    <t>Yearly Replacement Costs</t>
  </si>
  <si>
    <t>Energy: J/MJ</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</si>
  <si>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</si>
  <si>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</si>
  <si>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</si>
  <si>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</si>
  <si>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</si>
  <si>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</si>
  <si>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</si>
  <si>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</si>
  <si>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</si>
  <si>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at Forecourt</t>
  </si>
  <si>
    <t>Other Non-Depreciable Capital Costs</t>
  </si>
  <si>
    <t>Fixed Operating Cost</t>
  </si>
  <si>
    <t>Other Raw Material Cost</t>
  </si>
  <si>
    <t>Other Variable Operating Costs</t>
  </si>
  <si>
    <t>Debt Interest</t>
  </si>
  <si>
    <t>Pre-Depreciation Income</t>
  </si>
  <si>
    <t>Taxable Income</t>
  </si>
  <si>
    <t>Tax Rate</t>
  </si>
  <si>
    <t>Energy Feedstocks, Utilities and Byproducts</t>
  </si>
  <si>
    <t>Total Taxes</t>
  </si>
  <si>
    <t>After-Tax Income</t>
  </si>
  <si>
    <t>After-Tax Post-Depreciation Cash Flow</t>
  </si>
  <si>
    <t>Cumulative Cash Flow</t>
  </si>
  <si>
    <t>Pre-Tax Cash Flow</t>
  </si>
  <si>
    <t>Cumulative Total</t>
  </si>
  <si>
    <t>PV of Cash Flow</t>
  </si>
  <si>
    <t>After Tax Present Value</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</si>
  <si>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</si>
  <si>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</si>
  <si>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</si>
  <si>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</si>
  <si>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</si>
  <si>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</si>
  <si>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</si>
  <si>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</si>
  <si>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</si>
  <si>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</si>
  <si>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</si>
  <si>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percent_cap3</t>
  </si>
  <si>
    <t>percent_cap4</t>
  </si>
  <si>
    <t>percnt_fixed</t>
  </si>
  <si>
    <t>Temp_var_location</t>
  </si>
  <si>
    <t>percnt_revs</t>
  </si>
  <si>
    <t>percnt_var</t>
  </si>
  <si>
    <t>Permitting</t>
  </si>
  <si>
    <t>plant_life</t>
  </si>
  <si>
    <t>Process_cont</t>
  </si>
  <si>
    <t>prod_maint</t>
  </si>
  <si>
    <t>Project_cont</t>
  </si>
  <si>
    <t>real_irr</t>
  </si>
  <si>
    <t>rent</t>
  </si>
  <si>
    <t>replace_factor</t>
  </si>
  <si>
    <t>royalties</t>
  </si>
  <si>
    <t>salvage_perct</t>
  </si>
  <si>
    <t>Site_prep</t>
  </si>
  <si>
    <t>solidwaste_treat</t>
  </si>
  <si>
    <t>start_time</t>
  </si>
  <si>
    <t>startup_year</t>
  </si>
  <si>
    <t>Total Unplanned Replacement Capital Cost Factor (% of total depreciable capital costs/year)</t>
  </si>
  <si>
    <t>state_tax_rate</t>
  </si>
  <si>
    <t>tax_credit</t>
  </si>
  <si>
    <t>tax_ins_rate</t>
  </si>
  <si>
    <t>var_misc</t>
  </si>
  <si>
    <t>waste_treat</t>
  </si>
  <si>
    <t>WorkingCap</t>
  </si>
  <si>
    <t>Units for Feedstock Price Table</t>
  </si>
  <si>
    <t>Energy Feedstock</t>
  </si>
  <si>
    <t>Energy Utility</t>
  </si>
  <si>
    <t>Lookup Electricity Prices in Startup Year</t>
  </si>
  <si>
    <t>Price Table Start Year Column (relative)</t>
  </si>
  <si>
    <t>Raw Price ($/GJ)</t>
  </si>
  <si>
    <t>Price in Usage Units</t>
  </si>
  <si>
    <t>Use H2A default values</t>
  </si>
  <si>
    <t>H2A cell color coding</t>
  </si>
  <si>
    <t>ColorList</t>
  </si>
  <si>
    <t>Input</t>
  </si>
  <si>
    <t>Calculated</t>
  </si>
  <si>
    <t>UserInfo</t>
  </si>
  <si>
    <t>View and edit project information</t>
  </si>
  <si>
    <t>Process Flow Diagram</t>
  </si>
  <si>
    <t>Stream Summaries</t>
  </si>
  <si>
    <t>Purpose:</t>
  </si>
  <si>
    <t>System Description:</t>
  </si>
  <si>
    <t>Analysis Methodology Summary:</t>
  </si>
  <si>
    <t>Plant Ownership and Entity Type Assumptions:</t>
  </si>
  <si>
    <t>References:</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</si>
  <si>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</si>
  <si>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</si>
  <si>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</si>
  <si>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</si>
  <si>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</si>
  <si>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</si>
  <si>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</si>
  <si>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</si>
  <si>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</si>
  <si>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</si>
  <si>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</si>
  <si>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</si>
  <si>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</si>
  <si>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</si>
  <si>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Primary By-Product:</t>
  </si>
  <si>
    <t>Secondary By-Product:</t>
  </si>
  <si>
    <t>Based on Number of Plants Installed per Year (per manufacturer):</t>
  </si>
  <si>
    <t>H2 Onsite Storage Type</t>
  </si>
  <si>
    <t>Assumed plant location:</t>
  </si>
  <si>
    <t>Reporting Spreadsheet Change History:</t>
  </si>
  <si>
    <t>Date spreadsheet created / modified</t>
  </si>
  <si>
    <t>Name</t>
  </si>
  <si>
    <t>Color Key</t>
  </si>
  <si>
    <t>Use default values (checkboxes)</t>
  </si>
  <si>
    <t>Total Process Pollutants Produced (kg /kg H2)</t>
  </si>
  <si>
    <t>Total Process Pollutants Produced (metric tons/year)</t>
  </si>
  <si>
    <t>Total Feedstock Pollutants Produced (kg /kg H2)</t>
  </si>
  <si>
    <t>Total Feedstock Pollutants Produced (metric tons /year)</t>
  </si>
  <si>
    <t>Total Process Emissions (kg/kg H2)</t>
  </si>
  <si>
    <t>CO2 Captured (kg/kg H2)*</t>
  </si>
  <si>
    <t>CO2 Captured (metric tons/year)*</t>
  </si>
  <si>
    <t>*Carbon sequestration values are only calculated if the detailed Carbon Sequestration sheet is used.</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</si>
  <si>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</si>
  <si>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</si>
  <si>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</si>
  <si>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</si>
  <si>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</si>
  <si>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</si>
  <si>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</si>
  <si>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</si>
  <si>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</si>
  <si>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</si>
  <si>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</si>
  <si>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</si>
  <si>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</si>
  <si>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</si>
  <si>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</si>
  <si>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</si>
  <si>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</si>
  <si>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</si>
  <si>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</si>
  <si>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</si>
  <si>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</si>
  <si>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</si>
  <si>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</si>
  <si>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</si>
  <si>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</si>
  <si>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</si>
  <si>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L</t>
  </si>
  <si>
    <t>Add_As_List</t>
  </si>
  <si>
    <t>Utility</t>
  </si>
  <si>
    <t>Byproduct</t>
  </si>
  <si>
    <t>START_UTILITY</t>
  </si>
  <si>
    <t>START_BYPROD</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</si>
  <si>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</si>
  <si>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</si>
  <si>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</si>
  <si>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</si>
  <si>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</si>
  <si>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</si>
  <si>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</si>
  <si>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</si>
  <si>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</si>
  <si>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</si>
  <si>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</si>
  <si>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</si>
  <si>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</si>
  <si>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</si>
  <si>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</si>
  <si>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</si>
  <si>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</si>
  <si>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</si>
  <si>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</si>
  <si>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</si>
  <si>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</si>
  <si>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</si>
  <si>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</si>
  <si>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</si>
  <si>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</si>
  <si>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</si>
  <si>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</si>
  <si>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</si>
  <si>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</si>
  <si>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</si>
  <si>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</si>
  <si>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</si>
  <si>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</si>
  <si>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</si>
  <si>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</si>
  <si>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</si>
  <si>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</si>
  <si>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</si>
  <si>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</si>
  <si>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</si>
  <si>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</si>
  <si>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</si>
  <si>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</si>
  <si>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</si>
  <si>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</si>
  <si>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</si>
  <si>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</si>
  <si>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</si>
  <si>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 of Capital Spent in 4th Year of Construction</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</si>
  <si>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</si>
  <si>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</si>
  <si>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</si>
  <si>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</si>
  <si>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</si>
  <si>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</si>
  <si>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Federal Taxes (fraction)</t>
  </si>
  <si>
    <t>WORKING CAPITAL (fraction of yearly change in operating costs)</t>
  </si>
  <si>
    <t>G&amp;A rate (fraction of labor cost)</t>
  </si>
  <si>
    <t>Property tax and insurance rate (fraction of total capital investment)</t>
  </si>
  <si>
    <t>Operating Capacity Factor (%)</t>
  </si>
  <si>
    <t>Plant Design Capacity (kg of H2/day)</t>
  </si>
  <si>
    <t>H2A Total Direct Capital Cost</t>
  </si>
  <si>
    <t>Indirect Depreciable Capital Costs</t>
  </si>
  <si>
    <t>Engineering &amp; design ($)</t>
  </si>
  <si>
    <t>CO2_Capture_Efficiency</t>
  </si>
  <si>
    <t>CO2_MaintFactor</t>
  </si>
  <si>
    <t>CO2_PipeFactor</t>
  </si>
  <si>
    <t>CO2_SiteCap</t>
  </si>
  <si>
    <t>CO2_WellDepth</t>
  </si>
  <si>
    <t>CO2_TerrainType</t>
  </si>
  <si>
    <t>CO2_PipeLength</t>
  </si>
  <si>
    <t>CO2_Value_Defaults</t>
  </si>
  <si>
    <t>Process contingency ($)</t>
  </si>
  <si>
    <t>Project contingency ($)</t>
  </si>
  <si>
    <t>One-time Licensing Fees ($)</t>
  </si>
  <si>
    <t>Other (Depreciable) capital ($)</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</si>
  <si>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</si>
  <si>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</si>
  <si>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</si>
  <si>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</si>
  <si>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</si>
  <si>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</si>
  <si>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</si>
  <si>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</si>
  <si>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</si>
  <si>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Material costs for maintenance and repairs ($/year)</t>
  </si>
  <si>
    <t>Production Maintenance and Repairs ($/year)</t>
  </si>
  <si>
    <t>Other Fees ($/year)</t>
  </si>
  <si>
    <t>Other Fixed O&amp;M Costs ($/year)</t>
  </si>
  <si>
    <t>Other variable operating costs (e.g. environmental surcharges) ($/year)</t>
  </si>
  <si>
    <t>Waste treatment costs ($/year)</t>
  </si>
  <si>
    <t>Solid waste disposal costs ($/year)</t>
  </si>
  <si>
    <t>Total Unplanned Replacement Capital Cost Factor (% of total direct depreciable costs/year)</t>
  </si>
  <si>
    <t>Royalties ($/year)</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</si>
  <si>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</si>
  <si>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</si>
  <si>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</si>
  <si>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</si>
  <si>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</si>
  <si>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</si>
  <si>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</si>
  <si>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 of Capital Spent in 3rd Year of Construction</t>
  </si>
  <si>
    <t>MPa</t>
  </si>
  <si>
    <t>Start-up Time (years)</t>
  </si>
  <si>
    <t>Plant life (years)</t>
  </si>
  <si>
    <t>Analysis period (years)</t>
  </si>
  <si>
    <t>Depreciation Schedule Length (years)</t>
  </si>
  <si>
    <t>Debt period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</si>
  <si>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</si>
  <si>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</si>
  <si>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</si>
  <si>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</si>
  <si>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</si>
  <si>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</si>
  <si>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</si>
  <si>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Carbon Sequestration Calculation Information</t>
  </si>
  <si>
    <t>H2a Analysis Results</t>
  </si>
  <si>
    <t>COST RESULTS</t>
  </si>
  <si>
    <t>ENERGY</t>
  </si>
  <si>
    <t>Production Process Energy Efficiency</t>
  </si>
  <si>
    <t>Carbon sequestration energy input (GJ/kg H2)</t>
  </si>
  <si>
    <t>Upstream Energy Usage (GJ/kg H2)</t>
  </si>
  <si>
    <t>Total Energy</t>
  </si>
  <si>
    <t>Fossil Fuels</t>
  </si>
  <si>
    <t>Petroleum</t>
  </si>
  <si>
    <t>Carbon Sequestration</t>
  </si>
  <si>
    <t>EMISSIONS</t>
  </si>
  <si>
    <t>Emissions Summary</t>
  </si>
  <si>
    <t>CO2</t>
  </si>
  <si>
    <t>CH4</t>
  </si>
  <si>
    <t>N2O</t>
  </si>
  <si>
    <t>Total GHG (CO2 eq)</t>
  </si>
  <si>
    <t>Central Hydrogen Production - Project Information</t>
  </si>
  <si>
    <t>Central Hydrogen Production - Description</t>
  </si>
  <si>
    <t>Central Hydrogen Production - Process Flow Diagram</t>
  </si>
  <si>
    <t>Costs for carbon (CO2) compression, transport to the sequestration site and injection are calculated in this section.  Capital and operating costs for carbon capture are assumed to be included in the capital and operating costs for the production facility and are not included here.  For H2A analysis of hydrogen production processes, it is assumed that only carbon contained in the process feedstock can be captured.  Carbon contained in fuels such as natural gas used for steam generation (i.e., as a utility) cannot be captured.  Therefore, only CO2 emissions from feedstocks are shown below.  CO2 emissions from fuels used as utilities are included in the total emissions from the process shown on the Results sheet.  All feedstocks and utilities should be specified before completing this section.  See the QuickStart Guide for information on the derivation of the equations used in this section.</t>
  </si>
  <si>
    <t>Carbon Sequestration Information</t>
  </si>
  <si>
    <t>Carbon Sequestration Input Values</t>
  </si>
  <si>
    <t>CO2 emissions are based on the carbon content of the feed.  See the Physical Properties Table for specific values</t>
  </si>
  <si>
    <t>kW</t>
  </si>
  <si>
    <t>psi</t>
  </si>
  <si>
    <t>O&amp;M Costs</t>
  </si>
  <si>
    <t>cultivated land</t>
  </si>
  <si>
    <t>grassland</t>
  </si>
  <si>
    <t>wooded</t>
  </si>
  <si>
    <t>jungle</t>
  </si>
  <si>
    <t>&lt;20% Mountainous</t>
  </si>
  <si>
    <t>stony desert</t>
  </si>
  <si>
    <t>&gt;50% Mountainous</t>
  </si>
  <si>
    <t>UK</t>
  </si>
  <si>
    <t>Summary of Output Values</t>
  </si>
  <si>
    <t>CO2 Compressor</t>
  </si>
  <si>
    <t>CO2 Injection (Site and wells)</t>
  </si>
  <si>
    <t>CO2 Pipeline</t>
  </si>
  <si>
    <t>CO2 Mass Flowrate (metric tons/day)</t>
  </si>
  <si>
    <t>Plant Output (kg/day)</t>
  </si>
  <si>
    <t>Electricity Cost ($/kWh)</t>
  </si>
  <si>
    <t>Price for industrial electricity in the startup year</t>
  </si>
  <si>
    <t>Carbon Sequestration Calculations</t>
  </si>
  <si>
    <t>CO2_Location</t>
  </si>
  <si>
    <t>USA, Canada, Europe, Japan, Australia</t>
  </si>
  <si>
    <t>CO2_Terrain</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</si>
  <si>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</si>
  <si>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</si>
  <si>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</si>
  <si>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</si>
  <si>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</si>
  <si>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</si>
  <si>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</si>
  <si>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</si>
  <si>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</si>
  <si>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</si>
  <si>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</si>
  <si>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</si>
  <si>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</si>
  <si>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</si>
  <si>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</si>
  <si>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</si>
  <si>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</si>
  <si>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</si>
  <si>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</si>
  <si>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</si>
  <si>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</si>
  <si>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</si>
  <si>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</si>
  <si>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</si>
  <si>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</si>
  <si>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</si>
  <si>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</si>
  <si>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</si>
  <si>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</si>
  <si>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</si>
  <si>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</si>
  <si>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</si>
  <si>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</si>
  <si>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</si>
  <si>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</si>
  <si>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</si>
  <si>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</si>
  <si>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</si>
  <si>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</si>
  <si>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</si>
  <si>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</si>
  <si>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</si>
  <si>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</si>
  <si>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</si>
  <si>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</si>
  <si>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</si>
  <si>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</si>
  <si>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</si>
  <si>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</si>
  <si>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</si>
  <si>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</si>
  <si>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</si>
  <si>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</si>
  <si>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</si>
  <si>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</si>
  <si>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</si>
  <si>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</si>
  <si>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</si>
  <si>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</si>
  <si>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</si>
  <si>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</si>
  <si>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</si>
  <si>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</si>
  <si>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</si>
  <si>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Error</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</si>
  <si>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</si>
  <si>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</si>
  <si>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</si>
  <si>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</si>
  <si>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</si>
  <si>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</si>
  <si>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</si>
  <si>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</si>
  <si>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</si>
  <si>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</si>
  <si>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</si>
  <si>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</si>
  <si>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</si>
  <si>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</si>
  <si>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</si>
  <si>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</si>
  <si>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</si>
  <si>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 xml:space="preserve">   1/ Weighted average price includes fuels below as well as coal.</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</si>
  <si>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</si>
  <si>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</si>
  <si>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</si>
  <si>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</si>
  <si>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</si>
  <si>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</si>
  <si>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 xml:space="preserve">   8/ Includes Federal and State taxes while excluding county and local taxes.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</si>
  <si>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</si>
  <si>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</si>
  <si>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</si>
  <si>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</si>
  <si>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</si>
  <si>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</si>
  <si>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CH4 Emissions Factor (kg CH4 produced/GJ or mmBtu feed)</t>
  </si>
  <si>
    <t>N2O Emissions Factor (kg N2O produced/GJ or mmBtu feed)</t>
  </si>
  <si>
    <t>Production Process GHG Emissions Summary</t>
  </si>
  <si>
    <t>Production Process GHG Emissions (/kg H2)</t>
  </si>
  <si>
    <t>Greenhouse Gas Emissions Factors</t>
  </si>
  <si>
    <t>Total process emissions (kg/kg H2)</t>
  </si>
  <si>
    <t xml:space="preserve">Total upstream emissions (kg/kg H2) </t>
  </si>
  <si>
    <t>Total well to pump emissions (kg/kg H2)</t>
  </si>
  <si>
    <t>TOTAL</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</si>
  <si>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</si>
  <si>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</si>
  <si>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</si>
  <si>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</si>
  <si>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 xml:space="preserve">   Note:  Data for 2002 and 2003 are model results and may differ slightly from official EIA data reports.</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</si>
  <si>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</si>
  <si>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</si>
  <si>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CO2 capture process outlet pressure (psia)</t>
  </si>
  <si>
    <t>CO2_Pin_psia</t>
  </si>
  <si>
    <t>psi/MPa</t>
  </si>
  <si>
    <t>(Washington, DC, January 2004).  2003 residential and commercial natural gas delivered prices:  EIA, Natural Gas Monthly, DOE/EIA-0130(2004/07) (Washington, DC, July 2004).</t>
  </si>
  <si>
    <t>2002 and 2003 electric power sector natural gas prices:  EIA, Electric Power Monthly, DOE/EIA-0226, May 2003 through April 2004, Table 4.11.A.  2002 and 2003 industrial natural</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</si>
  <si>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</si>
  <si>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</si>
  <si>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</si>
  <si>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</si>
  <si>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</si>
  <si>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</si>
  <si>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</si>
  <si>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</si>
  <si>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</si>
  <si>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</si>
  <si>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</si>
  <si>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Table E.  Price Ratios from PNNL Mini-CAM Model</t>
  </si>
  <si>
    <t xml:space="preserve"> Ratio 2050 to 2035 Price</t>
  </si>
  <si>
    <t xml:space="preserve"> Ratio 2065 to 2050 Price</t>
  </si>
  <si>
    <t>Extrapolated Ratio 2070 to 2065 Price</t>
  </si>
  <si>
    <t>Coal Delivered to Utilities</t>
  </si>
  <si>
    <t>Wellhead Gas</t>
  </si>
  <si>
    <t>Gas Delivered to Utilities</t>
  </si>
  <si>
    <t>Crude Oil Price</t>
  </si>
  <si>
    <t>Delivered Diesel</t>
  </si>
  <si>
    <t>Average Electricity</t>
  </si>
  <si>
    <t>Dry Biomass at Farmgate</t>
  </si>
  <si>
    <t>From MiniCAM</t>
  </si>
  <si>
    <t>In Units Consistent with EIA AEO</t>
  </si>
  <si>
    <t>From AEO</t>
  </si>
  <si>
    <t>$/English ton</t>
  </si>
  <si>
    <t>$/mcf</t>
  </si>
  <si>
    <t>$/bbl</t>
  </si>
  <si>
    <t>$/gallon</t>
  </si>
  <si>
    <t>c/kWh</t>
  </si>
  <si>
    <t>$/mmBtu</t>
  </si>
  <si>
    <t>Biomass delivered (assuming $10/English ton average delivery price)</t>
  </si>
  <si>
    <t>MMBtu/English ton</t>
  </si>
  <si>
    <t>CO2_capture_efficiency</t>
  </si>
  <si>
    <t>CO2_Nwells</t>
  </si>
  <si>
    <t>CO2_location_factor</t>
  </si>
  <si>
    <t>Ratio 2035 to 2020 Price</t>
  </si>
  <si>
    <t>Extrapolated values (DMS 8/14/07 based on PNNL Mini-CAM Model</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</si>
  <si>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</si>
  <si>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</si>
  <si>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</si>
  <si>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</si>
  <si>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</si>
  <si>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Feedstock energy input (GJ)/kg H2</t>
  </si>
  <si>
    <t>Utility energy input (GJ/kg H2)</t>
  </si>
  <si>
    <t>Hydrogen energy output (GJ/kg)</t>
  </si>
  <si>
    <t>Byproduct energy output (GJ/kg H2)</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</si>
  <si>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</si>
  <si>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</si>
  <si>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</si>
  <si>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</si>
  <si>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</si>
  <si>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</si>
  <si>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</si>
  <si>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</si>
  <si>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</si>
  <si>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</si>
  <si>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</si>
  <si>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</si>
  <si>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</si>
  <si>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</si>
  <si>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</si>
  <si>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</si>
  <si>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</si>
  <si>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</si>
  <si>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</si>
  <si>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</si>
  <si>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</si>
  <si>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</si>
  <si>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</si>
  <si>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</si>
  <si>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</si>
  <si>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</si>
  <si>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</si>
  <si>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</si>
  <si>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</si>
  <si>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</si>
  <si>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</si>
  <si>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</si>
  <si>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</si>
  <si>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Total Fixed Operating Cost</t>
  </si>
  <si>
    <t>fixed</t>
  </si>
  <si>
    <t>HHV</t>
  </si>
  <si>
    <t>LHV</t>
  </si>
  <si>
    <t>Btu/scf</t>
  </si>
  <si>
    <t>Btu/short ton</t>
  </si>
  <si>
    <t>Btu/gallon</t>
  </si>
  <si>
    <t>GJ/kg</t>
  </si>
  <si>
    <t>km/mile</t>
  </si>
  <si>
    <t>L/gal</t>
  </si>
  <si>
    <t>(kWh/km)/MPG</t>
  </si>
  <si>
    <t>Nm3/scf</t>
  </si>
  <si>
    <t>kg/lb</t>
  </si>
  <si>
    <t>Nm3/ncf</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</si>
  <si>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</si>
  <si>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</si>
  <si>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</si>
  <si>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</si>
  <si>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</si>
  <si>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</si>
  <si>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</si>
  <si>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</si>
  <si>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</si>
  <si>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</si>
  <si>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</si>
  <si>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</si>
  <si>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</si>
  <si>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</si>
  <si>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Labor Requirement (FTE)</t>
  </si>
  <si>
    <t>transportation sector natural gas delivered prices are based on:  EIA, Natural Gas Annual 2004, DOE/EIA-0131(2004) (Washington, DC, December 2005) and estimated state taxes,</t>
  </si>
  <si>
    <t>Stotal_utilities</t>
  </si>
  <si>
    <t>Stotal_byproducts</t>
  </si>
  <si>
    <t>Export_Variable_List</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</si>
  <si>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</si>
  <si>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</si>
  <si>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</si>
  <si>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</si>
  <si>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</si>
  <si>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</si>
  <si>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</si>
  <si>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</si>
  <si>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</si>
  <si>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</si>
  <si>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</si>
  <si>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Source Data Year</t>
  </si>
  <si>
    <t>Reference year Conversion</t>
  </si>
  <si>
    <t>LHV (MJ/kg)</t>
  </si>
  <si>
    <t>Residential Natural Gas</t>
  </si>
  <si>
    <t>Bio Methane</t>
  </si>
  <si>
    <t>Commercial Electricity</t>
  </si>
  <si>
    <t>Residential Electricity</t>
  </si>
  <si>
    <t>TABLE B2 - Plant Cost Index</t>
  </si>
  <si>
    <t>TABLE B3 - Labor Index</t>
  </si>
  <si>
    <t>From Chemical Engineering Magazine                                              Averaged Annual Index</t>
  </si>
  <si>
    <t>TABLE B4 - SRI Chemical Price Index</t>
  </si>
  <si>
    <t xml:space="preserve">SRI Inorganic Price Index  (Index, 1982=100),                                                     Current Index at http://www.sriconsulting.com/CEH/ </t>
  </si>
  <si>
    <t>Display Units</t>
  </si>
  <si>
    <t>Use Category</t>
  </si>
  <si>
    <t>HHV (MJ/kg)</t>
  </si>
  <si>
    <t>Price_Table_in_Use</t>
  </si>
  <si>
    <t>Energy_Feed_List</t>
  </si>
  <si>
    <t>Energy_Feed_Years</t>
  </si>
  <si>
    <t>Select the Use</t>
  </si>
  <si>
    <t>Select the Feed Type</t>
  </si>
  <si>
    <t>Industrial Electricity</t>
  </si>
  <si>
    <t>see Energy Feed Tab</t>
  </si>
  <si>
    <t>$(2007)/GJ LHV</t>
  </si>
  <si>
    <t>$(2007)/GJ</t>
  </si>
  <si>
    <t>CO2 Emissions Factor (kg CO2 produced/GJ feed)</t>
  </si>
  <si>
    <t>H2A LHV (GJ/ H2A usage input unit)</t>
  </si>
  <si>
    <t>Energy Feedstock Conversions</t>
  </si>
  <si>
    <t>Usage unit</t>
  </si>
  <si>
    <t>Conversion from $/GJ</t>
  </si>
  <si>
    <t>gal</t>
  </si>
  <si>
    <t>LHV (GJ/usage unit)</t>
  </si>
  <si>
    <t>60 degrees F, 1 atm</t>
  </si>
  <si>
    <t>0 degrees C (32 F), 1 atm</t>
  </si>
  <si>
    <t>yes</t>
  </si>
  <si>
    <t>Site Preparation ($) (may change to construction costs)</t>
  </si>
  <si>
    <t>Up-Front Permitting Costs ($) (legal and contractors fees included here)</t>
  </si>
  <si>
    <t>To use a new feedstock, utility or byproduct, select the price table and product from the dropdown lists and enter the usage (or byproduct) amount. Click the "Add" button to add the product to the "In Use" list. Important; only materials on the "In Use" list will be used in H2A calculations. To delete materials from the list, click the "Delete" button below</t>
  </si>
  <si>
    <t xml:space="preserve">Energy feedstocks, utilities, and byproducts currently in use </t>
  </si>
  <si>
    <t>Metallurgical Coal</t>
  </si>
  <si>
    <t>Other Industrial Coal</t>
  </si>
  <si>
    <t>Scenario:</t>
  </si>
  <si>
    <t>stimulus</t>
  </si>
  <si>
    <t>d041409a</t>
  </si>
  <si>
    <t>with American Recovery and Reinvestment Act</t>
  </si>
  <si>
    <t xml:space="preserve">                      (2007 dollars per million Btu, unless otherwise noted)</t>
  </si>
  <si>
    <t xml:space="preserve">   Residual Fuel</t>
  </si>
  <si>
    <t xml:space="preserve">   Diesel Fuel (distillate fuel oil) 7/</t>
  </si>
  <si>
    <t>(billion 2007 dollars)</t>
  </si>
  <si>
    <t>Prices in Nominal Dollars</t>
  </si>
  <si>
    <t>(billion nominal dollars)</t>
  </si>
  <si>
    <t xml:space="preserve">   4/ E85 refers to a blend of 85 percent ethanol (renewable) and 15 percent motor gasoline (nonrenewable).  To address cold starting issues, the percentage of ethanol varies</t>
  </si>
  <si>
    <t>seasonally.  The annual average ethanol content of 74 percent is used for this forecast.</t>
  </si>
  <si>
    <t xml:space="preserve">   - - = Not applicable.</t>
  </si>
  <si>
    <t xml:space="preserve">   Note:  Data for 2006 and 2007 are model results and may differ slightly from official EIA data reports.</t>
  </si>
  <si>
    <t xml:space="preserve">   Sources:  2006 and 2007 prices for motor gasoline, distillate fuel oil, and jet fuel are based on prices in the Energy Information Administration (EIA), Petroleum Marketing Annual</t>
  </si>
  <si>
    <t>2007, DOE/EIA-0487(2007) (Washington, DC, August 2008).  2006 residential and commercial natural gas delivered prices:  EIA, Natural Gas Annual 2006, DOE/EIA-0131(2006)</t>
  </si>
  <si>
    <t>(Washington, DC, October, 2007).  2007 residential and commercial natural gas delivered prices:  EIA, Natural Gas Monthly, DOE/EIA-0130(2008/04) (Washington, DC, April 2008).</t>
  </si>
  <si>
    <t>2006 and 2007 industrial natural gas delivered prices are estimated based on:  EIA, Manufacturing Energy Consumption Survey 1994 and industrial and wellhead prices from the</t>
  </si>
  <si>
    <t>Natural Gas Annual 2006, DOE/EIA-0131(2006) (Washington, DC, October, 2007) and the Natural Gas Monthly, DOE/EIA-0130(2008/04) (Washington, DC, April 2008).  2006</t>
  </si>
  <si>
    <t>transportation sector natural gas delivered prices are based on:  EIA, Natural Gas Annual 2006, DOE/EIA-0131(2006) (Washington, DC, October, 2007) and estimated State taxes,</t>
  </si>
  <si>
    <t>Federal taxes, and dispensing costs or charges.  2007 transportation sector natural gas delivered prices are model results.  2006 and 2007 electric power sector natural gas prices:</t>
  </si>
  <si>
    <t>EIA, Electric Power Monthly, April 2007 and April 2008, Table 4.13.B.  2006 and 2007 coal prices based on:  EIA, Quarterly Coal Report, October-December 2007,</t>
  </si>
  <si>
    <t>DOE/EIA-0121(2007/4Q) (Washington, DC, March 2008) and EIA, AEO2009 National Energy Modeling System run nostimls.d041409a.  2006 and 2007 electricity prices:  EIA, Annual</t>
  </si>
  <si>
    <t>Energy Review 2007, DOE/EIA-0384(2007) (Washington, DC, June 2008).  2006 and 2007 E85 prices derived from monthly prices in the Clean Cities Alternative Fuel Price Report.</t>
  </si>
  <si>
    <t>Projections:  EIA, AEO2009 National Energy Modeling System run stimulus.d041409a.</t>
  </si>
  <si>
    <r>
      <t xml:space="preserve">Hydrogen Analysis Resource Center:  </t>
    </r>
    <r>
      <rPr>
        <b/>
        <i/>
        <sz val="12"/>
        <rFont val="Arial"/>
        <family val="2"/>
      </rPr>
      <t>Feedstock and Utility Assumptions</t>
    </r>
  </si>
  <si>
    <t>Feedstock and Utility Price Projections for 2001 - 2070 With EIA Units, Year 2005</t>
  </si>
  <si>
    <t>Natural Gas Prices (HHV Basis)</t>
  </si>
  <si>
    <t>Commercial Natural Gas Prices</t>
  </si>
  <si>
    <t>$(2005)/MMBtu</t>
  </si>
  <si>
    <t>Industrial Natural Gas Prices</t>
  </si>
  <si>
    <t>Electric Utility Natural Gas Prices</t>
  </si>
  <si>
    <t>Electricity Prices</t>
  </si>
  <si>
    <t>Coal Prices (HHV Basis)</t>
  </si>
  <si>
    <t>Transportation Fuels (HHV Basis)</t>
  </si>
  <si>
    <t>Distillate (Diesel) Fuel Oil for Transportation</t>
  </si>
  <si>
    <t>Motor Gasoline</t>
  </si>
  <si>
    <t>Biomass (HHV Basis)</t>
  </si>
  <si>
    <t>Biomass Prices (Dry Biomass Delivered)*</t>
  </si>
  <si>
    <t>Table 1 reflects values for base case feedstock and fuel values, based on the H2A analysis done for DOE's Hydrogen, Fuel Cells and Infrastructure Program.  Values from 2001 through 2025 were derived from EIA AEO 2004, and 2002 dollars are converted to 2005 dollars by multiplying the prices in 2002$/MMBtu by the GDP Implicit Price Deflator for 2005, divided by that for 2002 (from AEO 2004 Table A2; see table 2 below). For the period between 2025 and 2035, the 2025 values were extrapolated based on the ratio of the 2025 and 2015 values. For the period between 2035 and 2070, ratios in Table 2, derived from projections of a long-term model (MiniCAM) developed by Pacific Northwest National Laboratory were used to extrapolate the 2035 values (except for ethanol, methanol and biomass; see footnote).</t>
  </si>
  <si>
    <t>Ratio 2050 to 2035 Price</t>
  </si>
  <si>
    <t>Ratio 2065 to 2050 Price</t>
  </si>
  <si>
    <t>GDP Implicit Deflator Price Index [1]</t>
  </si>
  <si>
    <t>[2]</t>
  </si>
  <si>
    <t>Note:</t>
  </si>
  <si>
    <r>
      <t>[2] values in</t>
    </r>
    <r>
      <rPr>
        <i/>
        <sz val="10"/>
        <rFont val="Arial"/>
        <family val="2"/>
      </rPr>
      <t xml:space="preserve"> italics</t>
    </r>
    <r>
      <rPr>
        <sz val="10"/>
        <rFont val="Arial"/>
        <family val="2"/>
      </rPr>
      <t xml:space="preserve"> are projections</t>
    </r>
  </si>
  <si>
    <t>[1] Available from Short Term Energy Outlook, Table A.2 at http://www.eia.doe.gov/emeu/steo/pub/a2tab.html</t>
  </si>
  <si>
    <t>Biomass HHV (kJ/kg)</t>
  </si>
  <si>
    <t>Biomass LHV (kJ/kg)</t>
  </si>
  <si>
    <t>Biomass conversion $/dry English ton to $/mmBtu HHV</t>
  </si>
  <si>
    <t>Conversion factor</t>
  </si>
  <si>
    <t>$/mmBtu HHV</t>
  </si>
  <si>
    <t>Biomass delivery (assuming $10/English ton average delivery price)</t>
  </si>
  <si>
    <t>Biomass delivered $/mmBtu HHV</t>
  </si>
  <si>
    <t>Except as noted,values are extrapolated based on PNNL mini-CAM model (see AEO Data tab)</t>
  </si>
  <si>
    <t>Enter current year for capital costs</t>
  </si>
  <si>
    <t>Report</t>
  </si>
  <si>
    <t>Annual Energy Outlook 2010</t>
  </si>
  <si>
    <t>Scenario</t>
  </si>
  <si>
    <t>aeo2010r</t>
  </si>
  <si>
    <t>Reference case</t>
  </si>
  <si>
    <t>Datekey</t>
  </si>
  <si>
    <t>d111809a</t>
  </si>
  <si>
    <t>Release Date</t>
  </si>
  <si>
    <t xml:space="preserve"> December 2009</t>
  </si>
  <si>
    <t>aeo2010r.d111809a</t>
  </si>
  <si>
    <t>Table 3.  Energy Prices by Sector and Source</t>
  </si>
  <si>
    <t>(2008 dollars per million Btu, unless otherwise noted)</t>
  </si>
  <si>
    <t>2008-</t>
  </si>
  <si>
    <t xml:space="preserve"> Sector and Source</t>
  </si>
  <si>
    <t>- -</t>
  </si>
  <si>
    <t>(billion 2008 dollars)</t>
  </si>
  <si>
    <t xml:space="preserve">   4/ E85 refers to a blend of 85 percent ethanol (renewable) and 15 percent motor gasoline (nonrenewable).  To address cold starting issues,</t>
  </si>
  <si>
    <t>the percentage of ethanol varies seasonally.  The annual average ethanol content of 74 percent is used for this forecast.</t>
  </si>
  <si>
    <t xml:space="preserve">   Note:  Data for 2007 and 2008 are model results and may differ slightly from official EIA data reports.</t>
  </si>
  <si>
    <t xml:space="preserve">   Sources:  2007 and 2008 prices for motor gasoline, distillate fuel oil, and jet fuel are based on prices in the Energy Information Administration (EIA), Petroleum Marketing Annual</t>
  </si>
  <si>
    <t>2008, DOE/EIA-0487(2008) (Washington, DC, August 2009).  2007 residential and commercial natural gas delivered prices:  EIA,</t>
  </si>
  <si>
    <t>Natural Gas Annual 2007, DOE/EIA-0131(2007) (Washington, DC, January, 2009).  2008 residential and commercial natural gas</t>
  </si>
  <si>
    <t>delivered prices:  EIA, Natural Gas Monthly, DOE/EIA-0130(2009/07) (Washington, DC, July 2009).  2007 and 2008</t>
  </si>
  <si>
    <t>industrial natural gas delivered prices are estimated based on:  EIA, Manufacturing Energy Consumption Survey and</t>
  </si>
  <si>
    <t>industrial and wellhead prices from the Natural Gas Annual 2007, DOE/EIA-0131(2007) (Washington, DC, January, 2009) and the</t>
  </si>
  <si>
    <t>Natural Gas Monthly, DOE/EIA-0130(2009/07) (Washington, DC, July 2009).  2007 transportation sector natural gas delivered prices are based on:  EIA, Natural Gas Annual</t>
  </si>
  <si>
    <t>2007, DOE/EIA-0131(2007) (Washington, DC, January, 2009) and estimated State taxes, Federal taxes, and dispensing costs or charges.</t>
  </si>
  <si>
    <t>2008 transportation sector natural gas delivered prices are model results. 2007 and 2008 electric power sector natural gas prices:  EIA, Electric Power Monthly,</t>
  </si>
  <si>
    <t>April 2008 and April 2009, Table 4.13.B.  2007 and 2008 coal prices based on:  EIA, Quarterly Coal Report,</t>
  </si>
  <si>
    <t>October-December 2008, DOE/EIA-0121(2008/4Q) (Washington, DC, March 2009) and EIA, AEO2010 National Energy Modeling System run aeo2010r.d111809a.</t>
  </si>
  <si>
    <t>2007 and 2008 electricity prices:  EIA, Annual Energy Review 2008, DOE/EIA-0384(2008) (Washington, DC, June 2009).</t>
  </si>
  <si>
    <t>2007 and 2008 E85 prices derived from monthly prices in the Clean Cities Alternative Price Report.</t>
  </si>
  <si>
    <t>Projections:  EIA, AEO2010 National Energy Modeling System run aeo2010r.d111809a.</t>
  </si>
  <si>
    <t>Report #:DOE/EIA-0383(2009)</t>
  </si>
  <si>
    <t>Release date: March 2009</t>
  </si>
  <si>
    <t>Next release date, early release: November 2009</t>
  </si>
  <si>
    <t>2007-</t>
  </si>
  <si>
    <t>DOE/EIA-0121(2007/4Q) (Washington, DC, March 2008) and EIA, AEO2009 National Energy Modeling System run aeo2009.d120908a.  2006 and 2007 electricity prices:  EIA, Annual</t>
  </si>
  <si>
    <t>Projections:  EIA, AEO2009 National Energy Modeling System run hp2009.d121108a.</t>
  </si>
  <si>
    <t>AEO 2009 High price case</t>
  </si>
  <si>
    <t>Price_Tables</t>
  </si>
  <si>
    <t>Woody Biomass B2A</t>
  </si>
  <si>
    <t>Other Variable operating costs (for the first year)</t>
  </si>
  <si>
    <t>Electrical Costs (annual cost)</t>
  </si>
  <si>
    <t>O&amp;M (annual cost)</t>
  </si>
  <si>
    <r>
      <t>Summary of Output Values</t>
    </r>
    <r>
      <rPr>
        <b/>
        <sz val="10"/>
        <color indexed="23"/>
        <rFont val="Arial"/>
        <family val="2"/>
      </rPr>
      <t xml:space="preserve"> 
(CO2 Seq. costs are reported on Results Tab as part of total H2 Production cost)</t>
    </r>
  </si>
  <si>
    <t>The Chemical Engineering Plant Cost Index (CEPCI) is used to adjust the capital cost of the H2 Production facility from the basis year to the current year.</t>
  </si>
  <si>
    <t>The Consumer Price Inflator (CPI) is used to deflate all dollars from the current year to the Reference Year.</t>
  </si>
  <si>
    <t>Compressed Inert Gas</t>
  </si>
  <si>
    <t>Reference Year Conversion - Chemical price indexes are used to update costs to reference year dollars</t>
  </si>
  <si>
    <t>Woody Biomass MYPP</t>
  </si>
  <si>
    <t>Skip</t>
  </si>
  <si>
    <t>Property tax and insurance</t>
  </si>
  <si>
    <t>Design Plant Hydrogen Production (kg/day)</t>
  </si>
  <si>
    <t>Capital costs for the design plant (baseline) are entered on this sheet. Use the Plant Scaling sheet to set scaling parameters for scaling up or down in size from the baseline plant. Enter the output kg/day for the plant you wish to analyze on the Input Sheet</t>
  </si>
  <si>
    <t>Design capacity for original H2A case.  Imported from capital cost sheet</t>
  </si>
  <si>
    <t>None</t>
  </si>
  <si>
    <t>Standard fossil energy sources</t>
  </si>
  <si>
    <t>Mid USA</t>
  </si>
  <si>
    <t>H2A Version 2.1 updates</t>
  </si>
  <si>
    <t>Biomass Multi-Year Program Plan April 2011, Table B-4. LHV from Table B-7 (8,000 Btu/lb). Prices starting in 2010 $82.70, 2011 $71.60, 2012, $61.57, 2013; $68.97</t>
  </si>
  <si>
    <t>feedstock</t>
  </si>
  <si>
    <t>Cost in Startup Year</t>
  </si>
  <si>
    <t>feedstock Industrial Natural Gas Usage</t>
  </si>
  <si>
    <t>feedstockIndustrial_Natural_Gas_Usage</t>
  </si>
  <si>
    <t>Scaling_validation</t>
  </si>
  <si>
    <t>Use Baseline Value</t>
  </si>
  <si>
    <t>IPCC Fourth Assessment Report: Climate Change 2007 (http://www.ipcc.ch/publications_and_data/ar4/wg1/en/ch2s2-10-2.html) Table 2.14 100-year potential</t>
  </si>
  <si>
    <t>Basis year</t>
  </si>
  <si>
    <t>Basis year for capital costs</t>
  </si>
  <si>
    <t>Click to enter details on the Carbon Sequestration calculation sheet.</t>
  </si>
  <si>
    <t>Combined Plant Scaling and Escalation Factor</t>
  </si>
  <si>
    <t>Scaling factor exponent used for scaling all capital equipment where an individual factor has not been entered below.</t>
  </si>
  <si>
    <t>Scale Factor</t>
  </si>
  <si>
    <t>Installed Cost (scaled)</t>
  </si>
  <si>
    <t>Ratio of total scaled installed capital capital cost to total baseline installed capital costs.  Used for exponential scaling.</t>
  </si>
  <si>
    <t>Plant Scaling Factors</t>
  </si>
  <si>
    <t>scf</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</si>
  <si>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</si>
  <si>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</si>
  <si>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</si>
  <si>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</si>
  <si>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</si>
  <si>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</si>
  <si>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</si>
  <si>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</si>
  <si>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</si>
  <si>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Release date full report: January 2005</t>
  </si>
  <si>
    <t xml:space="preserve">Projections Vary in Cases With Different Oil Price Assumptions  </t>
  </si>
  <si>
    <t>Total Non Energy Utility and Material Costs ($/year)</t>
  </si>
  <si>
    <t>AEO 2007 Report #: DOE/EIA-0383(2007)</t>
  </si>
  <si>
    <t>mmBtu</t>
  </si>
  <si>
    <t>Energy Information Administration Annual Energy Outlook.  See AEO Data sheet for original data</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</si>
  <si>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</si>
  <si>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</si>
  <si>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</si>
  <si>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</si>
  <si>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</si>
  <si>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</si>
  <si>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</si>
  <si>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</si>
  <si>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</si>
  <si>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</si>
  <si>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</si>
  <si>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</si>
  <si>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</si>
  <si>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</si>
  <si>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</si>
  <si>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</si>
  <si>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</si>
  <si>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</si>
  <si>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</si>
  <si>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</si>
  <si>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</si>
  <si>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</si>
  <si>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</si>
  <si>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</si>
  <si>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</si>
  <si>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</si>
  <si>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</si>
  <si>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</si>
  <si>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</si>
  <si>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</si>
  <si>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</si>
  <si>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</si>
  <si>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</si>
  <si>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</si>
  <si>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</si>
  <si>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</si>
  <si>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</si>
  <si>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</si>
  <si>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</si>
  <si>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</si>
  <si>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</si>
  <si>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</si>
  <si>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</si>
  <si>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</si>
  <si>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E85 Ethanol</t>
  </si>
  <si>
    <t>Retail Diesel_metric</t>
  </si>
  <si>
    <t>Retail Diesel</t>
  </si>
  <si>
    <t>Retail Gasoline</t>
  </si>
  <si>
    <t>Retail Gasoline_metric</t>
  </si>
  <si>
    <t>ncf</t>
  </si>
  <si>
    <t>Production (/kg H2)</t>
  </si>
  <si>
    <t>Unit</t>
  </si>
  <si>
    <t>Energy Input (kWh/kg H2)</t>
  </si>
  <si>
    <t>Energy Data</t>
  </si>
  <si>
    <t>Byproducts</t>
  </si>
  <si>
    <t xml:space="preserve">http://hydrogen.pnl.gov/filedownloads/hydrogen/datasheets/hydrogen_production_capacity_by_state.xls
</t>
  </si>
  <si>
    <t xml:space="preserve">http://www.chemicals-technology.com/projects/air-products-plant/
</t>
  </si>
  <si>
    <t>Energy Input (GJ/kg H2)</t>
  </si>
  <si>
    <t>Energy Output (GJ/kg H2)</t>
  </si>
  <si>
    <t>Hydrogen (1 kg)</t>
  </si>
  <si>
    <t>federal taxes, and dispensing costs or charges.  2005 transportation sector natural gas delivered prices are model results.  2004 and 2005 electric power sector natural gas prices:</t>
  </si>
  <si>
    <t>EIA, Electric Power Monthly, May 2005 through April 2006, Table 4.11.A.  2004 and 2005 coal prices based on:  EIA, Quarterly Coal Report, October-December 2005, DOE/EIA-0121</t>
  </si>
  <si>
    <t>Commercial Electricity_metric</t>
  </si>
  <si>
    <t>Other Material Costs ($/year)</t>
  </si>
  <si>
    <t>Industrial Electricity_metric</t>
  </si>
  <si>
    <t>Unit System</t>
  </si>
  <si>
    <t>Metric</t>
  </si>
  <si>
    <t>LHV (GJ or mmBtu/usage unit)</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</si>
  <si>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</si>
  <si>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</si>
  <si>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</si>
  <si>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</si>
  <si>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</si>
  <si>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</si>
  <si>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</si>
  <si>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</si>
  <si>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</si>
  <si>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</si>
  <si>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</si>
  <si>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</si>
  <si>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</si>
  <si>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</si>
  <si>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</si>
  <si>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</si>
  <si>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</si>
  <si>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Capital Cost</t>
  </si>
  <si>
    <t>Variable Operating Costs - Other Materials and Byproducts</t>
  </si>
  <si>
    <t>Variable Operating Costs - Other Variable Operating Costs</t>
  </si>
  <si>
    <t>CO2 Produced from Feedstock (kg CO2/kg H2)</t>
  </si>
  <si>
    <t>CO2 Produced from Feedstock (metric tons CO2/year)</t>
  </si>
  <si>
    <t>Process Carbon Tax ($/year)</t>
  </si>
  <si>
    <t>Process Carbon Tax ($/metric ton carbon produced as CO2)</t>
  </si>
  <si>
    <t>Upstream Carbon Tax ($/metric ton upstream GHG CO2 eq)</t>
  </si>
  <si>
    <t>Upstream Carbon Tax ($/year)</t>
  </si>
  <si>
    <t>CO2 sequestration O&amp;M costs and credits ($/year)</t>
  </si>
  <si>
    <t>CO2 capture credit ($/metric ton CO2 captured)</t>
  </si>
  <si>
    <t>CO2_credit</t>
  </si>
  <si>
    <t>CO2 Capture Credit</t>
  </si>
  <si>
    <t>Proc_CO2_tax</t>
  </si>
  <si>
    <t>Upstream_CO2_tax</t>
  </si>
  <si>
    <t>Butanol</t>
  </si>
  <si>
    <t>Acetone</t>
  </si>
  <si>
    <t>Renewable Diesel I (SuperCetane)</t>
  </si>
  <si>
    <t>Renewable Diesel II (UOP-HDO)</t>
  </si>
  <si>
    <t>Renewable Gasoline</t>
  </si>
  <si>
    <t>Sugar cane bagasse</t>
  </si>
  <si>
    <t>Petroleum coke</t>
  </si>
  <si>
    <t>GREET Transportation Fuel Cycle Analysis Model, GREET 1.8b, developed by Argonne National Laboratory, Argonne, IL, released May 8, 2008. http://www.transportation.anl.gov/software/GREET/index.html</t>
  </si>
  <si>
    <t>total_cap</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</si>
  <si>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</si>
  <si>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</si>
  <si>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</si>
  <si>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</si>
  <si>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</si>
  <si>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</si>
  <si>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</si>
  <si>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</si>
  <si>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</si>
  <si>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</si>
  <si>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</si>
  <si>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</si>
  <si>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</si>
  <si>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</si>
  <si>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</si>
  <si>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</si>
  <si>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</si>
  <si>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</si>
  <si>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</si>
  <si>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</si>
  <si>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</si>
  <si>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Labor cost, $/year</t>
  </si>
  <si>
    <t>Total Fixed Operating Costs</t>
  </si>
  <si>
    <t>Carbon Capture Efficiency (%)</t>
  </si>
  <si>
    <t>Carbon Sequestration Electricity Usage (kWh/kg H2)</t>
  </si>
  <si>
    <t>CO2 sequestration capital costs ($/year)</t>
  </si>
  <si>
    <t>Energy Output (kWh/kg H2)</t>
  </si>
  <si>
    <t>Carbon Sequestration Electricity Usage</t>
  </si>
  <si>
    <t>H2A Carbon Sequestration Total Direct Capital Cost</t>
  </si>
  <si>
    <t>Feedstock Costs</t>
  </si>
  <si>
    <t>Use_Default</t>
  </si>
  <si>
    <t>Use H2A Value</t>
  </si>
  <si>
    <t>Enter Value</t>
  </si>
  <si>
    <t>Nm3</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</si>
  <si>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</si>
  <si>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</si>
  <si>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</si>
  <si>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</si>
  <si>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</si>
  <si>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</si>
  <si>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</si>
  <si>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</si>
  <si>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</si>
  <si>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</si>
  <si>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</si>
  <si>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</si>
  <si>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</si>
  <si>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FTEs</t>
  </si>
  <si>
    <t>FTE_cost</t>
  </si>
  <si>
    <t>material</t>
  </si>
  <si>
    <t>ref_year</t>
  </si>
  <si>
    <t>Reference year</t>
  </si>
  <si>
    <t>Replacement Costs</t>
  </si>
  <si>
    <t>NOTE: All replacement costs are assumed to be equity financed.</t>
  </si>
  <si>
    <t>Unplanned Yearly Replacement Capital (Depreciable)</t>
  </si>
  <si>
    <t>Comments</t>
  </si>
  <si>
    <t>Source</t>
  </si>
  <si>
    <t>Information</t>
  </si>
  <si>
    <t xml:space="preserve">Enter a fixed percentage.  This input is meant to include, in the Cash Flow Analysis, a factor for unplanned capital expenditures.  </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</si>
  <si>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</si>
  <si>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</si>
  <si>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</si>
  <si>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</si>
  <si>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</si>
  <si>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</si>
  <si>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</si>
  <si>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</si>
  <si>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</si>
  <si>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</si>
  <si>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</si>
  <si>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</si>
  <si>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</si>
  <si>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</si>
  <si>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</si>
  <si>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Units</t>
  </si>
  <si>
    <t>Other Inputs and Byproducts</t>
  </si>
  <si>
    <t>Select the Material</t>
  </si>
  <si>
    <t>Feed</t>
  </si>
  <si>
    <t>START_NONE_TOP</t>
  </si>
  <si>
    <t>START_NONE_FEED</t>
  </si>
  <si>
    <t>START_NONE_BYPROD</t>
  </si>
  <si>
    <t>List</t>
  </si>
  <si>
    <t>Feed_Type_List</t>
  </si>
  <si>
    <t>Feed Utility</t>
  </si>
  <si>
    <t>Total Process Emissions (metric tons/year)</t>
  </si>
  <si>
    <t>Baseline Installed Costs</t>
  </si>
  <si>
    <t>Use Scale Ratio</t>
  </si>
  <si>
    <t>Use Scale Factor</t>
  </si>
  <si>
    <t>Installed Cost (baseline)</t>
  </si>
  <si>
    <t>Default Scaling Factor Exponent</t>
  </si>
  <si>
    <t>CO2_OandMCost</t>
  </si>
  <si>
    <t>Scaling_Method_Defaults</t>
  </si>
  <si>
    <t>Table of Contents</t>
  </si>
  <si>
    <t>Upstream Energy Usage</t>
  </si>
  <si>
    <t>Production Process GHG Emissions</t>
  </si>
  <si>
    <t>Upstream GHG Emissions</t>
  </si>
  <si>
    <t>Feed Utility Byprod</t>
  </si>
  <si>
    <t>Feed or utility</t>
  </si>
  <si>
    <t>mmBTU</t>
  </si>
  <si>
    <t>GJ</t>
  </si>
  <si>
    <t>Total Yearly Replacement Costs</t>
  </si>
  <si>
    <t>Uninstalled costs</t>
  </si>
  <si>
    <t>Installation factor</t>
  </si>
  <si>
    <t>Comments:</t>
  </si>
  <si>
    <t>Data source:</t>
  </si>
  <si>
    <t>Inflated to Start-up Year</t>
  </si>
  <si>
    <t>Woody Biomass</t>
  </si>
  <si>
    <t>N/A</t>
  </si>
  <si>
    <t>TABLE A - Energy Feedstock and Utility Properties Table</t>
  </si>
  <si>
    <t>Year</t>
  </si>
  <si>
    <t>Commercial Natural Gas</t>
  </si>
  <si>
    <t>Electric Utility Natural Gas</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</si>
  <si>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</si>
  <si>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</si>
  <si>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</si>
  <si>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</si>
  <si>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</si>
  <si>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</si>
  <si>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</si>
  <si>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</si>
  <si>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Lang Factor</t>
  </si>
  <si>
    <t>Approx. Uninstalled Equipment Cost</t>
  </si>
  <si>
    <t>Property tax and insurance rate (% of total capital investment per year)</t>
  </si>
  <si>
    <t>Costs must be entered in basis year dollars</t>
  </si>
  <si>
    <t xml:space="preserve">Notes </t>
  </si>
  <si>
    <t>GDP Implicit Price Deflator (Index, 2005=100), Available from Federal Reserve Bank of St. Louis (FRED): http://research.stlouisfed.org/fred2/series/GDPDEF/</t>
  </si>
  <si>
    <t>From the Bureau of Labor Statistics, Average Hourly Earnings of Chemical Manufacturing Workers (Production and Nonsupervisory Employees)  From series CEU3232500008</t>
  </si>
  <si>
    <t>Source: http://data.bls.gov/timeseries/CEU3232500008?data_tool=Xgtable</t>
  </si>
  <si>
    <t>Table C1 2010 Upstream Energy and Emissions for H2 Feedstocks: for each MJ (LHV, or as noted) of feedstock available at H2 production site.  Source: GREET1_2013, 01/20/2014 for year 2010 technologies</t>
  </si>
  <si>
    <t>84 wt% ethanol from corn and 16 wt% gasoline</t>
  </si>
  <si>
    <t>AEO_2013_Reference_Case</t>
  </si>
  <si>
    <t>AEO_2013_High_Price_Case</t>
  </si>
  <si>
    <t>AEO_2014_Reference_Case</t>
  </si>
  <si>
    <t>AEO 2013 Reference Case Values:</t>
  </si>
  <si>
    <t>2011 $/MMBtu</t>
  </si>
  <si>
    <t>Pyrolysis Oil</t>
  </si>
  <si>
    <t>Ethanol (E85)</t>
  </si>
  <si>
    <t>AEO 2013 High Oil Price Case Values (except for BioMethane and Woody Biomass):</t>
  </si>
  <si>
    <t>2012 $/MMBtu</t>
  </si>
  <si>
    <r>
      <t xml:space="preserve">Hydrogen Analysis Resource Center:  </t>
    </r>
    <r>
      <rPr>
        <b/>
        <i/>
        <sz val="12"/>
        <rFont val="Arial"/>
        <family val="2"/>
      </rPr>
      <t>Price Ratios from PNNL GCAM Model</t>
    </r>
  </si>
  <si>
    <t>From GCAM</t>
  </si>
  <si>
    <t>Ratio 2070 to 2065 Price</t>
  </si>
  <si>
    <t>AEO_2009_Reference_Case</t>
  </si>
  <si>
    <t xml:space="preserve">Discounted Values </t>
  </si>
  <si>
    <t>H2 sales (kg/year)</t>
  </si>
  <si>
    <t>Target after-tax nominal IRR</t>
  </si>
  <si>
    <t>Discounted values</t>
  </si>
  <si>
    <t>LCOE cost contribution factors</t>
  </si>
  <si>
    <t>Depr</t>
  </si>
  <si>
    <t>Principal</t>
  </si>
  <si>
    <t>Op costs</t>
  </si>
  <si>
    <t>H2 sales (kg)</t>
  </si>
  <si>
    <t>Cash from Working Capital Reserve</t>
  </si>
  <si>
    <t>Actual Year
(beginning of year)</t>
  </si>
  <si>
    <t>Tax Credit</t>
  </si>
  <si>
    <t>Tax incentives</t>
  </si>
  <si>
    <t>Tax coefficient</t>
  </si>
  <si>
    <t>Feedstock Cost</t>
  </si>
  <si>
    <t>Revenue from Hydrogen Sales</t>
  </si>
  <si>
    <t>Revenue from Byproduct Sales</t>
  </si>
  <si>
    <t>Nominal</t>
  </si>
  <si>
    <t>Parameter</t>
  </si>
  <si>
    <t>Case</t>
  </si>
  <si>
    <t>Taxes</t>
  </si>
  <si>
    <t>Price-decreasing factor</t>
  </si>
  <si>
    <t>Price-increasing factor</t>
  </si>
  <si>
    <t>Price-decreasing value</t>
  </si>
  <si>
    <t>Price-increasing value</t>
  </si>
  <si>
    <t>Importance ranking</t>
  </si>
  <si>
    <t>parameter</t>
  </si>
  <si>
    <t>level</t>
  </si>
  <si>
    <t>Chart titles</t>
  </si>
  <si>
    <t>Visualization data formatting</t>
  </si>
  <si>
    <t>Rank</t>
  </si>
  <si>
    <t>Standard Toranado</t>
  </si>
  <si>
    <t>dL0</t>
  </si>
  <si>
    <t>dL1</t>
  </si>
  <si>
    <t>dL2</t>
  </si>
  <si>
    <t>Displayed case</t>
  </si>
  <si>
    <t>Low cost price</t>
  </si>
  <si>
    <t>Default price</t>
  </si>
  <si>
    <t>High price</t>
  </si>
  <si>
    <t>Unsorted titles</t>
  </si>
  <si>
    <t>Titles</t>
  </si>
  <si>
    <t>AEO 2014 Reference Case Values:</t>
  </si>
  <si>
    <t>Results spread ($/kg)</t>
  </si>
  <si>
    <t>Simple bar chart</t>
  </si>
  <si>
    <t>Parado chart</t>
  </si>
  <si>
    <t>Expenses</t>
  </si>
  <si>
    <t>Revenues</t>
  </si>
  <si>
    <t>Title</t>
  </si>
  <si>
    <t>Unsorted</t>
  </si>
  <si>
    <t>Unsorted Ranking</t>
  </si>
  <si>
    <t>Sorted ranking</t>
  </si>
  <si>
    <t>Sorted titles</t>
  </si>
  <si>
    <t>Sorted values</t>
  </si>
  <si>
    <t>Unsorted values</t>
  </si>
  <si>
    <t>Cash for Working Capital Reserve</t>
  </si>
  <si>
    <t>Closed form formulas for calculating price of hydrogen.</t>
  </si>
  <si>
    <t>Expenses $/kg H2</t>
  </si>
  <si>
    <t>Revenues $/kg H2</t>
  </si>
  <si>
    <t>Operating Capacity Factor</t>
  </si>
  <si>
    <t>After-tax Real IRR</t>
  </si>
  <si>
    <t>Cash Flow NPV (Error if not 0)</t>
  </si>
  <si>
    <t>Cost of Hydrogen</t>
  </si>
  <si>
    <t>Base case</t>
  </si>
  <si>
    <t>Hydrogen Sales</t>
  </si>
  <si>
    <t>Byproduct Sales</t>
  </si>
  <si>
    <t>Waterfall Chart Priority</t>
  </si>
  <si>
    <t>Waterfall Chart</t>
  </si>
  <si>
    <t>Baseline</t>
  </si>
  <si>
    <t>Feedstock Consumption (% of baseline)</t>
  </si>
  <si>
    <t>Utilities Consumption (% of baseline)</t>
  </si>
  <si>
    <t>Tables to calculate equivalent price in startup year</t>
  </si>
  <si>
    <t>Cost per kg H2</t>
  </si>
  <si>
    <t>Discounted value</t>
  </si>
  <si>
    <t>Levelized and escalated cost in startup year</t>
  </si>
  <si>
    <t>Adjusted</t>
  </si>
  <si>
    <t>Real levelized cost</t>
  </si>
  <si>
    <t>Base</t>
  </si>
  <si>
    <t>Increase</t>
  </si>
  <si>
    <t>Values</t>
  </si>
  <si>
    <t>Decrease</t>
  </si>
  <si>
    <t>Revenues
 $/kg H2</t>
  </si>
  <si>
    <t>Expenses
 $/kg H2</t>
  </si>
  <si>
    <t>Grayed Titles</t>
  </si>
  <si>
    <t>Colored titles</t>
  </si>
  <si>
    <t>Enter deviation % for lowering H2 cost</t>
  </si>
  <si>
    <t>Enter deviation % for increasing H2 cost</t>
  </si>
  <si>
    <t>Base date: December 1984 for the Producer price index - chemical mfg (adjusted to 1982 base)</t>
  </si>
  <si>
    <t>Value added to match other central cases.
Use this value for all central cases</t>
  </si>
  <si>
    <t>Nth</t>
  </si>
  <si>
    <t>CO2 Pump Costs</t>
  </si>
  <si>
    <t>Adjustment factor (Natural Gas Pipeline -&gt; CO2 Pipeline)</t>
  </si>
  <si>
    <t>Pipeline Control System</t>
  </si>
  <si>
    <t>CO2 Other Equipment Costs</t>
  </si>
  <si>
    <t>CO2 Surge Tank</t>
  </si>
  <si>
    <t>Operation and maintenance factor for equipment (pumps, etc.)</t>
  </si>
  <si>
    <t>Inlet Pressure</t>
  </si>
  <si>
    <t>Outlet Pressure</t>
  </si>
  <si>
    <t>psia</t>
  </si>
  <si>
    <t>Pump Power</t>
  </si>
  <si>
    <t>Pump Efficiency</t>
  </si>
  <si>
    <t>Number of Pumps (H2 Production Site + Booster Pumps)</t>
  </si>
  <si>
    <t>Electricity Costs</t>
  </si>
  <si>
    <t>$/yr (start-up year electricity cost)</t>
  </si>
  <si>
    <t>Ecomp = elec cost*Wcomp*(capacity factor*24*365)*n_pumps</t>
  </si>
  <si>
    <t>Carbon Transport Calculations</t>
  </si>
  <si>
    <t>Pipeline Temperature (°F)</t>
  </si>
  <si>
    <t>CO2 Density (kg/m3)</t>
  </si>
  <si>
    <r>
      <t>PR Equation of state:  ρ</t>
    </r>
    <r>
      <rPr>
        <vertAlign val="subscript"/>
        <sz val="10"/>
        <color theme="1"/>
        <rFont val="Calibri"/>
        <family val="2"/>
      </rPr>
      <t>CO2</t>
    </r>
    <r>
      <rPr>
        <sz val="10"/>
        <color theme="1"/>
        <rFont val="Calibri"/>
        <family val="2"/>
      </rPr>
      <t xml:space="preserve"> = denPRCO2(v</t>
    </r>
    <r>
      <rPr>
        <vertAlign val="subscript"/>
        <sz val="10"/>
        <color theme="1"/>
        <rFont val="Calibri"/>
        <family val="2"/>
      </rPr>
      <t>CO2-init</t>
    </r>
    <r>
      <rPr>
        <sz val="10"/>
        <color theme="1"/>
        <rFont val="Calibri"/>
        <family val="2"/>
      </rPr>
      <t>, P</t>
    </r>
    <r>
      <rPr>
        <vertAlign val="subscript"/>
        <sz val="10"/>
        <color theme="1"/>
        <rFont val="Calibri"/>
        <family val="2"/>
      </rPr>
      <t>ave</t>
    </r>
    <r>
      <rPr>
        <sz val="10"/>
        <color theme="1"/>
        <rFont val="Calibri"/>
        <family val="2"/>
      </rPr>
      <t>, T</t>
    </r>
    <r>
      <rPr>
        <vertAlign val="subscript"/>
        <sz val="10"/>
        <color theme="1"/>
        <rFont val="Calibri"/>
        <family val="2"/>
      </rPr>
      <t>Pipeline</t>
    </r>
    <r>
      <rPr>
        <sz val="10"/>
        <color theme="1"/>
        <rFont val="Calibri"/>
        <family val="2"/>
      </rPr>
      <t>)</t>
    </r>
  </si>
  <si>
    <t>Regional Evaluation</t>
  </si>
  <si>
    <t>Site Characterization</t>
  </si>
  <si>
    <t xml:space="preserve">Operations </t>
  </si>
  <si>
    <t>Post Injection Site Care &amp; Site Closure</t>
  </si>
  <si>
    <t>Carbon Storage (Saline) Calculations</t>
  </si>
  <si>
    <t>Expense Costs by Stage</t>
  </si>
  <si>
    <t>5/15/17:  Same information as BLS data for Chemical Mfg:  https://data.bls.gov/pdq/SurveyOutputServlet</t>
  </si>
  <si>
    <t>CEPC Inflation Adj: 2008-&gt;2005</t>
  </si>
  <si>
    <t>CO2 Pumps</t>
  </si>
  <si>
    <t>CO2 Storage Cost Breakdown (2007 USD)</t>
  </si>
  <si>
    <t xml:space="preserve">Capital Costs </t>
  </si>
  <si>
    <t>CO2 Other Equipment</t>
  </si>
  <si>
    <t>CO2 Storage</t>
  </si>
  <si>
    <t>CO2 Storage (annualized)</t>
  </si>
  <si>
    <t>Carbon Sequestration Energy Charge ($/tonne CO2)</t>
  </si>
  <si>
    <t>Carbon Sequestration O&amp;M Charge ($/tonne CO2)</t>
  </si>
  <si>
    <t>Approx Carbon Seq. Cap. Charge ($/tonne CO2)</t>
  </si>
  <si>
    <t>Inlet pressure for CO2 transport (pump suction pressure)</t>
  </si>
  <si>
    <t>Pipeline length (miles)</t>
  </si>
  <si>
    <t>Pipeline Elevation Change (ft)</t>
  </si>
  <si>
    <t>Process Design Parameters</t>
  </si>
  <si>
    <t>Process Conditions</t>
  </si>
  <si>
    <t>Other Considerations</t>
  </si>
  <si>
    <t>Finance Parameters</t>
  </si>
  <si>
    <t>Notes / References</t>
  </si>
  <si>
    <t>Ground temperature</t>
  </si>
  <si>
    <t>Pipeline Nominal Diameter (in)</t>
  </si>
  <si>
    <t>CO2_Pump_Eff</t>
  </si>
  <si>
    <t>CO2_ControlSystem</t>
  </si>
  <si>
    <t>CO2_SurgeTank</t>
  </si>
  <si>
    <t>CO2_PipeElevation</t>
  </si>
  <si>
    <t>CO2_Pipeline_Temp</t>
  </si>
  <si>
    <t>Ongoing Capital Expences</t>
  </si>
  <si>
    <t>Material Capital</t>
  </si>
  <si>
    <t>Electricity consumption</t>
  </si>
  <si>
    <t>kWh/kg H2</t>
  </si>
  <si>
    <t xml:space="preserve">Pump Fixed Cost </t>
  </si>
  <si>
    <t>Pump Variable Cost</t>
  </si>
  <si>
    <t>(Total Other Equipment Cost) * O&amp;M Factor</t>
  </si>
  <si>
    <t>Pipeline Process Control System</t>
  </si>
  <si>
    <t>Pipeline cost of $5000/mi-yr</t>
  </si>
  <si>
    <t>Miscellaneous (Surveying, engineering, supervision, etc.)</t>
  </si>
  <si>
    <t>Right of Way and Damages</t>
  </si>
  <si>
    <t>Labor</t>
  </si>
  <si>
    <t>Pipeline Capital Cost Per Mile</t>
  </si>
  <si>
    <t>n_CO2_pumps</t>
  </si>
  <si>
    <t>Pump Capital Cost</t>
  </si>
  <si>
    <r>
      <t>C</t>
    </r>
    <r>
      <rPr>
        <vertAlign val="subscript"/>
        <sz val="10"/>
        <color theme="1"/>
        <rFont val="Arial"/>
        <family val="2"/>
      </rPr>
      <t>Cost_Type</t>
    </r>
    <r>
      <rPr>
        <sz val="10"/>
        <color theme="1"/>
        <rFont val="Arial"/>
        <family val="2"/>
      </rPr>
      <t xml:space="preserve"> = a</t>
    </r>
    <r>
      <rPr>
        <vertAlign val="subscript"/>
        <sz val="10"/>
        <color theme="1"/>
        <rFont val="Arial"/>
        <family val="2"/>
      </rPr>
      <t>0</t>
    </r>
    <r>
      <rPr>
        <sz val="10"/>
        <color theme="1"/>
        <rFont val="Arial"/>
        <family val="2"/>
      </rPr>
      <t xml:space="preserve"> + L * (a</t>
    </r>
    <r>
      <rPr>
        <vertAlign val="subscript"/>
        <sz val="10"/>
        <color theme="1"/>
        <rFont val="Arial"/>
        <family val="2"/>
      </rPr>
      <t xml:space="preserve">1 </t>
    </r>
    <r>
      <rPr>
        <sz val="10"/>
        <color theme="1"/>
        <rFont val="Arial"/>
        <family val="2"/>
      </rPr>
      <t>* D</t>
    </r>
    <r>
      <rPr>
        <vertAlign val="superscript"/>
        <sz val="10"/>
        <color theme="1"/>
        <rFont val="Arial"/>
        <family val="2"/>
      </rPr>
      <t>2</t>
    </r>
    <r>
      <rPr>
        <sz val="10"/>
        <color theme="1"/>
        <rFont val="Arial"/>
        <family val="2"/>
      </rPr>
      <t xml:space="preserve"> + a</t>
    </r>
    <r>
      <rPr>
        <vertAlign val="subscript"/>
        <sz val="10"/>
        <color theme="1"/>
        <rFont val="Arial"/>
        <family val="2"/>
      </rPr>
      <t xml:space="preserve">2 </t>
    </r>
    <r>
      <rPr>
        <sz val="10"/>
        <color theme="1"/>
        <rFont val="Arial"/>
        <family val="2"/>
      </rPr>
      <t>* D + a</t>
    </r>
    <r>
      <rPr>
        <vertAlign val="subscript"/>
        <sz val="10"/>
        <color theme="1"/>
        <rFont val="Arial"/>
        <family val="2"/>
      </rPr>
      <t>3</t>
    </r>
    <r>
      <rPr>
        <sz val="10"/>
        <color theme="1"/>
        <rFont val="Arial"/>
        <family val="2"/>
      </rPr>
      <t>) based on NETL CO2 Transport Model which uses Parker (2004) UCD-ITS-RR-04-35  basis</t>
    </r>
  </si>
  <si>
    <r>
      <t>C</t>
    </r>
    <r>
      <rPr>
        <vertAlign val="subscript"/>
        <sz val="10"/>
        <color theme="1"/>
        <rFont val="Arial"/>
        <family val="2"/>
      </rPr>
      <t>pump</t>
    </r>
    <r>
      <rPr>
        <sz val="10"/>
        <color theme="1"/>
        <rFont val="Arial"/>
        <family val="2"/>
      </rPr>
      <t xml:space="preserve"> = (C</t>
    </r>
    <r>
      <rPr>
        <vertAlign val="subscript"/>
        <sz val="10"/>
        <color theme="1"/>
        <rFont val="Arial"/>
        <family val="2"/>
      </rPr>
      <t>pump_fix</t>
    </r>
    <r>
      <rPr>
        <sz val="10"/>
        <color theme="1"/>
        <rFont val="Arial"/>
        <family val="2"/>
      </rPr>
      <t xml:space="preserve"> + C</t>
    </r>
    <r>
      <rPr>
        <vertAlign val="subscript"/>
        <sz val="10"/>
        <color theme="1"/>
        <rFont val="Arial"/>
        <family val="2"/>
      </rPr>
      <t xml:space="preserve">pump_var </t>
    </r>
    <r>
      <rPr>
        <sz val="10"/>
        <color theme="1"/>
        <rFont val="Arial"/>
        <family val="2"/>
      </rPr>
      <t>* W</t>
    </r>
    <r>
      <rPr>
        <vertAlign val="subscript"/>
        <sz val="10"/>
        <color theme="1"/>
        <rFont val="Arial"/>
        <family val="2"/>
      </rPr>
      <t>pump</t>
    </r>
    <r>
      <rPr>
        <sz val="10"/>
        <color theme="1"/>
        <rFont val="Arial"/>
        <family val="2"/>
      </rPr>
      <t>)</t>
    </r>
  </si>
  <si>
    <t>Cost of $1,110/kW (2005$) from NETL CO2 Transport Model which uses McCollum &amp; Ogden (2006) UCD-ITS-RR-06-14 basis</t>
  </si>
  <si>
    <r>
      <t>W</t>
    </r>
    <r>
      <rPr>
        <vertAlign val="subscript"/>
        <sz val="10"/>
        <rFont val="Arial"/>
        <family val="2"/>
      </rPr>
      <t>pump</t>
    </r>
    <r>
      <rPr>
        <sz val="10"/>
        <rFont val="Arial"/>
        <family val="2"/>
      </rPr>
      <t xml:space="preserve"> = ((1e3 kg/t * 1e6 Pa/MPa * 1e-3 kW/W)  / (24*3600 s/day))*qmax*dPpump/(ηpump*ρCO2)   from NETL CO2 Transport Model</t>
    </r>
  </si>
  <si>
    <t>Fixed cost of $70,000 (2005$) from NETL CO2 Transport Model which uses McCollum &amp; Ogden (2006) UCD-ITS-RR-06-14 basis</t>
  </si>
  <si>
    <t>Based on NETL CO2 Transport Model which uses NETL (2010) DOE/NETL-2010/1447 basis. Original cost is in 2000$</t>
  </si>
  <si>
    <r>
      <t>a</t>
    </r>
    <r>
      <rPr>
        <vertAlign val="subscript"/>
        <sz val="10"/>
        <color theme="1"/>
        <rFont val="Arial"/>
        <family val="2"/>
      </rPr>
      <t>0</t>
    </r>
    <r>
      <rPr>
        <sz val="10"/>
        <color theme="1"/>
        <rFont val="Arial"/>
        <family val="2"/>
      </rPr>
      <t xml:space="preserve"> = 35,000 $;   a</t>
    </r>
    <r>
      <rPr>
        <vertAlign val="subscript"/>
        <sz val="10"/>
        <color theme="1"/>
        <rFont val="Arial"/>
        <family val="2"/>
      </rPr>
      <t>1</t>
    </r>
    <r>
      <rPr>
        <sz val="10"/>
        <color theme="1"/>
        <rFont val="Arial"/>
        <family val="2"/>
      </rPr>
      <t xml:space="preserve"> = 330.5 $/mi-in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687 $/mi-in;   a</t>
    </r>
    <r>
      <rPr>
        <vertAlign val="subscript"/>
        <sz val="10"/>
        <color theme="1"/>
        <rFont val="Arial"/>
        <family val="2"/>
      </rPr>
      <t xml:space="preserve">3 </t>
    </r>
    <r>
      <rPr>
        <sz val="10"/>
        <color theme="1"/>
        <rFont val="Arial"/>
        <family val="2"/>
      </rPr>
      <t>= 26,960 $/mi   (coefficient basis is 2000$)</t>
    </r>
  </si>
  <si>
    <r>
      <t>a</t>
    </r>
    <r>
      <rPr>
        <vertAlign val="subscript"/>
        <sz val="10"/>
        <color theme="1"/>
        <rFont val="Arial"/>
        <family val="2"/>
      </rPr>
      <t>0</t>
    </r>
    <r>
      <rPr>
        <sz val="10"/>
        <color theme="1"/>
        <rFont val="Arial"/>
        <family val="2"/>
      </rPr>
      <t xml:space="preserve"> = 185,000 $;   a</t>
    </r>
    <r>
      <rPr>
        <vertAlign val="subscript"/>
        <sz val="10"/>
        <color theme="1"/>
        <rFont val="Arial"/>
        <family val="2"/>
      </rPr>
      <t>1</t>
    </r>
    <r>
      <rPr>
        <sz val="10"/>
        <color theme="1"/>
        <rFont val="Arial"/>
        <family val="2"/>
      </rPr>
      <t xml:space="preserve"> = 343 $/mi-in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2,074 $/mi-in;   a</t>
    </r>
    <r>
      <rPr>
        <vertAlign val="subscript"/>
        <sz val="10"/>
        <color theme="1"/>
        <rFont val="Arial"/>
        <family val="2"/>
      </rPr>
      <t xml:space="preserve">3 </t>
    </r>
    <r>
      <rPr>
        <sz val="10"/>
        <color theme="1"/>
        <rFont val="Arial"/>
        <family val="2"/>
      </rPr>
      <t>= 170,013 $/mi   (coefficient basis is 2000$)</t>
    </r>
  </si>
  <si>
    <r>
      <t>a</t>
    </r>
    <r>
      <rPr>
        <vertAlign val="subscript"/>
        <sz val="10"/>
        <color theme="1"/>
        <rFont val="Arial"/>
        <family val="2"/>
      </rPr>
      <t>0</t>
    </r>
    <r>
      <rPr>
        <sz val="10"/>
        <color theme="1"/>
        <rFont val="Arial"/>
        <family val="2"/>
      </rPr>
      <t xml:space="preserve"> = 40,000 $;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577 $/mi-in;   a</t>
    </r>
    <r>
      <rPr>
        <vertAlign val="subscript"/>
        <sz val="10"/>
        <color theme="1"/>
        <rFont val="Arial"/>
        <family val="2"/>
      </rPr>
      <t xml:space="preserve">3 </t>
    </r>
    <r>
      <rPr>
        <sz val="10"/>
        <color theme="1"/>
        <rFont val="Arial"/>
        <family val="2"/>
      </rPr>
      <t>= 29,788 $/mi   (coefficient basis is 2000$)</t>
    </r>
  </si>
  <si>
    <r>
      <t>a</t>
    </r>
    <r>
      <rPr>
        <vertAlign val="subscript"/>
        <sz val="10"/>
        <color theme="1"/>
        <rFont val="Arial"/>
        <family val="2"/>
      </rPr>
      <t>0</t>
    </r>
    <r>
      <rPr>
        <sz val="10"/>
        <color theme="1"/>
        <rFont val="Arial"/>
        <family val="2"/>
      </rPr>
      <t xml:space="preserve"> = 95,000 $;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8,417 $/mi-in;   a</t>
    </r>
    <r>
      <rPr>
        <vertAlign val="subscript"/>
        <sz val="10"/>
        <color theme="1"/>
        <rFont val="Arial"/>
        <family val="2"/>
      </rPr>
      <t xml:space="preserve">3 </t>
    </r>
    <r>
      <rPr>
        <sz val="10"/>
        <color theme="1"/>
        <rFont val="Arial"/>
        <family val="2"/>
      </rPr>
      <t>= 7,324 $/mi   (coefficient basis is 2000$)</t>
    </r>
  </si>
  <si>
    <t>Based on NETL CO2 Transport Model which uses Bock (2003) basis. $5000/mi-yr is based in 1999$</t>
  </si>
  <si>
    <t>Operations</t>
  </si>
  <si>
    <t>Total ongoing capital expenses</t>
  </si>
  <si>
    <t>Based on NETL CO2 Saline Storage Cost Model -- P50 correlation determined (2008$) as function of CO2 flowrate for each stage of cost</t>
  </si>
  <si>
    <t>CO2 Mass Flowrate (G metric tons/year)</t>
  </si>
  <si>
    <t>Set to 0 to turn off CCS</t>
  </si>
  <si>
    <t>a</t>
  </si>
  <si>
    <t>Total transportation and storage cost (w/o capture)</t>
  </si>
  <si>
    <t>AEO_2017_Reference_Case</t>
  </si>
  <si>
    <t>Values are extrapolated based on PNNL GCAM model for years 2050-2100</t>
  </si>
  <si>
    <t>Carbon Sequestration Related Replacement Costs</t>
  </si>
  <si>
    <t>Further extrapolated to allow 2040 comission year using GCAM</t>
  </si>
  <si>
    <t>GREET.NET 2017 upstream emmissions tables</t>
  </si>
  <si>
    <t>From waste and intermediate fuels</t>
  </si>
  <si>
    <t xml:space="preserve">Biomass for Gasification Hydrogen Production </t>
  </si>
  <si>
    <t>GREET.NET, natural gas feedstock</t>
  </si>
  <si>
    <t>Darlene Steward</t>
  </si>
  <si>
    <t>www.nrel.gov</t>
  </si>
  <si>
    <t>H2A Version 2</t>
  </si>
  <si>
    <t>D.M. Steward</t>
  </si>
  <si>
    <t>Tornado charts and final review</t>
  </si>
  <si>
    <t>Transferred to new model structure</t>
  </si>
  <si>
    <t>H2A Version 1</t>
  </si>
  <si>
    <t>Mike Rutkowski/USDOE NETL</t>
  </si>
  <si>
    <t>Original Case Author</t>
  </si>
  <si>
    <t>H2A Version 3</t>
  </si>
  <si>
    <t>M. Penev</t>
  </si>
  <si>
    <t>Case was ported to H2A version 3</t>
  </si>
  <si>
    <t xml:space="preserve">The objective of this task was to prepare capital and operating cost data to be used to arrive at a plant gate cost for hydrogen produced from coal gasification.  Hydrogen cost was determined by first preparing a plant design for hydrogen production, based on currently available process technology, and meeting current permitting regulations for environmental compliance.  This baseline plant captures CO2. </t>
  </si>
  <si>
    <t>Price Conversion Factor (GJ/kg)</t>
  </si>
  <si>
    <t>Price in Startup Year ($2016)/kg</t>
  </si>
  <si>
    <t>Usage (kg/kg H2)</t>
  </si>
  <si>
    <t>feedstock Electric Utility Steam Coal Usage</t>
  </si>
  <si>
    <t>feedstockElectric_Utility_Steam_Coal_Usage</t>
  </si>
  <si>
    <t>Central Coal Gasification with Carbon Capture and Sequestration - Current Timeframe</t>
  </si>
  <si>
    <t>Run Risk Analysis?</t>
  </si>
  <si>
    <t>Min factor</t>
  </si>
  <si>
    <t>Max factor</t>
  </si>
  <si>
    <t>Nominal factor</t>
  </si>
  <si>
    <t>Percentile</t>
  </si>
  <si>
    <t>Min</t>
  </si>
  <si>
    <t>Max</t>
  </si>
  <si>
    <t>Variable to plot</t>
  </si>
  <si>
    <t>Range to plot</t>
  </si>
  <si>
    <t>Variable</t>
  </si>
  <si>
    <t>max</t>
  </si>
  <si>
    <t>gain</t>
  </si>
  <si>
    <t>max-min</t>
  </si>
  <si>
    <t>Min*gain</t>
  </si>
  <si>
    <t>Max*gain</t>
  </si>
  <si>
    <t>Average</t>
  </si>
  <si>
    <t>Probability</t>
  </si>
  <si>
    <t>Cumulative probability</t>
  </si>
  <si>
    <t>Risk variable to plot</t>
  </si>
  <si>
    <t>No user interactions below this row</t>
  </si>
  <si>
    <t>Operating capacity factor</t>
  </si>
  <si>
    <t>Plant design capacity (kg of H2/day)</t>
  </si>
  <si>
    <t>After-tax real IRR (%)</t>
  </si>
  <si>
    <t>Feedstock consumption (% of most likely value)</t>
  </si>
  <si>
    <t>Utilities consumption (% of most likely value)</t>
  </si>
  <si>
    <t>Revenue from byproduct sales ($/kg)</t>
  </si>
  <si>
    <t>Salvage value ($/kg)</t>
  </si>
  <si>
    <t>Initial equity depreciable capital ($/kg)</t>
  </si>
  <si>
    <t>Yearly replacement costs ($/kg)</t>
  </si>
  <si>
    <t>Cash from working capital reserve ($/kg)</t>
  </si>
  <si>
    <t>Other non-depreciable capital costs ($/kg)</t>
  </si>
  <si>
    <t>Decommissioning costs ($/kg)</t>
  </si>
  <si>
    <t>Fixed operating cost ($/kg)</t>
  </si>
  <si>
    <t>Feedstock cost ($/kg)</t>
  </si>
  <si>
    <t>Other raw material cost ($/kg)</t>
  </si>
  <si>
    <t>Other variable operating costs ($/kg)</t>
  </si>
  <si>
    <t>Debt interest ($/kg)</t>
  </si>
  <si>
    <t>Taxes ($/kg)</t>
  </si>
  <si>
    <t>Principal payment ($/kg)</t>
  </si>
  <si>
    <t>Total fixed operating cost ($/year)</t>
  </si>
  <si>
    <t>Total capital investment ($)</t>
  </si>
  <si>
    <t>Cost of hydrogen ($/kg)</t>
  </si>
  <si>
    <t>Upstream GHG Emissions (kg/kg H2) based on GREET.NET 2017</t>
  </si>
  <si>
    <t>in 2016 $/GJ, LHV</t>
  </si>
  <si>
    <t>NOTE: AEO Prices prior to 2015 were augmented with AEO historical data</t>
  </si>
  <si>
    <t>Enter 0 to enable constant outstanding debt.</t>
  </si>
  <si>
    <t>H2A Hydrogen Production Cash Flow Analysis Tool v3.2018</t>
  </si>
  <si>
    <t>Current Central Hydrogen from Coal with CO2 Capture and Sequestration</t>
  </si>
  <si>
    <t>Electric Power, Sulfur</t>
  </si>
  <si>
    <t>Model update with 2010 NETL case study</t>
  </si>
  <si>
    <t>HHV energy content</t>
  </si>
  <si>
    <t>Illinois #6</t>
  </si>
  <si>
    <t>H2 flow (kg/h)</t>
  </si>
  <si>
    <t>CO2 flow (kg/h)</t>
  </si>
  <si>
    <t>Sulfur flow (kg/h)</t>
  </si>
  <si>
    <t>BTU/lb</t>
  </si>
  <si>
    <t>Illinois #6 Coal flow (kg/h)</t>
  </si>
  <si>
    <t>H2A Coal flow rate equivalent (kg/h)</t>
  </si>
  <si>
    <t>Sulfur co-product (kg/kg H2)</t>
  </si>
  <si>
    <t>Coal use (kg/kg H2)</t>
  </si>
  <si>
    <t>CO2 for sequestration (kg/kg H2)</t>
  </si>
  <si>
    <t>Net electricity co-production (kWh/kg)</t>
  </si>
  <si>
    <t>Ar</t>
  </si>
  <si>
    <t>H</t>
  </si>
  <si>
    <t>N</t>
  </si>
  <si>
    <t>Net water use (kg/h)</t>
  </si>
  <si>
    <t>S</t>
  </si>
  <si>
    <t>Condensate out</t>
  </si>
  <si>
    <t>O</t>
  </si>
  <si>
    <t>C</t>
  </si>
  <si>
    <t>Slurry water in</t>
  </si>
  <si>
    <t>Water balance (kg/h)</t>
  </si>
  <si>
    <t>Mass flow (kg/h)</t>
  </si>
  <si>
    <t>S8</t>
  </si>
  <si>
    <t>SO2</t>
  </si>
  <si>
    <t>O2</t>
  </si>
  <si>
    <t>NH3</t>
  </si>
  <si>
    <t>N2</t>
  </si>
  <si>
    <t>H2S</t>
  </si>
  <si>
    <t>H2O</t>
  </si>
  <si>
    <t>H2</t>
  </si>
  <si>
    <t>COS</t>
  </si>
  <si>
    <t>Stream:</t>
  </si>
  <si>
    <t>Net water flow (kg/h)</t>
  </si>
  <si>
    <t>Element</t>
  </si>
  <si>
    <t>MW (g/mol)</t>
  </si>
  <si>
    <t>Mol fraction</t>
  </si>
  <si>
    <t>Water recycle to process demand</t>
  </si>
  <si>
    <t>Molecular weight (g/mol)</t>
  </si>
  <si>
    <t>Water use  (gal/kg H2)</t>
  </si>
  <si>
    <t>Feedstock &amp; Utilities Values</t>
  </si>
  <si>
    <t>Net electricity utility (kWh/kg)</t>
  </si>
  <si>
    <t>Electricity utility use (kWh/h)</t>
  </si>
  <si>
    <t>Electricity production (kWh/h)</t>
  </si>
  <si>
    <t>Normalized usage per kg H2 produced</t>
  </si>
  <si>
    <t>Coal energy density</t>
  </si>
  <si>
    <t>Elemental molecular weights</t>
  </si>
  <si>
    <t>CO</t>
  </si>
  <si>
    <t>Price Conversion Factor (GJ/kWh)</t>
  </si>
  <si>
    <t>Price in Startup Year ($2016)/kWh</t>
  </si>
  <si>
    <t>Questions:</t>
  </si>
  <si>
    <t>Stream 8-9: why is there a mass flow change?</t>
  </si>
  <si>
    <t xml:space="preserve">Net water use is less than stoichiometric.  </t>
  </si>
  <si>
    <t>Water balance</t>
  </si>
  <si>
    <t>Coal handling</t>
  </si>
  <si>
    <t>Coal prep &amp; feed</t>
  </si>
  <si>
    <t>Feedwater &amp; misc. BOP systems</t>
  </si>
  <si>
    <t>CO2 compressor &amp; drying</t>
  </si>
  <si>
    <t>Cooling water system</t>
  </si>
  <si>
    <t>Accessory electric plant</t>
  </si>
  <si>
    <t>Instrumentation &amp; controls</t>
  </si>
  <si>
    <t>Raw water withdrawal</t>
  </si>
  <si>
    <t>gpm</t>
  </si>
  <si>
    <t>gal/kg H2</t>
  </si>
  <si>
    <t>$(2016)/ gal</t>
  </si>
  <si>
    <t>Usage per kg H2</t>
  </si>
  <si>
    <t>Reflects improvements to site, buildings and structures</t>
  </si>
  <si>
    <t>Quench water in</t>
  </si>
  <si>
    <t>utility</t>
  </si>
  <si>
    <t>Usage (kWh/kg H2)</t>
  </si>
  <si>
    <t>utility Industrial Electricity Usage</t>
  </si>
  <si>
    <t>utilityIndustrial_Electricity_Usage</t>
  </si>
  <si>
    <t>GEE quench gasifier system</t>
  </si>
  <si>
    <t>Gas cleanup &amp; piping</t>
  </si>
  <si>
    <t>Hydrogen PSA &amp; Compressor</t>
  </si>
  <si>
    <t>HRSG Ducting Stack</t>
  </si>
  <si>
    <t>Steam Turbine Generator &amp; Piping</t>
  </si>
  <si>
    <t>Ash Spent Sorbent Handling system</t>
  </si>
  <si>
    <t>Admin &amp; Support</t>
  </si>
  <si>
    <t>Modified to 0 to use publication compressor estimate input</t>
  </si>
  <si>
    <t>Capital fund for life-cycle CO2 monitoring costs</t>
  </si>
  <si>
    <t>Transport &amp; storage</t>
  </si>
  <si>
    <t>Storage</t>
  </si>
  <si>
    <t>James Vickers</t>
  </si>
  <si>
    <t>813 690 2429</t>
  </si>
  <si>
    <t>james.vickers@ee.doe.gov</t>
  </si>
  <si>
    <t>Department of Energy</t>
  </si>
  <si>
    <t>Gasifier, quench, sour shift, Selexol, PSA, CO2 Compression</t>
  </si>
  <si>
    <t>Coal, ash, sulfur</t>
  </si>
  <si>
    <t>Conceptual design and cost estimates were prepared to determine the cost for producing hydrogen from coal gasification.  Heat and material balances were prepared.  Detailed results of process simulation and cost estimation are available in the reference study.</t>
  </si>
  <si>
    <t>Corporate ownership, 40% equity</t>
  </si>
  <si>
    <t xml:space="preserve">National Energy Technology Laboratory (NETL)., August 30, 2010. Assessment of Hydrogen Production with CO2 Capture. Volume 1: Baseline State-of-the-Art Plants. </t>
  </si>
  <si>
    <t>To arrive at a cost estimate for hydrogen, the design included commercially available process technology obtained from verifiable sources.  The plant utilized commercially available technology including a GEE quench gasifier system, conventional gas cooling, commercial shift conversion and acid gas cleanup, commercial sulfuric acid technology, and commercial pressure swing adsorption (PSA).  Selexol is used to remove CO2.  CO2 is compressed to 2200 psi for sequestration.  Compressed CO2 is transported via pipeline and injected into a suitable geologic sequestration site.</t>
  </si>
  <si>
    <t>Total plant capital of transport</t>
  </si>
  <si>
    <t>Total plant capital of storage</t>
  </si>
  <si>
    <t>From NETL report p. 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</si>
</sst>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5" formatCode="&quot;$&quot;#,##0_);\(&quot;$&quot;#,##0\)"/>
    <numFmt numFmtId="6" formatCode="&quot;$&quot;#,##0_);[Red]\(&quot;$&quot;#,##0\)"/>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
    <numFmt numFmtId="169" formatCode="&quot;$&quot;#,##0.00"/>
    <numFmt numFmtId="170" formatCode="&quot;$&quot;#,##0"/>
    <numFmt numFmtId="171" formatCode="#,##0.0"/>
    <numFmt numFmtId="172" formatCode="_(* #,##0_);_(* \(#,##0\);_(* &quot;-&quot;??_);_(@_)"/>
    <numFmt numFmtId="173" formatCode="General_)"/>
    <numFmt numFmtId="174" formatCode="&quot;$&quot;#,##0.0000"/>
    <numFmt numFmtId="175" formatCode="#,##0.000_);[Red]\(#,##0.000\)"/>
    <numFmt numFmtId="176" formatCode="&quot;$&quot;#,##0.000000"/>
    <numFmt numFmtId="177" formatCode="#,##0.00000"/>
    <numFmt numFmtId="178" formatCode="_(&quot;$&quot;* #,##0_);_(&quot;$&quot;* \(#,##0\);_(&quot;$&quot;* &quot;-&quot;??_);_(@_)"/>
    <numFmt numFmtId="179" formatCode="0.00_)"/>
    <numFmt numFmtId="180" formatCode="#,##0.0_);\(#,##0.0\)"/>
    <numFmt numFmtId="181" formatCode="&quot;$&quot;#,##0.00000000"/>
    <numFmt numFmtId="182" formatCode="&quot;$&quot;#,##0.000000000000"/>
    <numFmt numFmtId="183" formatCode="_(* #,##0.000_);_(* \(#,##0.000\);_(* &quot;-&quot;??_);_(@_)"/>
    <numFmt numFmtId="184" formatCode="&quot;$&quot;#,##0.000_);[Red]\(&quot;$&quot;#,##0.000\)"/>
    <numFmt numFmtId="185" formatCode="&quot;$&quot;#,##0.0000_);[Red]\(&quot;$&quot;#,##0.0000\)"/>
    <numFmt numFmtId="186" formatCode="#0.0"/>
    <numFmt numFmtId="187" formatCode="#0.00"/>
    <numFmt numFmtId="188" formatCode="0;;&quot;Constant debt&quot;"/>
  </numFmts>
  <fonts count="87" x14ac:knownFonts="1">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b/>
      <sz val="11"/>
      <name val="Arial"/>
      <family val="2"/>
    </font>
    <font>
      <sz val="12"/>
      <name val="Arial"/>
      <family val="2"/>
    </font>
    <font>
      <b/>
      <u/>
      <sz val="11"/>
      <name val="Arial"/>
      <family val="2"/>
    </font>
    <font>
      <sz val="10"/>
      <color indexed="9"/>
      <name val="Arial"/>
      <family val="2"/>
    </font>
    <font>
      <sz val="14"/>
      <name val="Arial Black"/>
      <family val="2"/>
    </font>
    <font>
      <sz val="10"/>
      <color indexed="12"/>
      <name val="Arial"/>
      <family val="2"/>
    </font>
    <font>
      <b/>
      <sz val="20"/>
      <name val="Arial"/>
      <family val="2"/>
    </font>
    <font>
      <sz val="10"/>
      <color indexed="23"/>
      <name val="Arial"/>
      <family val="2"/>
    </font>
    <font>
      <sz val="10"/>
      <color indexed="63"/>
      <name val="Arial"/>
      <family val="2"/>
    </font>
    <font>
      <b/>
      <sz val="12"/>
      <color indexed="23"/>
      <name val="Arial"/>
      <family val="2"/>
    </font>
    <font>
      <sz val="10"/>
      <color indexed="23"/>
      <name val="Arial"/>
      <family val="2"/>
    </font>
    <font>
      <b/>
      <sz val="14"/>
      <color indexed="23"/>
      <name val="Arial"/>
      <family val="2"/>
    </font>
    <font>
      <b/>
      <i/>
      <sz val="12"/>
      <color indexed="23"/>
      <name val="Arial"/>
      <family val="2"/>
    </font>
    <font>
      <b/>
      <sz val="12"/>
      <color indexed="12"/>
      <name val="Arial"/>
      <family val="2"/>
    </font>
    <font>
      <b/>
      <sz val="11"/>
      <color indexed="12"/>
      <name val="Arial"/>
      <family val="2"/>
    </font>
    <font>
      <sz val="12"/>
      <color indexed="12"/>
      <name val="Arial"/>
      <family val="2"/>
    </font>
    <font>
      <b/>
      <sz val="16"/>
      <color indexed="12"/>
      <name val="Arial"/>
      <family val="2"/>
    </font>
    <font>
      <b/>
      <sz val="20"/>
      <color indexed="12"/>
      <name val="Arial"/>
      <family val="2"/>
    </font>
    <font>
      <sz val="10"/>
      <color indexed="12"/>
      <name val="Arial"/>
      <family val="2"/>
    </font>
    <font>
      <u/>
      <sz val="10"/>
      <name val="Arial"/>
      <family val="2"/>
    </font>
    <font>
      <sz val="11"/>
      <name val="Arial"/>
      <family val="2"/>
    </font>
    <font>
      <b/>
      <sz val="14"/>
      <color indexed="12"/>
      <name val="Arial Black"/>
      <family val="2"/>
    </font>
    <font>
      <u/>
      <sz val="10"/>
      <name val="Arial"/>
      <family val="2"/>
    </font>
    <font>
      <sz val="14"/>
      <color indexed="12"/>
      <name val="Arial Black"/>
      <family val="2"/>
    </font>
    <font>
      <b/>
      <u/>
      <sz val="11"/>
      <color indexed="12"/>
      <name val="Arial"/>
      <family val="2"/>
    </font>
    <font>
      <b/>
      <sz val="8"/>
      <color indexed="8"/>
      <name val="Verdana"/>
      <family val="2"/>
    </font>
    <font>
      <sz val="10"/>
      <name val="Arial Narrow"/>
      <family val="2"/>
    </font>
    <font>
      <i/>
      <sz val="12"/>
      <name val="Arial"/>
      <family val="2"/>
    </font>
    <font>
      <b/>
      <sz val="9"/>
      <name val="Arial"/>
      <family val="2"/>
    </font>
    <font>
      <sz val="9"/>
      <name val="Arial"/>
      <family val="2"/>
    </font>
    <font>
      <sz val="10"/>
      <name val="Arial"/>
      <family val="2"/>
    </font>
    <font>
      <sz val="9"/>
      <color indexed="62"/>
      <name val="Arial"/>
      <family val="2"/>
    </font>
    <font>
      <sz val="12"/>
      <name val="Helv"/>
    </font>
    <font>
      <b/>
      <sz val="11"/>
      <color indexed="12"/>
      <name val="Arial"/>
      <family val="2"/>
    </font>
    <font>
      <i/>
      <sz val="9"/>
      <name val="Arial"/>
      <family val="2"/>
    </font>
    <font>
      <sz val="10"/>
      <name val="Arial"/>
      <family val="2"/>
    </font>
    <font>
      <sz val="11"/>
      <color theme="1"/>
      <name val="Calibri"/>
      <family val="2"/>
      <scheme val="minor"/>
    </font>
    <font>
      <sz val="10"/>
      <color theme="4"/>
      <name val="Arial"/>
      <family val="2"/>
    </font>
    <font>
      <sz val="10"/>
      <color rgb="FF0070C0"/>
      <name val="Arial"/>
      <family val="2"/>
    </font>
    <font>
      <sz val="10"/>
      <color rgb="FFFF0000"/>
      <name val="Arial"/>
      <family val="2"/>
    </font>
    <font>
      <b/>
      <sz val="11"/>
      <color rgb="FF000000"/>
      <name val="Arial"/>
      <family val="2"/>
    </font>
    <font>
      <sz val="9"/>
      <color indexed="81"/>
      <name val="Tahoma"/>
      <family val="2"/>
    </font>
    <font>
      <b/>
      <sz val="9"/>
      <color indexed="81"/>
      <name val="Tahoma"/>
      <family val="2"/>
    </font>
    <font>
      <sz val="10"/>
      <color theme="0" tint="-0.249977111117893"/>
      <name val="Arial"/>
      <family val="2"/>
    </font>
    <font>
      <sz val="10"/>
      <name val="Calibri"/>
      <family val="2"/>
    </font>
    <font>
      <sz val="10"/>
      <color theme="9"/>
      <name val="Arial"/>
      <family val="2"/>
    </font>
    <font>
      <sz val="10"/>
      <color theme="1"/>
      <name val="Calibri"/>
      <family val="2"/>
    </font>
    <font>
      <vertAlign val="subscript"/>
      <sz val="10"/>
      <color theme="1"/>
      <name val="Calibri"/>
      <family val="2"/>
    </font>
    <font>
      <sz val="11"/>
      <color indexed="8"/>
      <name val="Calibri"/>
      <family val="2"/>
      <scheme val="minor"/>
    </font>
    <font>
      <sz val="11"/>
      <color rgb="FFFF0000"/>
      <name val="Arial"/>
      <family val="2"/>
    </font>
    <font>
      <sz val="10"/>
      <color theme="1"/>
      <name val="Arial"/>
      <family val="2"/>
    </font>
    <font>
      <vertAlign val="subscript"/>
      <sz val="10"/>
      <color theme="1"/>
      <name val="Arial"/>
      <family val="2"/>
    </font>
    <font>
      <vertAlign val="superscript"/>
      <sz val="10"/>
      <color theme="1"/>
      <name val="Arial"/>
      <family val="2"/>
    </font>
    <font>
      <vertAlign val="subscript"/>
      <sz val="10"/>
      <name val="Arial"/>
      <family val="2"/>
    </font>
    <font>
      <sz val="10"/>
      <color theme="9" tint="-0.249977111117893"/>
      <name val="Arial"/>
      <family val="2"/>
    </font>
    <font>
      <sz val="10"/>
      <color theme="3" tint="0.59999389629810485"/>
      <name val="Arial"/>
      <family val="2"/>
    </font>
    <font>
      <b/>
      <sz val="10"/>
      <color theme="3" tint="0.59999389629810485"/>
      <name val="Arial"/>
      <family val="2"/>
    </font>
    <font>
      <b/>
      <sz val="11"/>
      <color theme="1"/>
      <name val="Calibri"/>
      <family val="2"/>
      <scheme val="minor"/>
    </font>
  </fonts>
  <fills count="29">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23"/>
        <bgColor indexed="64"/>
      </patternFill>
    </fill>
    <fill>
      <patternFill patternType="solid">
        <fgColor indexed="10"/>
        <bgColor indexed="64"/>
      </patternFill>
    </fill>
    <fill>
      <patternFill patternType="solid">
        <fgColor indexed="1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FFFFCC"/>
        <bgColor indexed="64"/>
      </patternFill>
    </fill>
    <fill>
      <patternFill patternType="solid">
        <fgColor theme="7" tint="0.39997558519241921"/>
        <bgColor indexed="64"/>
      </patternFill>
    </fill>
  </fills>
  <borders count="18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ck">
        <color indexed="64"/>
      </top>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thin">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bottom style="thick">
        <color indexed="64"/>
      </bottom>
      <diagonal/>
    </border>
    <border>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ck">
        <color indexed="64"/>
      </bottom>
      <diagonal/>
    </border>
    <border>
      <left style="thick">
        <color indexed="64"/>
      </left>
      <right/>
      <top style="thin">
        <color indexed="64"/>
      </top>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right/>
      <top style="thin">
        <color indexed="64"/>
      </top>
      <bottom/>
      <diagonal/>
    </border>
    <border>
      <left/>
      <right style="thick">
        <color indexed="64"/>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ck">
        <color indexed="64"/>
      </left>
      <right/>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ck">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ck">
        <color indexed="64"/>
      </right>
      <top/>
      <bottom style="medium">
        <color indexed="64"/>
      </bottom>
      <diagonal/>
    </border>
    <border>
      <left/>
      <right/>
      <top/>
      <bottom style="double">
        <color indexed="12"/>
      </bottom>
      <diagonal/>
    </border>
    <border>
      <left/>
      <right style="medium">
        <color indexed="64"/>
      </right>
      <top/>
      <bottom style="double">
        <color indexed="12"/>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ck">
        <color indexed="64"/>
      </top>
      <bottom style="thick">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thick">
        <color indexed="64"/>
      </left>
      <right/>
      <top style="thin">
        <color indexed="64"/>
      </top>
      <bottom style="double">
        <color indexed="64"/>
      </bottom>
      <diagonal/>
    </border>
    <border>
      <left/>
      <right/>
      <top style="thin">
        <color indexed="64"/>
      </top>
      <bottom style="double">
        <color indexed="64"/>
      </bottom>
      <diagonal/>
    </border>
    <border>
      <left/>
      <right style="thick">
        <color indexed="64"/>
      </right>
      <top style="thin">
        <color indexed="64"/>
      </top>
      <bottom style="double">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medium">
        <color indexed="64"/>
      </right>
      <top style="thin">
        <color indexed="64"/>
      </top>
      <bottom/>
      <diagonal/>
    </border>
  </borders>
  <cellStyleXfs count="23">
    <xf numFmtId="0" fontId="0" fillId="0" borderId="0"/>
    <xf numFmtId="43" fontId="3" fillId="0" borderId="0" applyFont="0" applyFill="0" applyBorder="0" applyAlignment="0" applyProtection="0"/>
    <xf numFmtId="43" fontId="64" fillId="0" borderId="0" applyFont="0" applyFill="0" applyBorder="0" applyAlignment="0" applyProtection="0"/>
    <xf numFmtId="44" fontId="3" fillId="0" borderId="0" applyFont="0" applyFill="0" applyBorder="0" applyAlignment="0" applyProtection="0"/>
    <xf numFmtId="44" fontId="64" fillId="0" borderId="0" applyFont="0" applyFill="0" applyBorder="0" applyAlignment="0" applyProtection="0"/>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13" fillId="0" borderId="0"/>
    <xf numFmtId="0" fontId="65" fillId="0" borderId="0"/>
    <xf numFmtId="0" fontId="65" fillId="0" borderId="0"/>
    <xf numFmtId="0" fontId="61" fillId="0" borderId="0"/>
    <xf numFmtId="0" fontId="65" fillId="0" borderId="0"/>
    <xf numFmtId="173" fontId="55" fillId="0" borderId="0"/>
    <xf numFmtId="173" fontId="55" fillId="0" borderId="0"/>
    <xf numFmtId="0" fontId="13" fillId="0" borderId="0"/>
    <xf numFmtId="0" fontId="13" fillId="0" borderId="0"/>
    <xf numFmtId="173" fontId="17" fillId="0" borderId="0"/>
    <xf numFmtId="9" fontId="3" fillId="0" borderId="0" applyFont="0" applyFill="0" applyBorder="0" applyAlignment="0" applyProtection="0"/>
    <xf numFmtId="9" fontId="13" fillId="0" borderId="0" applyFont="0" applyFill="0" applyBorder="0" applyAlignment="0" applyProtection="0"/>
    <xf numFmtId="9" fontId="64" fillId="0" borderId="0" applyFont="0" applyFill="0" applyBorder="0" applyAlignment="0" applyProtection="0"/>
    <xf numFmtId="0" fontId="77" fillId="0" borderId="0"/>
    <xf numFmtId="0" fontId="2" fillId="0" borderId="0"/>
    <xf numFmtId="43" fontId="2" fillId="0" borderId="0" applyFont="0" applyFill="0" applyBorder="0" applyAlignment="0" applyProtection="0"/>
  </cellStyleXfs>
  <cellXfs count="1772">
    <xf numFmtId="0" fontId="0" fillId="0" borderId="0" xfId="0"/>
    <xf numFmtId="0" fontId="5" fillId="0" borderId="0" xfId="0" applyFont="1"/>
    <xf numFmtId="0" fontId="7" fillId="0" borderId="0" xfId="0" applyFont="1"/>
    <xf numFmtId="0" fontId="10" fillId="2" borderId="1" xfId="0" applyFont="1" applyFill="1" applyBorder="1" applyAlignment="1">
      <alignment wrapText="1"/>
    </xf>
    <xf numFmtId="0" fontId="10" fillId="2" borderId="2" xfId="0" applyFont="1" applyFill="1" applyBorder="1" applyAlignment="1">
      <alignment wrapText="1"/>
    </xf>
    <xf numFmtId="0" fontId="10" fillId="2" borderId="2" xfId="0" applyFont="1" applyFill="1" applyBorder="1" applyAlignment="1">
      <alignment horizontal="center" vertical="center" wrapText="1"/>
    </xf>
    <xf numFmtId="0" fontId="10" fillId="2" borderId="3" xfId="0" applyFont="1" applyFill="1" applyBorder="1" applyAlignment="1">
      <alignment horizontal="center" vertical="center" wrapText="1"/>
    </xf>
    <xf numFmtId="0" fontId="10" fillId="3" borderId="4" xfId="0" applyFont="1" applyFill="1" applyBorder="1" applyAlignment="1">
      <alignment vertical="center" wrapText="1"/>
    </xf>
    <xf numFmtId="0" fontId="10" fillId="3" borderId="0" xfId="0" applyFont="1" applyFill="1" applyBorder="1" applyAlignment="1">
      <alignment vertical="center" wrapText="1"/>
    </xf>
    <xf numFmtId="0" fontId="10" fillId="3" borderId="0" xfId="0" applyFont="1" applyFill="1" applyBorder="1" applyAlignment="1">
      <alignment horizontal="center" vertical="center" wrapText="1"/>
    </xf>
    <xf numFmtId="0" fontId="10" fillId="3" borderId="5" xfId="0" applyFont="1" applyFill="1" applyBorder="1" applyAlignment="1">
      <alignment horizontal="center" vertical="center" wrapText="1"/>
    </xf>
    <xf numFmtId="0" fontId="9" fillId="2" borderId="4" xfId="0" applyFont="1" applyFill="1" applyBorder="1" applyAlignment="1">
      <alignment horizontal="left" vertical="center" wrapText="1"/>
    </xf>
    <xf numFmtId="0" fontId="10" fillId="2" borderId="0" xfId="0" applyFont="1" applyFill="1" applyBorder="1" applyAlignment="1">
      <alignment horizontal="left" vertical="center" wrapText="1"/>
    </xf>
    <xf numFmtId="1" fontId="9" fillId="2" borderId="0" xfId="0" applyNumberFormat="1" applyFont="1" applyFill="1" applyBorder="1" applyAlignment="1">
      <alignment horizontal="center" vertical="center"/>
    </xf>
    <xf numFmtId="3" fontId="9" fillId="0" borderId="0" xfId="0" applyNumberFormat="1" applyFont="1" applyFill="1" applyBorder="1" applyAlignment="1">
      <alignment horizontal="center" vertical="center"/>
    </xf>
    <xf numFmtId="0" fontId="9" fillId="2" borderId="4" xfId="0" applyFont="1" applyFill="1" applyBorder="1" applyAlignment="1">
      <alignment vertical="center" wrapText="1"/>
    </xf>
    <xf numFmtId="0" fontId="10" fillId="2" borderId="0" xfId="0" applyFont="1" applyFill="1" applyBorder="1" applyAlignment="1">
      <alignment vertical="center" wrapText="1"/>
    </xf>
    <xf numFmtId="3" fontId="9" fillId="2" borderId="0" xfId="0" applyNumberFormat="1" applyFont="1" applyFill="1" applyBorder="1" applyAlignment="1">
      <alignment horizontal="center" vertical="center"/>
    </xf>
    <xf numFmtId="166" fontId="9" fillId="2" borderId="0" xfId="0" applyNumberFormat="1" applyFont="1" applyFill="1" applyBorder="1" applyAlignment="1">
      <alignment horizontal="center" vertical="center"/>
    </xf>
    <xf numFmtId="3" fontId="9" fillId="2" borderId="0" xfId="0" applyNumberFormat="1" applyFont="1" applyFill="1" applyBorder="1" applyAlignment="1">
      <alignment horizontal="center" vertical="center" wrapText="1"/>
    </xf>
    <xf numFmtId="166" fontId="9" fillId="2" borderId="5" xfId="0" applyNumberFormat="1" applyFont="1" applyFill="1" applyBorder="1" applyAlignment="1">
      <alignment horizontal="center" vertical="center" wrapText="1"/>
    </xf>
    <xf numFmtId="3" fontId="9" fillId="2" borderId="5" xfId="0" applyNumberFormat="1" applyFont="1" applyFill="1" applyBorder="1" applyAlignment="1">
      <alignment horizontal="center" vertical="center" wrapText="1"/>
    </xf>
    <xf numFmtId="3" fontId="9" fillId="2" borderId="5" xfId="0" quotePrefix="1" applyNumberFormat="1" applyFont="1" applyFill="1" applyBorder="1" applyAlignment="1">
      <alignment horizontal="center" vertical="center" wrapText="1"/>
    </xf>
    <xf numFmtId="0" fontId="10" fillId="2" borderId="0" xfId="0" applyFont="1" applyFill="1" applyBorder="1" applyAlignment="1">
      <alignment vertical="center"/>
    </xf>
    <xf numFmtId="3" fontId="9" fillId="2" borderId="0" xfId="0" quotePrefix="1" applyNumberFormat="1" applyFont="1" applyFill="1" applyBorder="1" applyAlignment="1">
      <alignment horizontal="center" vertical="center" wrapText="1"/>
    </xf>
    <xf numFmtId="0" fontId="9" fillId="2" borderId="4" xfId="0" applyFont="1" applyFill="1" applyBorder="1" applyAlignment="1">
      <alignment horizontal="left" wrapText="1"/>
    </xf>
    <xf numFmtId="0" fontId="9" fillId="2" borderId="0" xfId="0" applyFont="1" applyFill="1" applyBorder="1" applyAlignment="1">
      <alignment horizontal="left" wrapText="1"/>
    </xf>
    <xf numFmtId="0" fontId="9" fillId="2" borderId="5" xfId="0" applyFont="1" applyFill="1" applyBorder="1" applyAlignment="1">
      <alignment horizontal="left" wrapText="1"/>
    </xf>
    <xf numFmtId="10" fontId="0" fillId="0" borderId="0" xfId="0" applyNumberFormat="1"/>
    <xf numFmtId="0" fontId="0" fillId="0" borderId="0" xfId="0" applyAlignment="1">
      <alignment vertical="top" wrapText="1"/>
    </xf>
    <xf numFmtId="0" fontId="7" fillId="0" borderId="6" xfId="0" applyFont="1" applyBorder="1" applyAlignment="1">
      <alignment horizontal="center"/>
    </xf>
    <xf numFmtId="0" fontId="7" fillId="0" borderId="7" xfId="0" applyFont="1" applyBorder="1" applyAlignment="1">
      <alignment horizontal="center"/>
    </xf>
    <xf numFmtId="0" fontId="7" fillId="0" borderId="6" xfId="0" applyFont="1" applyBorder="1" applyAlignment="1">
      <alignment vertical="top" wrapText="1"/>
    </xf>
    <xf numFmtId="0" fontId="0" fillId="0" borderId="0" xfId="0" applyFill="1"/>
    <xf numFmtId="0" fontId="0" fillId="0" borderId="0" xfId="0" applyFill="1" applyAlignment="1">
      <alignment vertical="top" wrapText="1"/>
    </xf>
    <xf numFmtId="0" fontId="13" fillId="0" borderId="0" xfId="0" applyFont="1" applyAlignment="1">
      <alignment vertical="top" wrapText="1"/>
    </xf>
    <xf numFmtId="0" fontId="13" fillId="3" borderId="8" xfId="0" applyFont="1" applyFill="1" applyBorder="1" applyAlignment="1" applyProtection="1">
      <alignment horizontal="left" vertical="center" wrapText="1"/>
    </xf>
    <xf numFmtId="0" fontId="18" fillId="0" borderId="0" xfId="0" applyFont="1" applyProtection="1"/>
    <xf numFmtId="0" fontId="0" fillId="0" borderId="0" xfId="0" applyProtection="1"/>
    <xf numFmtId="0" fontId="0" fillId="0" borderId="0" xfId="0" applyFill="1" applyProtection="1"/>
    <xf numFmtId="0" fontId="13" fillId="0" borderId="0" xfId="0" applyFont="1" applyFill="1" applyBorder="1" applyAlignment="1" applyProtection="1">
      <alignment horizontal="left" vertical="center" wrapText="1"/>
    </xf>
    <xf numFmtId="0" fontId="5" fillId="0" borderId="0" xfId="0" quotePrefix="1" applyFont="1" applyFill="1" applyBorder="1" applyAlignment="1" applyProtection="1">
      <alignment horizontal="left" vertical="center"/>
    </xf>
    <xf numFmtId="0" fontId="14" fillId="4" borderId="0" xfId="0" applyFont="1" applyFill="1" applyProtection="1"/>
    <xf numFmtId="0" fontId="13" fillId="4" borderId="0" xfId="0" applyFont="1" applyFill="1" applyProtection="1"/>
    <xf numFmtId="0" fontId="13" fillId="0" borderId="0" xfId="0" applyFont="1" applyFill="1" applyProtection="1"/>
    <xf numFmtId="0" fontId="0" fillId="0" borderId="0" xfId="0" applyFill="1" applyBorder="1" applyProtection="1"/>
    <xf numFmtId="0" fontId="13" fillId="5" borderId="8" xfId="0" applyFont="1" applyFill="1" applyBorder="1" applyAlignment="1" applyProtection="1">
      <alignment horizontal="left" vertical="center" wrapText="1"/>
    </xf>
    <xf numFmtId="0" fontId="13" fillId="6" borderId="8" xfId="0" applyFont="1" applyFill="1" applyBorder="1" applyAlignment="1" applyProtection="1">
      <alignment horizontal="left" vertical="center" wrapText="1"/>
    </xf>
    <xf numFmtId="0" fontId="0" fillId="4" borderId="8" xfId="0" applyFill="1" applyBorder="1" applyProtection="1"/>
    <xf numFmtId="173" fontId="19" fillId="0" borderId="9" xfId="16" applyFont="1" applyBorder="1" applyAlignment="1" applyProtection="1"/>
    <xf numFmtId="173" fontId="19" fillId="0" borderId="10" xfId="16" applyFont="1" applyBorder="1" applyAlignment="1" applyProtection="1"/>
    <xf numFmtId="0" fontId="0" fillId="0" borderId="10" xfId="0" applyBorder="1" applyAlignment="1" applyProtection="1"/>
    <xf numFmtId="0" fontId="0" fillId="0" borderId="11" xfId="0" applyBorder="1" applyAlignment="1" applyProtection="1"/>
    <xf numFmtId="173" fontId="13" fillId="0" borderId="0" xfId="16" applyFont="1" applyProtection="1"/>
    <xf numFmtId="173" fontId="5" fillId="0" borderId="13" xfId="16" applyFont="1" applyBorder="1" applyAlignment="1" applyProtection="1">
      <alignment horizontal="center"/>
    </xf>
    <xf numFmtId="173" fontId="5" fillId="0" borderId="14" xfId="16" applyFont="1" applyBorder="1" applyAlignment="1" applyProtection="1">
      <alignment horizontal="center"/>
    </xf>
    <xf numFmtId="173" fontId="5" fillId="0" borderId="15" xfId="16" applyFont="1" applyBorder="1" applyAlignment="1" applyProtection="1">
      <alignment horizontal="center"/>
    </xf>
    <xf numFmtId="173" fontId="5" fillId="0" borderId="16" xfId="16" applyFont="1" applyBorder="1" applyAlignment="1" applyProtection="1">
      <alignment horizontal="center"/>
    </xf>
    <xf numFmtId="173" fontId="13" fillId="3" borderId="17" xfId="16" applyFont="1" applyFill="1" applyBorder="1" applyProtection="1"/>
    <xf numFmtId="170" fontId="13" fillId="3" borderId="8" xfId="16" applyNumberFormat="1" applyFont="1" applyFill="1" applyBorder="1" applyProtection="1"/>
    <xf numFmtId="170" fontId="13" fillId="3" borderId="19" xfId="16" applyNumberFormat="1" applyFont="1" applyFill="1" applyBorder="1" applyProtection="1"/>
    <xf numFmtId="173" fontId="13" fillId="3" borderId="20" xfId="16" applyFont="1" applyFill="1" applyBorder="1" applyProtection="1"/>
    <xf numFmtId="170" fontId="13" fillId="3" borderId="23" xfId="16" applyNumberFormat="1" applyFont="1" applyFill="1" applyBorder="1" applyProtection="1"/>
    <xf numFmtId="0" fontId="19" fillId="3" borderId="24" xfId="0" applyFont="1" applyFill="1" applyBorder="1" applyProtection="1"/>
    <xf numFmtId="0" fontId="0" fillId="3" borderId="10" xfId="0" applyFill="1" applyBorder="1" applyProtection="1"/>
    <xf numFmtId="0" fontId="0" fillId="3" borderId="11" xfId="0" applyFill="1" applyBorder="1" applyProtection="1"/>
    <xf numFmtId="0" fontId="0" fillId="3" borderId="25" xfId="0" applyFill="1" applyBorder="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0" fillId="3" borderId="12" xfId="0" applyFill="1" applyBorder="1" applyProtection="1"/>
    <xf numFmtId="0" fontId="0" fillId="3" borderId="25" xfId="0" applyFill="1" applyBorder="1" applyAlignment="1" applyProtection="1">
      <alignment horizontal="center"/>
    </xf>
    <xf numFmtId="0" fontId="0" fillId="3" borderId="28" xfId="0" applyFill="1" applyBorder="1" applyProtection="1"/>
    <xf numFmtId="10" fontId="0" fillId="3" borderId="29" xfId="0" applyNumberFormat="1" applyFill="1" applyBorder="1" applyProtection="1"/>
    <xf numFmtId="10" fontId="0" fillId="3" borderId="30" xfId="0" applyNumberFormat="1" applyFill="1" applyBorder="1" applyProtection="1"/>
    <xf numFmtId="168" fontId="0" fillId="3" borderId="31" xfId="0" applyNumberFormat="1" applyFill="1" applyBorder="1" applyProtection="1"/>
    <xf numFmtId="0" fontId="0" fillId="3" borderId="32" xfId="0" applyFill="1" applyBorder="1" applyProtection="1"/>
    <xf numFmtId="10" fontId="0" fillId="3" borderId="18" xfId="0" applyNumberFormat="1" applyFill="1" applyBorder="1" applyProtection="1"/>
    <xf numFmtId="10" fontId="0" fillId="3" borderId="8" xfId="0" applyNumberFormat="1" applyFill="1" applyBorder="1" applyProtection="1"/>
    <xf numFmtId="168" fontId="0" fillId="3" borderId="19" xfId="0" applyNumberFormat="1" applyFill="1" applyBorder="1" applyProtection="1"/>
    <xf numFmtId="0" fontId="0" fillId="3" borderId="33" xfId="0" applyFill="1" applyBorder="1" applyProtection="1"/>
    <xf numFmtId="10" fontId="0" fillId="3" borderId="21" xfId="0" applyNumberFormat="1" applyFill="1" applyBorder="1" applyProtection="1"/>
    <xf numFmtId="10" fontId="0" fillId="3" borderId="22" xfId="0" applyNumberFormat="1" applyFill="1" applyBorder="1" applyProtection="1"/>
    <xf numFmtId="168" fontId="0" fillId="3" borderId="23" xfId="0" applyNumberFormat="1" applyFill="1" applyBorder="1" applyProtection="1"/>
    <xf numFmtId="0" fontId="0" fillId="3" borderId="34" xfId="0" applyFill="1" applyBorder="1" applyProtection="1"/>
    <xf numFmtId="175" fontId="0" fillId="3" borderId="13" xfId="0" applyNumberFormat="1" applyFill="1" applyBorder="1" applyProtection="1"/>
    <xf numFmtId="175" fontId="0" fillId="3" borderId="15" xfId="0" applyNumberFormat="1" applyFill="1" applyBorder="1" applyProtection="1"/>
    <xf numFmtId="175" fontId="0" fillId="3" borderId="16" xfId="0" applyNumberFormat="1" applyFill="1" applyBorder="1" applyProtection="1"/>
    <xf numFmtId="175" fontId="0" fillId="3" borderId="20" xfId="0" applyNumberFormat="1" applyFill="1" applyBorder="1" applyProtection="1"/>
    <xf numFmtId="175" fontId="0" fillId="3" borderId="22" xfId="0" applyNumberFormat="1" applyFill="1" applyBorder="1" applyProtection="1"/>
    <xf numFmtId="175" fontId="0" fillId="3" borderId="23" xfId="0" applyNumberFormat="1" applyFill="1" applyBorder="1" applyProtection="1"/>
    <xf numFmtId="0" fontId="19" fillId="3" borderId="25" xfId="0" applyFont="1" applyFill="1" applyBorder="1" applyProtection="1"/>
    <xf numFmtId="0" fontId="0" fillId="3" borderId="27" xfId="0" applyFill="1" applyBorder="1" applyProtection="1"/>
    <xf numFmtId="0" fontId="0" fillId="3" borderId="13" xfId="0" applyFill="1" applyBorder="1" applyProtection="1"/>
    <xf numFmtId="0" fontId="0" fillId="3" borderId="16" xfId="0" applyFill="1" applyBorder="1" applyAlignment="1" applyProtection="1">
      <alignment horizontal="right"/>
    </xf>
    <xf numFmtId="0" fontId="0" fillId="3" borderId="17" xfId="0" applyFill="1" applyBorder="1" applyProtection="1"/>
    <xf numFmtId="0" fontId="0" fillId="3" borderId="19" xfId="0" applyFill="1" applyBorder="1" applyAlignment="1" applyProtection="1">
      <alignment horizontal="right"/>
    </xf>
    <xf numFmtId="0" fontId="0" fillId="3" borderId="20" xfId="0" applyFill="1" applyBorder="1" applyProtection="1"/>
    <xf numFmtId="170" fontId="0" fillId="3" borderId="23" xfId="0" applyNumberFormat="1" applyFill="1" applyBorder="1" applyProtection="1"/>
    <xf numFmtId="0" fontId="19" fillId="3" borderId="9" xfId="0" applyFont="1" applyFill="1" applyBorder="1" applyProtection="1"/>
    <xf numFmtId="0" fontId="0" fillId="3" borderId="9" xfId="0" applyFill="1" applyBorder="1" applyProtection="1"/>
    <xf numFmtId="0" fontId="0" fillId="3" borderId="12" xfId="0" applyFill="1" applyBorder="1" applyAlignment="1" applyProtection="1">
      <alignment wrapText="1"/>
    </xf>
    <xf numFmtId="0" fontId="0" fillId="3" borderId="35" xfId="0" applyFill="1" applyBorder="1" applyProtection="1"/>
    <xf numFmtId="0" fontId="0" fillId="3" borderId="26" xfId="0" applyFill="1" applyBorder="1" applyProtection="1"/>
    <xf numFmtId="170" fontId="0" fillId="3" borderId="29" xfId="0" applyNumberFormat="1" applyFill="1" applyBorder="1" applyProtection="1"/>
    <xf numFmtId="170" fontId="0" fillId="3" borderId="30" xfId="0" applyNumberFormat="1" applyFill="1" applyBorder="1" applyProtection="1"/>
    <xf numFmtId="170" fontId="0" fillId="3" borderId="31" xfId="0" applyNumberFormat="1" applyFill="1" applyBorder="1" applyProtection="1"/>
    <xf numFmtId="170" fontId="0" fillId="3" borderId="28" xfId="0" applyNumberFormat="1" applyFill="1" applyBorder="1" applyProtection="1"/>
    <xf numFmtId="170" fontId="0" fillId="3" borderId="32" xfId="0" applyNumberFormat="1" applyFill="1" applyBorder="1" applyProtection="1"/>
    <xf numFmtId="170" fontId="0" fillId="3" borderId="18" xfId="0" applyNumberFormat="1" applyFill="1" applyBorder="1" applyProtection="1"/>
    <xf numFmtId="170" fontId="0" fillId="3" borderId="8" xfId="0" applyNumberFormat="1" applyFill="1" applyBorder="1" applyProtection="1"/>
    <xf numFmtId="170" fontId="0" fillId="3" borderId="19" xfId="0" applyNumberFormat="1" applyFill="1" applyBorder="1" applyProtection="1"/>
    <xf numFmtId="170" fontId="0" fillId="3" borderId="21" xfId="0" applyNumberFormat="1" applyFill="1" applyBorder="1" applyProtection="1"/>
    <xf numFmtId="170" fontId="0" fillId="3" borderId="22" xfId="0" applyNumberFormat="1" applyFill="1" applyBorder="1" applyProtection="1"/>
    <xf numFmtId="170" fontId="0" fillId="3" borderId="33" xfId="0" applyNumberFormat="1" applyFill="1" applyBorder="1" applyProtection="1"/>
    <xf numFmtId="170" fontId="0" fillId="0" borderId="0" xfId="0" applyNumberFormat="1" applyFill="1" applyBorder="1" applyProtection="1"/>
    <xf numFmtId="170" fontId="0" fillId="0" borderId="0" xfId="0" applyNumberFormat="1" applyProtection="1"/>
    <xf numFmtId="0" fontId="5" fillId="3" borderId="13" xfId="0" applyFont="1" applyFill="1" applyBorder="1" applyProtection="1"/>
    <xf numFmtId="0" fontId="5" fillId="3" borderId="15" xfId="0" applyFont="1" applyFill="1" applyBorder="1" applyProtection="1"/>
    <xf numFmtId="0" fontId="5" fillId="3" borderId="16" xfId="0" applyFont="1" applyFill="1" applyBorder="1" applyAlignment="1" applyProtection="1">
      <alignment wrapText="1"/>
    </xf>
    <xf numFmtId="5" fontId="3" fillId="3" borderId="19" xfId="3" applyNumberFormat="1" applyFill="1" applyBorder="1" applyProtection="1"/>
    <xf numFmtId="0" fontId="0" fillId="3" borderId="36" xfId="0" applyFill="1" applyBorder="1" applyProtection="1"/>
    <xf numFmtId="170" fontId="0" fillId="3" borderId="37" xfId="0" applyNumberFormat="1" applyFill="1" applyBorder="1" applyProtection="1"/>
    <xf numFmtId="5" fontId="3" fillId="3" borderId="38" xfId="3" applyNumberFormat="1" applyFill="1" applyBorder="1" applyProtection="1"/>
    <xf numFmtId="0" fontId="5" fillId="3" borderId="25" xfId="0" applyFont="1" applyFill="1" applyBorder="1" applyProtection="1"/>
    <xf numFmtId="170" fontId="5" fillId="3" borderId="26" xfId="0" applyNumberFormat="1" applyFont="1" applyFill="1" applyBorder="1" applyProtection="1"/>
    <xf numFmtId="5" fontId="5" fillId="3" borderId="27" xfId="3" applyNumberFormat="1" applyFont="1" applyFill="1" applyBorder="1" applyProtection="1"/>
    <xf numFmtId="0" fontId="5" fillId="0" borderId="0" xfId="0" applyFont="1" applyFill="1" applyBorder="1" applyProtection="1"/>
    <xf numFmtId="170" fontId="5" fillId="0" borderId="0" xfId="0" applyNumberFormat="1" applyFont="1" applyFill="1" applyBorder="1" applyProtection="1"/>
    <xf numFmtId="5" fontId="5" fillId="0" borderId="0" xfId="3" applyNumberFormat="1" applyFont="1" applyFill="1" applyBorder="1" applyProtection="1"/>
    <xf numFmtId="0" fontId="5" fillId="3" borderId="20" xfId="0" applyFont="1" applyFill="1" applyBorder="1" applyAlignment="1" applyProtection="1">
      <alignment wrapText="1"/>
    </xf>
    <xf numFmtId="0" fontId="5" fillId="3" borderId="23" xfId="0" applyFont="1" applyFill="1" applyBorder="1" applyAlignment="1" applyProtection="1">
      <alignment wrapText="1"/>
    </xf>
    <xf numFmtId="0" fontId="0" fillId="3" borderId="39" xfId="0" applyFill="1" applyBorder="1" applyProtection="1"/>
    <xf numFmtId="170" fontId="5" fillId="3" borderId="27" xfId="0" applyNumberFormat="1" applyFont="1" applyFill="1" applyBorder="1" applyProtection="1"/>
    <xf numFmtId="173" fontId="18" fillId="0" borderId="0" xfId="16" applyFont="1" applyAlignment="1" applyProtection="1">
      <alignment horizontal="left"/>
    </xf>
    <xf numFmtId="173" fontId="13" fillId="0" borderId="0" xfId="16" applyFont="1" applyFill="1" applyBorder="1" applyProtection="1"/>
    <xf numFmtId="173" fontId="9" fillId="0" borderId="0" xfId="16" applyFont="1" applyFill="1" applyProtection="1"/>
    <xf numFmtId="173" fontId="21" fillId="0" borderId="0" xfId="16" applyFont="1" applyProtection="1"/>
    <xf numFmtId="173" fontId="22" fillId="0" borderId="0" xfId="16" applyFont="1" applyAlignment="1" applyProtection="1">
      <alignment horizontal="left"/>
    </xf>
    <xf numFmtId="173" fontId="13" fillId="0" borderId="17" xfId="16" applyFont="1" applyBorder="1" applyAlignment="1" applyProtection="1">
      <alignment wrapText="1"/>
    </xf>
    <xf numFmtId="173" fontId="13" fillId="0" borderId="17" xfId="16" applyFont="1" applyBorder="1" applyProtection="1"/>
    <xf numFmtId="164" fontId="13" fillId="3" borderId="19" xfId="16" applyNumberFormat="1" applyFont="1" applyFill="1" applyBorder="1" applyAlignment="1" applyProtection="1">
      <alignment horizontal="center"/>
    </xf>
    <xf numFmtId="173" fontId="13" fillId="0" borderId="36" xfId="16" applyFont="1" applyBorder="1" applyProtection="1"/>
    <xf numFmtId="164" fontId="13" fillId="3" borderId="38" xfId="16" applyNumberFormat="1" applyFont="1" applyFill="1" applyBorder="1" applyAlignment="1" applyProtection="1">
      <alignment horizontal="center"/>
    </xf>
    <xf numFmtId="0" fontId="21" fillId="0" borderId="0" xfId="0" applyFont="1" applyFill="1" applyBorder="1" applyAlignment="1" applyProtection="1">
      <alignment horizontal="left" vertical="center"/>
    </xf>
    <xf numFmtId="173" fontId="13" fillId="0" borderId="36" xfId="16" applyFont="1" applyBorder="1" applyAlignment="1" applyProtection="1">
      <alignment wrapText="1"/>
    </xf>
    <xf numFmtId="165" fontId="13" fillId="3" borderId="38" xfId="16" applyNumberFormat="1" applyFont="1" applyFill="1" applyBorder="1" applyAlignment="1" applyProtection="1">
      <alignment horizontal="center"/>
    </xf>
    <xf numFmtId="173" fontId="13" fillId="0" borderId="20" xfId="16" applyFont="1" applyBorder="1" applyProtection="1"/>
    <xf numFmtId="173" fontId="13" fillId="0" borderId="0" xfId="16" applyFont="1" applyBorder="1" applyProtection="1"/>
    <xf numFmtId="173" fontId="13" fillId="0" borderId="0" xfId="16" applyFont="1" applyFill="1" applyProtection="1"/>
    <xf numFmtId="0" fontId="19" fillId="0" borderId="10" xfId="0" applyFont="1" applyBorder="1" applyAlignment="1" applyProtection="1">
      <alignment wrapText="1"/>
    </xf>
    <xf numFmtId="173" fontId="13" fillId="0" borderId="11" xfId="16" applyFont="1" applyBorder="1" applyProtection="1"/>
    <xf numFmtId="10" fontId="13" fillId="0" borderId="0" xfId="17" applyNumberFormat="1" applyFont="1" applyFill="1" applyBorder="1" applyProtection="1"/>
    <xf numFmtId="173" fontId="5" fillId="0" borderId="40" xfId="16" applyFont="1" applyBorder="1" applyAlignment="1" applyProtection="1">
      <alignment horizontal="center"/>
    </xf>
    <xf numFmtId="164" fontId="13" fillId="3" borderId="31" xfId="16" applyNumberFormat="1" applyFont="1" applyFill="1" applyBorder="1" applyProtection="1"/>
    <xf numFmtId="164" fontId="13" fillId="3" borderId="19" xfId="16" applyNumberFormat="1" applyFont="1" applyFill="1" applyBorder="1" applyProtection="1"/>
    <xf numFmtId="173" fontId="19" fillId="0" borderId="9" xfId="16" applyFont="1" applyBorder="1" applyAlignment="1" applyProtection="1">
      <alignment horizontal="left"/>
    </xf>
    <xf numFmtId="173" fontId="23" fillId="0" borderId="17" xfId="16" applyFont="1" applyBorder="1" applyAlignment="1" applyProtection="1">
      <alignment horizontal="left"/>
    </xf>
    <xf numFmtId="173" fontId="13" fillId="0" borderId="19" xfId="16" applyFont="1" applyBorder="1" applyProtection="1"/>
    <xf numFmtId="173" fontId="13" fillId="0" borderId="17" xfId="16" applyFont="1" applyBorder="1" applyAlignment="1" applyProtection="1">
      <alignment horizontal="left" wrapText="1"/>
    </xf>
    <xf numFmtId="3" fontId="13" fillId="3" borderId="19" xfId="16" applyNumberFormat="1" applyFont="1" applyFill="1" applyBorder="1" applyProtection="1"/>
    <xf numFmtId="173" fontId="13" fillId="0" borderId="17" xfId="16" applyFont="1" applyBorder="1" applyAlignment="1" applyProtection="1">
      <alignment horizontal="left"/>
    </xf>
    <xf numFmtId="0" fontId="13" fillId="0" borderId="17" xfId="0" applyFont="1" applyFill="1" applyBorder="1" applyAlignment="1" applyProtection="1">
      <alignment horizontal="left" vertical="center"/>
    </xf>
    <xf numFmtId="2" fontId="13" fillId="3" borderId="19" xfId="16" applyNumberFormat="1" applyFont="1" applyFill="1" applyBorder="1" applyProtection="1"/>
    <xf numFmtId="173" fontId="13" fillId="0" borderId="19" xfId="16" applyFont="1" applyFill="1" applyBorder="1" applyProtection="1"/>
    <xf numFmtId="1" fontId="13" fillId="3" borderId="19" xfId="16" applyNumberFormat="1" applyFont="1" applyFill="1" applyBorder="1" applyProtection="1"/>
    <xf numFmtId="173" fontId="24" fillId="0" borderId="0" xfId="16" applyFont="1" applyFill="1" applyProtection="1"/>
    <xf numFmtId="0" fontId="0" fillId="0" borderId="0" xfId="0" applyBorder="1" applyProtection="1"/>
    <xf numFmtId="9" fontId="13" fillId="3" borderId="19" xfId="16" applyNumberFormat="1" applyFont="1" applyFill="1" applyBorder="1" applyProtection="1"/>
    <xf numFmtId="9" fontId="13" fillId="3" borderId="7" xfId="16" applyNumberFormat="1" applyFont="1" applyFill="1" applyBorder="1" applyProtection="1"/>
    <xf numFmtId="164" fontId="13" fillId="0" borderId="19" xfId="16" applyNumberFormat="1" applyFont="1" applyFill="1" applyBorder="1" applyProtection="1"/>
    <xf numFmtId="173" fontId="23" fillId="0" borderId="17" xfId="16" applyFont="1" applyBorder="1" applyProtection="1"/>
    <xf numFmtId="9" fontId="13" fillId="0" borderId="19" xfId="16" applyNumberFormat="1" applyFont="1" applyFill="1" applyBorder="1" applyProtection="1"/>
    <xf numFmtId="10" fontId="13" fillId="3" borderId="19" xfId="16" applyNumberFormat="1" applyFont="1" applyFill="1" applyBorder="1" applyProtection="1"/>
    <xf numFmtId="7" fontId="13" fillId="0" borderId="0" xfId="3" applyNumberFormat="1" applyFont="1" applyFill="1" applyBorder="1" applyProtection="1"/>
    <xf numFmtId="1" fontId="13" fillId="3" borderId="19" xfId="16" applyNumberFormat="1" applyFont="1" applyFill="1" applyBorder="1" applyAlignment="1" applyProtection="1">
      <alignment horizontal="right"/>
    </xf>
    <xf numFmtId="170" fontId="13" fillId="3" borderId="19" xfId="16" applyNumberFormat="1" applyFont="1" applyFill="1" applyBorder="1" applyAlignment="1" applyProtection="1">
      <alignment horizontal="right"/>
    </xf>
    <xf numFmtId="173" fontId="13" fillId="0" borderId="20" xfId="16" applyFont="1" applyBorder="1" applyAlignment="1" applyProtection="1">
      <alignment wrapText="1"/>
    </xf>
    <xf numFmtId="0" fontId="0" fillId="0" borderId="10" xfId="0" applyBorder="1" applyAlignment="1" applyProtection="1">
      <alignment wrapText="1"/>
    </xf>
    <xf numFmtId="173" fontId="5" fillId="0" borderId="0" xfId="16" applyFont="1" applyFill="1" applyBorder="1" applyAlignment="1" applyProtection="1">
      <alignment horizontal="center" wrapText="1"/>
    </xf>
    <xf numFmtId="173" fontId="13" fillId="3" borderId="13" xfId="16" applyFont="1" applyFill="1" applyBorder="1" applyProtection="1"/>
    <xf numFmtId="173" fontId="13" fillId="3" borderId="15" xfId="16" applyFont="1" applyFill="1" applyBorder="1" applyProtection="1"/>
    <xf numFmtId="165" fontId="13" fillId="3" borderId="15" xfId="16" applyNumberFormat="1" applyFont="1" applyFill="1" applyBorder="1" applyProtection="1"/>
    <xf numFmtId="170" fontId="13" fillId="3" borderId="15" xfId="16" applyNumberFormat="1" applyFont="1" applyFill="1" applyBorder="1" applyProtection="1"/>
    <xf numFmtId="6" fontId="13" fillId="3" borderId="15" xfId="16" applyNumberFormat="1" applyFont="1" applyFill="1" applyBorder="1" applyProtection="1"/>
    <xf numFmtId="164" fontId="3" fillId="3" borderId="15" xfId="17" applyNumberFormat="1" applyFill="1" applyBorder="1" applyProtection="1"/>
    <xf numFmtId="173" fontId="13" fillId="3" borderId="8" xfId="16" applyFont="1" applyFill="1" applyBorder="1" applyProtection="1"/>
    <xf numFmtId="165" fontId="13" fillId="3" borderId="8" xfId="16" applyNumberFormat="1" applyFont="1" applyFill="1" applyBorder="1" applyProtection="1"/>
    <xf numFmtId="6" fontId="13" fillId="3" borderId="8" xfId="16" applyNumberFormat="1" applyFont="1" applyFill="1" applyBorder="1" applyProtection="1"/>
    <xf numFmtId="164" fontId="3" fillId="3" borderId="8" xfId="17" applyNumberFormat="1" applyFill="1" applyBorder="1" applyProtection="1"/>
    <xf numFmtId="173" fontId="13" fillId="3" borderId="22" xfId="16" applyFont="1" applyFill="1" applyBorder="1" applyProtection="1"/>
    <xf numFmtId="6" fontId="13" fillId="3" borderId="22" xfId="16" applyNumberFormat="1" applyFont="1" applyFill="1" applyBorder="1" applyProtection="1"/>
    <xf numFmtId="173" fontId="13" fillId="0" borderId="0" xfId="16" applyFont="1" applyAlignment="1" applyProtection="1">
      <alignment horizontal="right"/>
    </xf>
    <xf numFmtId="170" fontId="13" fillId="0" borderId="0" xfId="16" applyNumberFormat="1" applyFont="1" applyFill="1" applyProtection="1"/>
    <xf numFmtId="0" fontId="19" fillId="0" borderId="11" xfId="0" applyFont="1" applyBorder="1" applyAlignment="1" applyProtection="1">
      <alignment wrapText="1"/>
    </xf>
    <xf numFmtId="173" fontId="13" fillId="3" borderId="17" xfId="16" applyFont="1" applyFill="1" applyBorder="1" applyAlignment="1" applyProtection="1">
      <alignment horizontal="right"/>
    </xf>
    <xf numFmtId="10" fontId="13" fillId="3" borderId="8" xfId="16" applyNumberFormat="1" applyFont="1" applyFill="1" applyBorder="1" applyProtection="1"/>
    <xf numFmtId="169" fontId="13" fillId="3" borderId="19" xfId="16" applyNumberFormat="1" applyFont="1" applyFill="1" applyBorder="1" applyAlignment="1" applyProtection="1">
      <alignment horizontal="right"/>
    </xf>
    <xf numFmtId="173" fontId="13" fillId="3" borderId="20" xfId="16" applyFont="1" applyFill="1" applyBorder="1" applyAlignment="1" applyProtection="1">
      <alignment horizontal="right" wrapText="1"/>
    </xf>
    <xf numFmtId="10" fontId="13" fillId="3" borderId="22" xfId="16" applyNumberFormat="1" applyFont="1" applyFill="1" applyBorder="1" applyProtection="1"/>
    <xf numFmtId="169" fontId="13" fillId="3" borderId="23" xfId="16" applyNumberFormat="1" applyFont="1" applyFill="1" applyBorder="1" applyAlignment="1" applyProtection="1">
      <alignment horizontal="right"/>
    </xf>
    <xf numFmtId="173" fontId="19" fillId="0" borderId="46" xfId="16" applyFont="1" applyFill="1" applyBorder="1" applyAlignment="1" applyProtection="1"/>
    <xf numFmtId="0" fontId="0" fillId="0" borderId="47" xfId="0" applyBorder="1" applyAlignment="1" applyProtection="1">
      <alignment wrapText="1"/>
    </xf>
    <xf numFmtId="173" fontId="19" fillId="0" borderId="9" xfId="16" applyFont="1" applyFill="1" applyBorder="1" applyAlignment="1" applyProtection="1">
      <alignment wrapText="1"/>
    </xf>
    <xf numFmtId="0" fontId="19" fillId="0" borderId="9" xfId="0" applyFont="1" applyBorder="1" applyAlignment="1" applyProtection="1">
      <alignment wrapText="1"/>
    </xf>
    <xf numFmtId="173" fontId="5" fillId="0" borderId="48" xfId="16" applyFont="1" applyFill="1" applyBorder="1" applyAlignment="1" applyProtection="1">
      <alignment horizontal="center"/>
    </xf>
    <xf numFmtId="173" fontId="13" fillId="3" borderId="49" xfId="16" applyFont="1" applyFill="1" applyBorder="1" applyProtection="1"/>
    <xf numFmtId="169" fontId="13" fillId="3" borderId="17" xfId="16" applyNumberFormat="1" applyFont="1" applyFill="1" applyBorder="1" applyProtection="1"/>
    <xf numFmtId="169" fontId="13" fillId="3" borderId="8" xfId="16" applyNumberFormat="1" applyFont="1" applyFill="1" applyBorder="1" applyProtection="1"/>
    <xf numFmtId="173" fontId="13" fillId="3" borderId="50" xfId="16" applyFont="1" applyFill="1" applyBorder="1" applyProtection="1"/>
    <xf numFmtId="0" fontId="0" fillId="0" borderId="0" xfId="0" applyAlignment="1" applyProtection="1">
      <alignment wrapText="1"/>
      <protection locked="0"/>
    </xf>
    <xf numFmtId="0" fontId="0" fillId="0" borderId="0" xfId="0" applyProtection="1">
      <protection locked="0"/>
    </xf>
    <xf numFmtId="0" fontId="13" fillId="0" borderId="0" xfId="0" applyFont="1" applyFill="1" applyProtection="1">
      <protection locked="0"/>
    </xf>
    <xf numFmtId="0" fontId="5" fillId="0" borderId="0" xfId="0" applyFont="1" applyFill="1" applyProtection="1"/>
    <xf numFmtId="0" fontId="5" fillId="0" borderId="0" xfId="0" applyFont="1" applyFill="1" applyProtection="1">
      <protection locked="0"/>
    </xf>
    <xf numFmtId="170" fontId="0" fillId="0" borderId="0" xfId="0" applyNumberFormat="1" applyAlignment="1" applyProtection="1">
      <alignment wrapText="1"/>
      <protection locked="0"/>
    </xf>
    <xf numFmtId="170" fontId="0" fillId="3" borderId="15" xfId="0" applyNumberFormat="1" applyFill="1" applyBorder="1" applyAlignment="1" applyProtection="1">
      <alignment horizontal="center" vertical="center" wrapText="1"/>
    </xf>
    <xf numFmtId="170" fontId="13" fillId="3" borderId="15" xfId="0" applyNumberFormat="1" applyFont="1" applyFill="1" applyBorder="1" applyAlignment="1" applyProtection="1">
      <alignment horizontal="center" vertical="center" wrapText="1"/>
    </xf>
    <xf numFmtId="170" fontId="0" fillId="3" borderId="8" xfId="0" applyNumberFormat="1" applyFill="1" applyBorder="1" applyAlignment="1" applyProtection="1">
      <alignment horizontal="center" vertical="center" wrapText="1"/>
    </xf>
    <xf numFmtId="170" fontId="13" fillId="3" borderId="8" xfId="0" applyNumberFormat="1" applyFont="1" applyFill="1" applyBorder="1" applyAlignment="1" applyProtection="1">
      <alignment horizontal="center" vertical="center" wrapText="1"/>
    </xf>
    <xf numFmtId="170" fontId="0" fillId="3" borderId="22" xfId="0" applyNumberFormat="1" applyFill="1" applyBorder="1" applyAlignment="1" applyProtection="1">
      <alignment horizontal="center" vertical="center" wrapText="1"/>
    </xf>
    <xf numFmtId="170" fontId="13" fillId="3" borderId="22" xfId="0" applyNumberFormat="1" applyFont="1" applyFill="1" applyBorder="1" applyAlignment="1" applyProtection="1">
      <alignment horizontal="center" vertical="center" wrapText="1"/>
    </xf>
    <xf numFmtId="0" fontId="0" fillId="0" borderId="0" xfId="0" quotePrefix="1" applyProtection="1">
      <protection locked="0"/>
    </xf>
    <xf numFmtId="0" fontId="0" fillId="0" borderId="0" xfId="0" applyBorder="1"/>
    <xf numFmtId="0" fontId="28" fillId="0" borderId="25" xfId="0" applyFont="1" applyBorder="1" applyAlignment="1" applyProtection="1">
      <alignment wrapText="1"/>
    </xf>
    <xf numFmtId="0" fontId="28" fillId="0" borderId="51" xfId="0" applyFont="1" applyFill="1" applyBorder="1" applyAlignment="1" applyProtection="1">
      <alignment horizontal="center" wrapText="1"/>
    </xf>
    <xf numFmtId="0" fontId="28" fillId="0" borderId="52" xfId="0" applyFont="1" applyFill="1" applyBorder="1" applyAlignment="1" applyProtection="1">
      <alignment horizontal="center" wrapText="1"/>
    </xf>
    <xf numFmtId="0" fontId="28" fillId="0" borderId="53" xfId="0" applyFont="1" applyFill="1" applyBorder="1" applyAlignment="1" applyProtection="1">
      <alignment horizontal="center" wrapText="1"/>
    </xf>
    <xf numFmtId="0" fontId="28" fillId="0" borderId="54" xfId="0" applyFont="1" applyFill="1" applyBorder="1" applyAlignment="1" applyProtection="1">
      <alignment horizontal="center" wrapText="1"/>
    </xf>
    <xf numFmtId="173" fontId="5" fillId="0" borderId="0" xfId="16" applyFont="1" applyAlignment="1" applyProtection="1">
      <alignment vertical="top" wrapText="1"/>
    </xf>
    <xf numFmtId="0" fontId="13" fillId="3" borderId="8" xfId="16" applyNumberFormat="1" applyFont="1" applyFill="1" applyBorder="1" applyProtection="1"/>
    <xf numFmtId="0" fontId="30" fillId="0" borderId="10" xfId="0" applyFont="1" applyBorder="1" applyAlignment="1" applyProtection="1">
      <alignment wrapText="1"/>
    </xf>
    <xf numFmtId="0" fontId="30" fillId="0" borderId="10" xfId="0" quotePrefix="1" applyFont="1" applyBorder="1" applyAlignment="1" applyProtection="1">
      <alignment wrapText="1"/>
    </xf>
    <xf numFmtId="169" fontId="13" fillId="3" borderId="18" xfId="16" applyNumberFormat="1" applyFont="1" applyFill="1" applyBorder="1" applyProtection="1"/>
    <xf numFmtId="0" fontId="19" fillId="0" borderId="25" xfId="0" applyFont="1" applyBorder="1" applyAlignment="1" applyProtection="1">
      <alignment wrapText="1"/>
    </xf>
    <xf numFmtId="169" fontId="13" fillId="3" borderId="55" xfId="16" applyNumberFormat="1" applyFont="1" applyFill="1" applyBorder="1" applyProtection="1"/>
    <xf numFmtId="169" fontId="13" fillId="3" borderId="19" xfId="16" applyNumberFormat="1" applyFont="1" applyFill="1" applyBorder="1" applyProtection="1"/>
    <xf numFmtId="173" fontId="13" fillId="0" borderId="56" xfId="16" applyFont="1" applyBorder="1" applyProtection="1"/>
    <xf numFmtId="173" fontId="5" fillId="0" borderId="34" xfId="16" applyFont="1" applyFill="1" applyBorder="1" applyAlignment="1" applyProtection="1">
      <alignment horizontal="center" wrapText="1"/>
    </xf>
    <xf numFmtId="173" fontId="5" fillId="7" borderId="34" xfId="16" applyFont="1" applyFill="1" applyBorder="1" applyAlignment="1" applyProtection="1">
      <alignment horizontal="center" wrapText="1"/>
    </xf>
    <xf numFmtId="169" fontId="13" fillId="7" borderId="17" xfId="16" applyNumberFormat="1" applyFont="1" applyFill="1" applyBorder="1" applyProtection="1"/>
    <xf numFmtId="174" fontId="13" fillId="7" borderId="17" xfId="16" applyNumberFormat="1" applyFont="1" applyFill="1" applyBorder="1" applyProtection="1"/>
    <xf numFmtId="174" fontId="13" fillId="7" borderId="20" xfId="16" applyNumberFormat="1" applyFont="1" applyFill="1" applyBorder="1" applyProtection="1"/>
    <xf numFmtId="0" fontId="0" fillId="6" borderId="0" xfId="0" applyFill="1" applyBorder="1" applyAlignment="1">
      <alignment horizontal="left" vertical="top" wrapText="1"/>
    </xf>
    <xf numFmtId="170" fontId="0" fillId="3" borderId="57" xfId="0" applyNumberFormat="1" applyFill="1" applyBorder="1" applyAlignment="1">
      <alignment vertical="top" wrapText="1"/>
    </xf>
    <xf numFmtId="7" fontId="0" fillId="3" borderId="57" xfId="0" applyNumberFormat="1" applyFill="1" applyBorder="1" applyAlignment="1">
      <alignment vertical="top" wrapText="1"/>
    </xf>
    <xf numFmtId="170" fontId="0" fillId="3" borderId="57" xfId="0" applyNumberFormat="1" applyFill="1" applyBorder="1" applyAlignment="1">
      <alignment horizontal="right" vertical="top" wrapText="1"/>
    </xf>
    <xf numFmtId="0" fontId="5" fillId="7" borderId="1" xfId="0" applyFont="1" applyFill="1" applyBorder="1" applyProtection="1"/>
    <xf numFmtId="0" fontId="0" fillId="7" borderId="2" xfId="0" applyFill="1" applyBorder="1" applyProtection="1"/>
    <xf numFmtId="9" fontId="0" fillId="7" borderId="2" xfId="17" applyFont="1" applyFill="1" applyBorder="1" applyProtection="1"/>
    <xf numFmtId="0" fontId="0" fillId="7" borderId="4" xfId="0" applyFill="1" applyBorder="1"/>
    <xf numFmtId="0" fontId="0" fillId="7" borderId="0" xfId="0" applyFill="1" applyBorder="1"/>
    <xf numFmtId="0" fontId="6" fillId="7" borderId="4" xfId="5" applyFill="1" applyBorder="1" applyAlignment="1" applyProtection="1"/>
    <xf numFmtId="0" fontId="0" fillId="7" borderId="4" xfId="0" applyFill="1" applyBorder="1" applyAlignment="1" applyProtection="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5" fillId="7" borderId="1" xfId="0" applyFont="1" applyFill="1" applyBorder="1"/>
    <xf numFmtId="0" fontId="0" fillId="7" borderId="2" xfId="0" applyFill="1" applyBorder="1"/>
    <xf numFmtId="0" fontId="5" fillId="7" borderId="4" xfId="0" applyFont="1" applyFill="1" applyBorder="1"/>
    <xf numFmtId="0" fontId="0" fillId="7" borderId="59" xfId="0" applyFill="1" applyBorder="1"/>
    <xf numFmtId="0" fontId="0" fillId="0" borderId="0" xfId="0" applyFill="1" applyBorder="1"/>
    <xf numFmtId="0" fontId="0" fillId="8" borderId="13" xfId="0" applyFill="1" applyBorder="1"/>
    <xf numFmtId="0" fontId="0" fillId="8" borderId="15" xfId="0" applyFill="1" applyBorder="1" applyAlignment="1">
      <alignment horizontal="center" wrapText="1"/>
    </xf>
    <xf numFmtId="0" fontId="0" fillId="8" borderId="15" xfId="0" applyFill="1" applyBorder="1"/>
    <xf numFmtId="0" fontId="0" fillId="8" borderId="60" xfId="0" applyFill="1" applyBorder="1"/>
    <xf numFmtId="0" fontId="0" fillId="8" borderId="17" xfId="0" applyFill="1" applyBorder="1"/>
    <xf numFmtId="0" fontId="0" fillId="8" borderId="8" xfId="0" applyFill="1" applyBorder="1"/>
    <xf numFmtId="0" fontId="0" fillId="8" borderId="55" xfId="0" applyFill="1" applyBorder="1"/>
    <xf numFmtId="0" fontId="0" fillId="8" borderId="55" xfId="0" applyFill="1" applyBorder="1" applyAlignment="1">
      <alignment horizontal="center"/>
    </xf>
    <xf numFmtId="0" fontId="0" fillId="8" borderId="17" xfId="0" applyFill="1" applyBorder="1" applyAlignment="1">
      <alignment wrapText="1"/>
    </xf>
    <xf numFmtId="0" fontId="0" fillId="8" borderId="20" xfId="0" applyFill="1" applyBorder="1"/>
    <xf numFmtId="0" fontId="0" fillId="8" borderId="22" xfId="0" applyFill="1" applyBorder="1"/>
    <xf numFmtId="0" fontId="0" fillId="8" borderId="61" xfId="0" applyFill="1" applyBorder="1"/>
    <xf numFmtId="0" fontId="0" fillId="9" borderId="8" xfId="0" applyFill="1" applyBorder="1"/>
    <xf numFmtId="0" fontId="0" fillId="9" borderId="4" xfId="0" applyFill="1" applyBorder="1"/>
    <xf numFmtId="0" fontId="0" fillId="4" borderId="8" xfId="0" applyFill="1" applyBorder="1"/>
    <xf numFmtId="0" fontId="0" fillId="4" borderId="4" xfId="0" applyFill="1" applyBorder="1"/>
    <xf numFmtId="0" fontId="0" fillId="10" borderId="8" xfId="0" applyFill="1" applyBorder="1"/>
    <xf numFmtId="0" fontId="0" fillId="10" borderId="4" xfId="0" applyFill="1" applyBorder="1"/>
    <xf numFmtId="0" fontId="0" fillId="11" borderId="8" xfId="0" applyFill="1" applyBorder="1"/>
    <xf numFmtId="0" fontId="0" fillId="11" borderId="4" xfId="0" applyFill="1" applyBorder="1"/>
    <xf numFmtId="0" fontId="0" fillId="12" borderId="8"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4" borderId="0" xfId="0" applyNumberFormat="1" applyFill="1"/>
    <xf numFmtId="43" fontId="0" fillId="4"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0" fontId="0" fillId="7" borderId="0" xfId="0" applyFill="1"/>
    <xf numFmtId="43" fontId="0" fillId="0" borderId="0" xfId="0" applyNumberFormat="1" applyFill="1"/>
    <xf numFmtId="0" fontId="0" fillId="13" borderId="8" xfId="0" applyFill="1" applyBorder="1"/>
    <xf numFmtId="43" fontId="0" fillId="14" borderId="0" xfId="1" applyFont="1" applyFill="1" applyBorder="1"/>
    <xf numFmtId="0" fontId="0" fillId="14" borderId="0" xfId="0" applyFill="1"/>
    <xf numFmtId="2" fontId="9" fillId="14" borderId="0" xfId="0" applyNumberFormat="1" applyFont="1" applyFill="1" applyBorder="1" applyAlignment="1" applyProtection="1">
      <alignment wrapText="1"/>
    </xf>
    <xf numFmtId="43" fontId="0" fillId="14" borderId="62" xfId="0" applyNumberFormat="1" applyFill="1" applyBorder="1"/>
    <xf numFmtId="0" fontId="0" fillId="14" borderId="4" xfId="0" applyFill="1" applyBorder="1"/>
    <xf numFmtId="0" fontId="13" fillId="14" borderId="63" xfId="0" applyFont="1" applyFill="1" applyBorder="1" applyProtection="1"/>
    <xf numFmtId="0" fontId="13" fillId="14" borderId="17" xfId="0" applyFont="1" applyFill="1" applyBorder="1" applyProtection="1"/>
    <xf numFmtId="0" fontId="3" fillId="0" borderId="0" xfId="0" applyFont="1"/>
    <xf numFmtId="0" fontId="3" fillId="7" borderId="0" xfId="0" applyFont="1" applyFill="1"/>
    <xf numFmtId="0" fontId="3" fillId="4" borderId="0" xfId="0" applyFont="1" applyFill="1"/>
    <xf numFmtId="0" fontId="3" fillId="9" borderId="0" xfId="0" applyFont="1" applyFill="1"/>
    <xf numFmtId="0" fontId="3" fillId="11" borderId="0" xfId="0" applyFont="1" applyFill="1"/>
    <xf numFmtId="0" fontId="3" fillId="12" borderId="0" xfId="0" applyFont="1" applyFill="1"/>
    <xf numFmtId="0" fontId="3" fillId="10" borderId="0" xfId="0" applyFont="1" applyFill="1"/>
    <xf numFmtId="164" fontId="14" fillId="0" borderId="64" xfId="16" applyNumberFormat="1" applyFont="1" applyFill="1" applyBorder="1" applyProtection="1"/>
    <xf numFmtId="0" fontId="0" fillId="3" borderId="15" xfId="0" applyFill="1" applyBorder="1" applyAlignment="1" applyProtection="1">
      <alignment horizontal="right" vertical="center" wrapText="1"/>
    </xf>
    <xf numFmtId="0" fontId="0" fillId="3" borderId="8" xfId="0" applyFill="1" applyBorder="1" applyAlignment="1" applyProtection="1">
      <alignment horizontal="right" vertical="center" wrapText="1"/>
    </xf>
    <xf numFmtId="0" fontId="0" fillId="3" borderId="22" xfId="0" applyFill="1" applyBorder="1" applyAlignment="1" applyProtection="1">
      <alignment horizontal="right" vertical="center" wrapText="1"/>
    </xf>
    <xf numFmtId="0" fontId="33" fillId="0" borderId="0" xfId="0" applyFont="1"/>
    <xf numFmtId="173" fontId="5" fillId="0" borderId="17" xfId="16" applyFont="1" applyBorder="1" applyAlignment="1" applyProtection="1">
      <alignment wrapText="1"/>
    </xf>
    <xf numFmtId="0" fontId="27" fillId="2" borderId="0" xfId="0" applyFont="1" applyFill="1" applyBorder="1" applyAlignment="1">
      <alignment horizontal="center" vertical="top" wrapText="1"/>
    </xf>
    <xf numFmtId="0" fontId="0" fillId="2" borderId="0" xfId="0" applyFill="1" applyBorder="1" applyAlignment="1">
      <alignment vertical="top" wrapText="1"/>
    </xf>
    <xf numFmtId="0" fontId="0" fillId="2" borderId="5" xfId="0" applyFill="1" applyBorder="1" applyAlignment="1">
      <alignment vertical="top" wrapText="1"/>
    </xf>
    <xf numFmtId="0" fontId="0" fillId="2" borderId="4" xfId="0" applyFill="1" applyBorder="1" applyAlignment="1">
      <alignment vertical="top" wrapText="1"/>
    </xf>
    <xf numFmtId="0" fontId="13" fillId="2" borderId="4" xfId="0" applyFont="1" applyFill="1" applyBorder="1" applyAlignment="1">
      <alignment vertical="top" wrapText="1"/>
    </xf>
    <xf numFmtId="0" fontId="3" fillId="2" borderId="4" xfId="0" applyFont="1" applyFill="1" applyBorder="1" applyAlignment="1">
      <alignment vertical="top" wrapText="1"/>
    </xf>
    <xf numFmtId="0" fontId="5" fillId="2" borderId="4" xfId="0" applyFont="1" applyFill="1" applyBorder="1" applyAlignment="1">
      <alignment vertical="top" wrapText="1"/>
    </xf>
    <xf numFmtId="0" fontId="13" fillId="2" borderId="0" xfId="0" applyFont="1" applyFill="1" applyBorder="1" applyAlignment="1">
      <alignment vertical="top" wrapText="1"/>
    </xf>
    <xf numFmtId="0" fontId="0" fillId="2" borderId="0" xfId="0" applyFill="1" applyAlignment="1">
      <alignment vertical="top" wrapText="1"/>
    </xf>
    <xf numFmtId="0" fontId="7" fillId="2" borderId="4" xfId="0" applyFont="1" applyFill="1" applyBorder="1" applyAlignment="1">
      <alignment vertical="top" wrapText="1"/>
    </xf>
    <xf numFmtId="0" fontId="0" fillId="2" borderId="4" xfId="0" applyFill="1" applyBorder="1" applyAlignment="1">
      <alignment horizontal="center" vertical="top" wrapText="1"/>
    </xf>
    <xf numFmtId="0" fontId="0" fillId="2" borderId="0" xfId="0" applyFill="1" applyBorder="1" applyAlignment="1">
      <alignment horizontal="center" vertical="top" wrapText="1"/>
    </xf>
    <xf numFmtId="170" fontId="0" fillId="2" borderId="0" xfId="0" applyNumberFormat="1" applyFill="1" applyBorder="1" applyAlignment="1">
      <alignment horizontal="center" vertical="top" wrapText="1"/>
    </xf>
    <xf numFmtId="0" fontId="0" fillId="2" borderId="5" xfId="0" applyFill="1" applyBorder="1" applyAlignment="1">
      <alignment vertical="top"/>
    </xf>
    <xf numFmtId="0" fontId="0" fillId="2" borderId="0" xfId="0" applyFill="1"/>
    <xf numFmtId="0" fontId="5" fillId="2" borderId="4" xfId="0" applyFont="1" applyFill="1" applyBorder="1" applyAlignment="1">
      <alignment horizontal="left" vertical="top" wrapText="1"/>
    </xf>
    <xf numFmtId="0" fontId="0" fillId="2" borderId="0" xfId="0" applyFill="1" applyAlignment="1">
      <alignment horizontal="center" vertical="top"/>
    </xf>
    <xf numFmtId="3" fontId="0" fillId="2" borderId="0" xfId="0" applyNumberFormat="1" applyFill="1" applyAlignment="1">
      <alignment horizontal="center" vertical="top"/>
    </xf>
    <xf numFmtId="0" fontId="7" fillId="2" borderId="58" xfId="0" applyFont="1" applyFill="1" applyBorder="1" applyAlignment="1">
      <alignment vertical="top" wrapText="1"/>
    </xf>
    <xf numFmtId="0" fontId="15" fillId="2" borderId="24" xfId="0" applyFont="1" applyFill="1" applyBorder="1" applyAlignment="1" applyProtection="1">
      <alignment horizontal="left"/>
    </xf>
    <xf numFmtId="3" fontId="5" fillId="2" borderId="65" xfId="0" applyNumberFormat="1" applyFont="1" applyFill="1" applyBorder="1" applyAlignment="1" applyProtection="1">
      <alignment vertical="center" wrapText="1"/>
    </xf>
    <xf numFmtId="0" fontId="5" fillId="2" borderId="65" xfId="0" applyFont="1" applyFill="1" applyBorder="1" applyAlignment="1" applyProtection="1">
      <alignment horizontal="left" vertical="center" wrapText="1"/>
    </xf>
    <xf numFmtId="0" fontId="13" fillId="2" borderId="65" xfId="0" applyFont="1" applyFill="1" applyBorder="1" applyAlignment="1" applyProtection="1">
      <alignment horizontal="left" vertical="center" wrapText="1"/>
    </xf>
    <xf numFmtId="0" fontId="0" fillId="2" borderId="66" xfId="0" applyFill="1" applyBorder="1" applyProtection="1"/>
    <xf numFmtId="0" fontId="15" fillId="2" borderId="25" xfId="0" applyFont="1" applyFill="1" applyBorder="1" applyAlignment="1" applyProtection="1">
      <alignment horizontal="left"/>
    </xf>
    <xf numFmtId="3" fontId="5" fillId="2" borderId="42" xfId="0" applyNumberFormat="1" applyFont="1" applyFill="1" applyBorder="1" applyAlignment="1" applyProtection="1">
      <alignment vertical="center" wrapText="1"/>
    </xf>
    <xf numFmtId="0" fontId="5" fillId="2" borderId="26" xfId="0" applyFont="1" applyFill="1" applyBorder="1" applyAlignment="1" applyProtection="1">
      <alignment horizontal="left" vertical="center" wrapText="1"/>
    </xf>
    <xf numFmtId="0" fontId="5" fillId="2" borderId="27" xfId="0" applyFont="1" applyFill="1" applyBorder="1" applyAlignment="1" applyProtection="1">
      <alignment vertical="center"/>
    </xf>
    <xf numFmtId="0" fontId="13" fillId="2" borderId="67" xfId="0" applyFont="1" applyFill="1" applyBorder="1" applyAlignment="1" applyProtection="1">
      <alignment wrapText="1"/>
    </xf>
    <xf numFmtId="0" fontId="13" fillId="2" borderId="68" xfId="0" applyFont="1" applyFill="1" applyBorder="1" applyAlignment="1" applyProtection="1">
      <alignment wrapText="1"/>
      <protection locked="0"/>
    </xf>
    <xf numFmtId="0" fontId="13" fillId="2" borderId="69" xfId="0" applyFont="1" applyFill="1" applyBorder="1" applyAlignment="1" applyProtection="1">
      <alignment wrapText="1"/>
      <protection locked="0"/>
    </xf>
    <xf numFmtId="0" fontId="5" fillId="2" borderId="70" xfId="0" applyFont="1" applyFill="1" applyBorder="1" applyAlignment="1" applyProtection="1">
      <alignment wrapText="1"/>
    </xf>
    <xf numFmtId="0" fontId="5" fillId="2" borderId="25" xfId="0" applyFont="1" applyFill="1" applyBorder="1" applyAlignment="1" applyProtection="1">
      <alignment horizontal="center"/>
    </xf>
    <xf numFmtId="0" fontId="5" fillId="2" borderId="69" xfId="0" applyFont="1" applyFill="1" applyBorder="1" applyAlignment="1" applyProtection="1">
      <alignment horizontal="center" wrapText="1"/>
    </xf>
    <xf numFmtId="0" fontId="5" fillId="2" borderId="26" xfId="0" applyFont="1" applyFill="1" applyBorder="1" applyAlignment="1" applyProtection="1">
      <alignment horizontal="center" wrapText="1"/>
    </xf>
    <xf numFmtId="0" fontId="5" fillId="2" borderId="26" xfId="0" applyFont="1" applyFill="1" applyBorder="1" applyAlignment="1" applyProtection="1">
      <alignment wrapText="1"/>
    </xf>
    <xf numFmtId="0" fontId="5" fillId="2" borderId="27" xfId="0" applyFont="1" applyFill="1" applyBorder="1" applyAlignment="1" applyProtection="1">
      <alignment wrapText="1"/>
    </xf>
    <xf numFmtId="0" fontId="5" fillId="2" borderId="41" xfId="0" applyFont="1" applyFill="1" applyBorder="1" applyAlignment="1" applyProtection="1">
      <alignment horizontal="center"/>
    </xf>
    <xf numFmtId="0" fontId="5" fillId="2" borderId="42" xfId="0" applyFont="1" applyFill="1" applyBorder="1" applyAlignment="1" applyProtection="1">
      <alignment horizontal="center" wrapText="1"/>
    </xf>
    <xf numFmtId="0" fontId="5" fillId="2" borderId="42" xfId="0" applyFont="1" applyFill="1" applyBorder="1" applyAlignment="1" applyProtection="1">
      <alignment wrapText="1"/>
    </xf>
    <xf numFmtId="0" fontId="5" fillId="2" borderId="71" xfId="0" applyFont="1" applyFill="1" applyBorder="1" applyAlignment="1" applyProtection="1">
      <alignment wrapText="1"/>
    </xf>
    <xf numFmtId="170" fontId="13" fillId="2" borderId="15" xfId="0" applyNumberFormat="1" applyFont="1" applyFill="1" applyBorder="1" applyAlignment="1" applyProtection="1">
      <alignment horizontal="right" vertical="center" wrapText="1"/>
      <protection locked="0"/>
    </xf>
    <xf numFmtId="171" fontId="13" fillId="2" borderId="15" xfId="0" applyNumberFormat="1" applyFont="1" applyFill="1" applyBorder="1" applyAlignment="1" applyProtection="1">
      <alignment horizontal="right" vertical="center" wrapText="1"/>
      <protection locked="0"/>
    </xf>
    <xf numFmtId="3" fontId="13" fillId="2" borderId="15" xfId="0" applyNumberFormat="1" applyFont="1" applyFill="1" applyBorder="1" applyAlignment="1" applyProtection="1">
      <alignment horizontal="right" vertical="center" wrapText="1"/>
      <protection locked="0"/>
    </xf>
    <xf numFmtId="3" fontId="13" fillId="2" borderId="16" xfId="0" applyNumberFormat="1" applyFont="1" applyFill="1" applyBorder="1" applyAlignment="1" applyProtection="1">
      <alignment horizontal="right" vertical="center" wrapText="1"/>
      <protection locked="0"/>
    </xf>
    <xf numFmtId="170" fontId="13" fillId="2" borderId="8" xfId="0" applyNumberFormat="1" applyFont="1" applyFill="1" applyBorder="1" applyAlignment="1" applyProtection="1">
      <alignment horizontal="right" vertical="center" wrapText="1"/>
      <protection locked="0"/>
    </xf>
    <xf numFmtId="171" fontId="13" fillId="2" borderId="8" xfId="0" applyNumberFormat="1" applyFont="1" applyFill="1" applyBorder="1" applyAlignment="1" applyProtection="1">
      <alignment horizontal="right" vertical="center" wrapText="1"/>
      <protection locked="0"/>
    </xf>
    <xf numFmtId="3" fontId="13" fillId="2" borderId="8" xfId="0" applyNumberFormat="1" applyFont="1" applyFill="1" applyBorder="1" applyAlignment="1" applyProtection="1">
      <alignment horizontal="right" vertical="center" wrapText="1"/>
      <protection locked="0"/>
    </xf>
    <xf numFmtId="3" fontId="13" fillId="2" borderId="19" xfId="0" applyNumberFormat="1" applyFont="1" applyFill="1" applyBorder="1" applyAlignment="1" applyProtection="1">
      <alignment horizontal="right" vertical="center" wrapText="1"/>
      <protection locked="0"/>
    </xf>
    <xf numFmtId="170" fontId="13" fillId="2" borderId="22" xfId="0" applyNumberFormat="1" applyFont="1" applyFill="1" applyBorder="1" applyAlignment="1" applyProtection="1">
      <alignment horizontal="right" vertical="center" wrapText="1"/>
      <protection locked="0"/>
    </xf>
    <xf numFmtId="171" fontId="13" fillId="2" borderId="22" xfId="0" applyNumberFormat="1" applyFont="1" applyFill="1" applyBorder="1" applyAlignment="1" applyProtection="1">
      <alignment horizontal="right" vertical="center" wrapText="1"/>
      <protection locked="0"/>
    </xf>
    <xf numFmtId="3" fontId="13" fillId="2" borderId="22" xfId="0" applyNumberFormat="1" applyFont="1" applyFill="1" applyBorder="1" applyAlignment="1" applyProtection="1">
      <alignment horizontal="right" vertical="center" wrapText="1"/>
      <protection locked="0"/>
    </xf>
    <xf numFmtId="3" fontId="13" fillId="2" borderId="23" xfId="0" applyNumberFormat="1" applyFont="1" applyFill="1" applyBorder="1" applyAlignment="1" applyProtection="1">
      <alignment horizontal="right" vertical="center" wrapText="1"/>
      <protection locked="0"/>
    </xf>
    <xf numFmtId="0" fontId="7" fillId="0" borderId="9" xfId="0" applyFont="1" applyBorder="1" applyAlignment="1">
      <alignment vertical="top"/>
    </xf>
    <xf numFmtId="0" fontId="0" fillId="0" borderId="10" xfId="0" applyBorder="1" applyAlignment="1">
      <alignment vertical="top"/>
    </xf>
    <xf numFmtId="0" fontId="0" fillId="0" borderId="72" xfId="0" applyBorder="1" applyAlignment="1">
      <alignment vertical="top"/>
    </xf>
    <xf numFmtId="173" fontId="19" fillId="0" borderId="72" xfId="16" applyFont="1" applyFill="1" applyBorder="1" applyAlignment="1" applyProtection="1">
      <alignment wrapText="1"/>
    </xf>
    <xf numFmtId="173" fontId="19" fillId="0" borderId="73" xfId="16" applyFont="1" applyFill="1" applyBorder="1" applyAlignment="1" applyProtection="1">
      <alignment wrapText="1"/>
    </xf>
    <xf numFmtId="173" fontId="19" fillId="0" borderId="74" xfId="16" applyFont="1" applyFill="1" applyBorder="1" applyAlignment="1" applyProtection="1">
      <alignment wrapText="1"/>
    </xf>
    <xf numFmtId="173" fontId="14" fillId="3" borderId="75" xfId="16" applyFont="1" applyFill="1" applyBorder="1" applyAlignment="1" applyProtection="1">
      <alignment wrapText="1"/>
    </xf>
    <xf numFmtId="0" fontId="14" fillId="3" borderId="76" xfId="0" applyFont="1" applyFill="1" applyBorder="1" applyAlignment="1" applyProtection="1">
      <alignment wrapText="1"/>
    </xf>
    <xf numFmtId="0" fontId="14" fillId="3" borderId="75" xfId="0" applyFont="1" applyFill="1" applyBorder="1" applyAlignment="1" applyProtection="1">
      <alignment wrapText="1"/>
    </xf>
    <xf numFmtId="0" fontId="14" fillId="3" borderId="76" xfId="0" quotePrefix="1" applyFont="1" applyFill="1" applyBorder="1" applyAlignment="1" applyProtection="1">
      <alignment wrapText="1"/>
    </xf>
    <xf numFmtId="0" fontId="19" fillId="3" borderId="76" xfId="0" applyFont="1" applyFill="1" applyBorder="1" applyAlignment="1" applyProtection="1">
      <alignment wrapText="1"/>
    </xf>
    <xf numFmtId="0" fontId="19" fillId="3" borderId="77" xfId="0" applyFont="1" applyFill="1" applyBorder="1" applyAlignment="1" applyProtection="1">
      <alignment wrapText="1"/>
    </xf>
    <xf numFmtId="173" fontId="14" fillId="3" borderId="78" xfId="16" applyFont="1" applyFill="1" applyBorder="1" applyAlignment="1" applyProtection="1">
      <alignment wrapText="1"/>
    </xf>
    <xf numFmtId="0" fontId="14" fillId="3" borderId="79" xfId="0" applyFont="1" applyFill="1" applyBorder="1" applyAlignment="1" applyProtection="1">
      <alignment wrapText="1"/>
    </xf>
    <xf numFmtId="0" fontId="14" fillId="3" borderId="78" xfId="0" applyFont="1" applyFill="1" applyBorder="1" applyAlignment="1" applyProtection="1">
      <alignment wrapText="1"/>
    </xf>
    <xf numFmtId="0" fontId="14" fillId="3" borderId="79" xfId="0" quotePrefix="1" applyFont="1" applyFill="1" applyBorder="1" applyAlignment="1" applyProtection="1">
      <alignment wrapText="1"/>
    </xf>
    <xf numFmtId="0" fontId="19" fillId="3" borderId="79" xfId="0" applyFont="1" applyFill="1" applyBorder="1" applyAlignment="1" applyProtection="1">
      <alignment wrapText="1"/>
    </xf>
    <xf numFmtId="0" fontId="19" fillId="3" borderId="80" xfId="0" applyFont="1" applyFill="1" applyBorder="1" applyAlignment="1" applyProtection="1">
      <alignment wrapText="1"/>
    </xf>
    <xf numFmtId="173" fontId="14" fillId="3" borderId="81" xfId="16" applyFont="1" applyFill="1" applyBorder="1" applyAlignment="1" applyProtection="1">
      <alignment wrapText="1"/>
    </xf>
    <xf numFmtId="0" fontId="14" fillId="3" borderId="2" xfId="0" applyFont="1" applyFill="1" applyBorder="1" applyAlignment="1" applyProtection="1">
      <alignment wrapText="1"/>
    </xf>
    <xf numFmtId="0" fontId="14" fillId="3" borderId="81" xfId="0" applyFont="1" applyFill="1" applyBorder="1" applyAlignment="1" applyProtection="1">
      <alignment wrapText="1"/>
    </xf>
    <xf numFmtId="0" fontId="14" fillId="3" borderId="2" xfId="0" quotePrefix="1" applyFont="1" applyFill="1" applyBorder="1" applyAlignment="1" applyProtection="1">
      <alignment wrapText="1"/>
    </xf>
    <xf numFmtId="0" fontId="19" fillId="3" borderId="2" xfId="0" applyFont="1" applyFill="1" applyBorder="1" applyAlignment="1" applyProtection="1">
      <alignment wrapText="1"/>
    </xf>
    <xf numFmtId="0" fontId="19" fillId="3" borderId="82" xfId="0" applyFont="1" applyFill="1" applyBorder="1" applyAlignment="1" applyProtection="1">
      <alignment wrapText="1"/>
    </xf>
    <xf numFmtId="0" fontId="19" fillId="0" borderId="41" xfId="0" applyFont="1" applyFill="1" applyBorder="1" applyAlignment="1" applyProtection="1">
      <alignment wrapText="1"/>
    </xf>
    <xf numFmtId="0" fontId="19" fillId="0" borderId="13" xfId="0" applyFont="1" applyFill="1" applyBorder="1" applyAlignment="1" applyProtection="1">
      <alignment wrapText="1"/>
    </xf>
    <xf numFmtId="0" fontId="19" fillId="0" borderId="17" xfId="0" applyFont="1" applyFill="1" applyBorder="1" applyAlignment="1" applyProtection="1">
      <alignment wrapText="1"/>
    </xf>
    <xf numFmtId="0" fontId="19" fillId="0" borderId="20" xfId="0" applyFont="1" applyFill="1" applyBorder="1" applyAlignment="1" applyProtection="1">
      <alignment wrapText="1"/>
    </xf>
    <xf numFmtId="0" fontId="19" fillId="0" borderId="83" xfId="0" applyFont="1" applyFill="1" applyBorder="1" applyAlignment="1" applyProtection="1">
      <alignment wrapText="1"/>
    </xf>
    <xf numFmtId="0" fontId="19" fillId="3" borderId="42" xfId="0" applyFont="1" applyFill="1" applyBorder="1" applyAlignment="1" applyProtection="1">
      <alignment wrapText="1"/>
    </xf>
    <xf numFmtId="0" fontId="19" fillId="3" borderId="71" xfId="0" applyFont="1" applyFill="1" applyBorder="1" applyAlignment="1" applyProtection="1">
      <alignment wrapText="1"/>
    </xf>
    <xf numFmtId="0" fontId="19" fillId="3" borderId="15" xfId="0" applyFont="1" applyFill="1" applyBorder="1" applyAlignment="1" applyProtection="1">
      <alignment wrapText="1"/>
    </xf>
    <xf numFmtId="0" fontId="19" fillId="3" borderId="16" xfId="0" applyFont="1" applyFill="1" applyBorder="1" applyAlignment="1" applyProtection="1">
      <alignment wrapText="1"/>
    </xf>
    <xf numFmtId="0" fontId="19" fillId="3" borderId="8" xfId="0" applyFont="1" applyFill="1" applyBorder="1" applyAlignment="1" applyProtection="1">
      <alignment wrapText="1"/>
    </xf>
    <xf numFmtId="0" fontId="19" fillId="3" borderId="19" xfId="0" applyFont="1" applyFill="1" applyBorder="1" applyAlignment="1" applyProtection="1">
      <alignment wrapText="1"/>
    </xf>
    <xf numFmtId="0" fontId="19" fillId="3" borderId="22" xfId="0" applyFont="1" applyFill="1" applyBorder="1" applyAlignment="1" applyProtection="1">
      <alignment wrapText="1"/>
    </xf>
    <xf numFmtId="0" fontId="19" fillId="3" borderId="23" xfId="0" applyFont="1" applyFill="1" applyBorder="1" applyAlignment="1" applyProtection="1">
      <alignment wrapText="1"/>
    </xf>
    <xf numFmtId="0" fontId="19" fillId="3" borderId="84" xfId="0" applyFont="1" applyFill="1" applyBorder="1" applyAlignment="1" applyProtection="1">
      <alignment wrapText="1"/>
    </xf>
    <xf numFmtId="0" fontId="19" fillId="3" borderId="45" xfId="0" applyFont="1" applyFill="1" applyBorder="1" applyAlignment="1" applyProtection="1">
      <alignment wrapText="1"/>
    </xf>
    <xf numFmtId="173" fontId="19" fillId="0" borderId="6" xfId="16" applyFont="1" applyFill="1" applyBorder="1" applyAlignment="1" applyProtection="1">
      <alignment wrapText="1"/>
    </xf>
    <xf numFmtId="173" fontId="19" fillId="3" borderId="10" xfId="16" applyFont="1" applyFill="1" applyBorder="1" applyAlignment="1" applyProtection="1">
      <alignment wrapText="1"/>
    </xf>
    <xf numFmtId="173" fontId="13" fillId="3" borderId="11" xfId="16" applyFont="1" applyFill="1" applyBorder="1" applyProtection="1"/>
    <xf numFmtId="173" fontId="19" fillId="3" borderId="22" xfId="16" applyFont="1" applyFill="1" applyBorder="1" applyAlignment="1" applyProtection="1">
      <alignment wrapText="1"/>
    </xf>
    <xf numFmtId="173" fontId="13" fillId="3" borderId="23" xfId="16" applyFont="1" applyFill="1" applyBorder="1" applyProtection="1"/>
    <xf numFmtId="173" fontId="19" fillId="3" borderId="0" xfId="16" applyFont="1" applyFill="1" applyBorder="1" applyAlignment="1" applyProtection="1">
      <alignment wrapText="1"/>
    </xf>
    <xf numFmtId="173" fontId="13" fillId="3" borderId="7" xfId="16" applyFont="1" applyFill="1" applyBorder="1" applyProtection="1"/>
    <xf numFmtId="173" fontId="7" fillId="3" borderId="0" xfId="16" applyFont="1" applyFill="1" applyAlignment="1" applyProtection="1">
      <alignment horizontal="center" vertical="center"/>
    </xf>
    <xf numFmtId="173" fontId="19" fillId="0" borderId="85" xfId="16" applyFont="1" applyFill="1" applyBorder="1" applyAlignment="1" applyProtection="1">
      <alignment wrapText="1"/>
    </xf>
    <xf numFmtId="0" fontId="19" fillId="3" borderId="47" xfId="0" applyFont="1" applyFill="1" applyBorder="1" applyAlignment="1" applyProtection="1">
      <alignment wrapText="1"/>
    </xf>
    <xf numFmtId="0" fontId="19" fillId="3" borderId="56" xfId="0" applyFont="1" applyFill="1" applyBorder="1" applyAlignment="1" applyProtection="1">
      <alignment wrapText="1"/>
    </xf>
    <xf numFmtId="0" fontId="19" fillId="0" borderId="86" xfId="0" applyFont="1" applyFill="1" applyBorder="1" applyAlignment="1" applyProtection="1">
      <alignment wrapText="1"/>
    </xf>
    <xf numFmtId="173" fontId="19" fillId="0" borderId="86" xfId="16" applyFont="1" applyFill="1" applyBorder="1" applyAlignment="1" applyProtection="1">
      <alignment wrapText="1"/>
    </xf>
    <xf numFmtId="173" fontId="19" fillId="3" borderId="47" xfId="16" applyFont="1" applyFill="1" applyBorder="1" applyAlignment="1" applyProtection="1">
      <alignment wrapText="1"/>
    </xf>
    <xf numFmtId="173" fontId="13" fillId="3" borderId="56" xfId="16" applyFont="1" applyFill="1" applyBorder="1" applyProtection="1"/>
    <xf numFmtId="2" fontId="14" fillId="3" borderId="86" xfId="16" applyNumberFormat="1" applyFont="1" applyFill="1" applyBorder="1" applyAlignment="1" applyProtection="1">
      <alignment wrapText="1"/>
    </xf>
    <xf numFmtId="2" fontId="14" fillId="3" borderId="47" xfId="16" applyNumberFormat="1" applyFont="1" applyFill="1" applyBorder="1" applyAlignment="1" applyProtection="1">
      <alignment wrapText="1"/>
    </xf>
    <xf numFmtId="2" fontId="14" fillId="3" borderId="56" xfId="16" applyNumberFormat="1" applyFont="1" applyFill="1" applyBorder="1" applyAlignment="1" applyProtection="1">
      <alignment wrapText="1"/>
    </xf>
    <xf numFmtId="173" fontId="19" fillId="0" borderId="75" xfId="16" applyFont="1" applyBorder="1" applyProtection="1"/>
    <xf numFmtId="173" fontId="13" fillId="0" borderId="76" xfId="16" applyFont="1" applyBorder="1" applyProtection="1"/>
    <xf numFmtId="173" fontId="5" fillId="0" borderId="16" xfId="16" applyFont="1" applyBorder="1" applyAlignment="1" applyProtection="1">
      <alignment horizontal="center" wrapText="1"/>
    </xf>
    <xf numFmtId="173" fontId="35" fillId="0" borderId="0" xfId="16" applyFont="1" applyAlignment="1" applyProtection="1">
      <alignment horizontal="left"/>
    </xf>
    <xf numFmtId="0" fontId="7" fillId="0" borderId="4" xfId="0" applyFont="1" applyFill="1" applyBorder="1" applyAlignment="1">
      <alignment vertical="top" wrapText="1"/>
    </xf>
    <xf numFmtId="0" fontId="13" fillId="0" borderId="0" xfId="0" applyFont="1" applyFill="1" applyBorder="1" applyAlignment="1">
      <alignment vertical="top" wrapText="1"/>
    </xf>
    <xf numFmtId="0" fontId="0" fillId="0" borderId="0" xfId="0" applyFill="1" applyBorder="1" applyAlignment="1">
      <alignment vertical="top" wrapText="1"/>
    </xf>
    <xf numFmtId="0" fontId="13" fillId="0" borderId="5" xfId="0" applyFont="1" applyFill="1" applyBorder="1" applyAlignment="1">
      <alignment vertical="top" wrapText="1"/>
    </xf>
    <xf numFmtId="0" fontId="7" fillId="0" borderId="0" xfId="0" applyFont="1" applyFill="1" applyBorder="1" applyAlignment="1">
      <alignment vertical="top" wrapText="1"/>
    </xf>
    <xf numFmtId="0" fontId="7" fillId="0" borderId="4" xfId="0" applyFont="1" applyFill="1" applyBorder="1" applyAlignment="1">
      <alignment vertical="center" wrapText="1"/>
    </xf>
    <xf numFmtId="0" fontId="13" fillId="0" borderId="0" xfId="0" applyFont="1" applyFill="1" applyBorder="1" applyAlignment="1">
      <alignment vertical="center" wrapText="1"/>
    </xf>
    <xf numFmtId="0" fontId="0" fillId="0" borderId="0" xfId="0" applyFill="1" applyBorder="1" applyAlignment="1">
      <alignment vertical="center" wrapText="1"/>
    </xf>
    <xf numFmtId="0" fontId="13" fillId="0" borderId="0" xfId="0" applyFont="1" applyFill="1" applyBorder="1" applyAlignment="1">
      <alignment horizontal="center" vertical="center" wrapText="1"/>
    </xf>
    <xf numFmtId="0" fontId="7" fillId="0" borderId="0" xfId="0" applyFont="1" applyFill="1" applyBorder="1" applyAlignment="1">
      <alignment vertical="center" wrapText="1"/>
    </xf>
    <xf numFmtId="0" fontId="7" fillId="0" borderId="4" xfId="0" applyFont="1" applyFill="1" applyBorder="1" applyAlignment="1">
      <alignment horizontal="left" vertical="top" wrapText="1"/>
    </xf>
    <xf numFmtId="0" fontId="0" fillId="0" borderId="59" xfId="0" applyFill="1" applyBorder="1"/>
    <xf numFmtId="0" fontId="0" fillId="0" borderId="87" xfId="0" applyFill="1" applyBorder="1"/>
    <xf numFmtId="0" fontId="7" fillId="3" borderId="57" xfId="0" applyFont="1" applyFill="1" applyBorder="1" applyAlignment="1">
      <alignment vertical="center" wrapText="1"/>
    </xf>
    <xf numFmtId="0" fontId="7" fillId="0" borderId="4" xfId="0" applyFont="1" applyFill="1" applyBorder="1" applyAlignment="1">
      <alignment horizontal="right" vertical="center" wrapText="1"/>
    </xf>
    <xf numFmtId="0" fontId="7" fillId="0" borderId="4" xfId="0" applyFont="1" applyFill="1" applyBorder="1" applyAlignment="1">
      <alignment horizontal="right" vertical="top" wrapText="1"/>
    </xf>
    <xf numFmtId="0" fontId="0" fillId="0" borderId="0" xfId="0" applyFill="1" applyBorder="1" applyAlignment="1">
      <alignment horizontal="center" vertical="top" wrapText="1"/>
    </xf>
    <xf numFmtId="0" fontId="0" fillId="0" borderId="5" xfId="0" applyFill="1" applyBorder="1"/>
    <xf numFmtId="0" fontId="0" fillId="0" borderId="4" xfId="0" applyFill="1" applyBorder="1" applyAlignment="1">
      <alignment horizontal="center" vertical="top" wrapText="1"/>
    </xf>
    <xf numFmtId="0" fontId="7" fillId="0" borderId="58" xfId="0" applyFont="1" applyFill="1" applyBorder="1" applyAlignment="1">
      <alignment vertical="center" wrapText="1"/>
    </xf>
    <xf numFmtId="0" fontId="0" fillId="0" borderId="59" xfId="0" applyFill="1" applyBorder="1" applyAlignment="1">
      <alignment horizontal="center" vertical="top" wrapText="1"/>
    </xf>
    <xf numFmtId="170" fontId="7" fillId="3" borderId="57" xfId="0" applyNumberFormat="1" applyFont="1" applyFill="1" applyBorder="1" applyAlignment="1">
      <alignment horizontal="right" vertical="top" wrapText="1"/>
    </xf>
    <xf numFmtId="0" fontId="29" fillId="3" borderId="57" xfId="0" applyFont="1" applyFill="1" applyBorder="1" applyAlignment="1">
      <alignment vertical="top" wrapText="1"/>
    </xf>
    <xf numFmtId="0" fontId="5" fillId="3" borderId="57" xfId="0" applyFont="1" applyFill="1" applyBorder="1" applyAlignment="1">
      <alignment horizontal="center" vertical="top" wrapText="1"/>
    </xf>
    <xf numFmtId="170" fontId="16" fillId="3" borderId="57" xfId="0" applyNumberFormat="1" applyFont="1" applyFill="1" applyBorder="1" applyAlignment="1">
      <alignment horizontal="center" vertical="center" wrapText="1"/>
    </xf>
    <xf numFmtId="0" fontId="16" fillId="3" borderId="88" xfId="0" applyFont="1" applyFill="1" applyBorder="1" applyAlignment="1">
      <alignment vertical="center" wrapText="1"/>
    </xf>
    <xf numFmtId="0" fontId="5" fillId="3" borderId="4" xfId="0" applyFont="1" applyFill="1" applyBorder="1" applyAlignment="1">
      <alignment horizontal="center" vertical="top" wrapText="1"/>
    </xf>
    <xf numFmtId="0" fontId="5" fillId="3" borderId="0" xfId="0" applyFont="1" applyFill="1" applyBorder="1" applyAlignment="1">
      <alignment horizontal="center" vertical="top" wrapText="1"/>
    </xf>
    <xf numFmtId="170" fontId="5" fillId="3" borderId="0" xfId="0" applyNumberFormat="1" applyFont="1" applyFill="1" applyBorder="1" applyAlignment="1">
      <alignment horizontal="center" vertical="top" wrapText="1"/>
    </xf>
    <xf numFmtId="0" fontId="5" fillId="3" borderId="5" xfId="0" applyFont="1" applyFill="1" applyBorder="1" applyAlignment="1">
      <alignment vertical="top"/>
    </xf>
    <xf numFmtId="170" fontId="16" fillId="3" borderId="89" xfId="0" applyNumberFormat="1" applyFont="1" applyFill="1" applyBorder="1" applyAlignment="1">
      <alignment vertical="center" wrapText="1"/>
    </xf>
    <xf numFmtId="0" fontId="13" fillId="0" borderId="0" xfId="0" applyFont="1"/>
    <xf numFmtId="0" fontId="36" fillId="0" borderId="0" xfId="0" applyFont="1" applyFill="1" applyAlignment="1">
      <alignment vertical="top" wrapText="1"/>
    </xf>
    <xf numFmtId="0" fontId="36" fillId="15" borderId="0" xfId="0" applyFont="1" applyFill="1" applyAlignment="1">
      <alignment vertical="top" wrapText="1"/>
    </xf>
    <xf numFmtId="0" fontId="36" fillId="15" borderId="0" xfId="0" applyFont="1" applyFill="1"/>
    <xf numFmtId="0" fontId="36" fillId="15" borderId="5" xfId="0" applyFont="1" applyFill="1" applyBorder="1" applyAlignment="1">
      <alignment vertical="top" wrapText="1"/>
    </xf>
    <xf numFmtId="0" fontId="36" fillId="15" borderId="0" xfId="0" applyFont="1" applyFill="1" applyAlignment="1">
      <alignment vertical="top"/>
    </xf>
    <xf numFmtId="42" fontId="13" fillId="3" borderId="22" xfId="0" applyNumberFormat="1" applyFont="1" applyFill="1" applyBorder="1" applyAlignment="1" applyProtection="1">
      <alignment wrapText="1"/>
      <protection locked="0"/>
    </xf>
    <xf numFmtId="164" fontId="0" fillId="5" borderId="57" xfId="0" applyNumberFormat="1" applyFill="1" applyBorder="1" applyAlignment="1">
      <alignment vertical="top" wrapText="1"/>
    </xf>
    <xf numFmtId="0" fontId="0" fillId="4" borderId="0" xfId="0" applyFill="1" applyBorder="1" applyAlignment="1">
      <alignment vertical="top" wrapText="1"/>
    </xf>
    <xf numFmtId="0" fontId="0" fillId="4" borderId="0" xfId="0" applyFill="1" applyAlignment="1">
      <alignment vertical="top" wrapText="1"/>
    </xf>
    <xf numFmtId="9" fontId="3" fillId="5" borderId="57" xfId="17" applyFill="1" applyBorder="1" applyAlignment="1">
      <alignment vertical="top" wrapText="1"/>
    </xf>
    <xf numFmtId="0" fontId="0" fillId="6" borderId="5" xfId="0" applyFill="1" applyBorder="1" applyAlignment="1">
      <alignment vertical="top" wrapText="1"/>
    </xf>
    <xf numFmtId="0" fontId="0" fillId="6" borderId="0" xfId="0" applyFill="1" applyBorder="1" applyAlignment="1">
      <alignment vertical="top" wrapText="1"/>
    </xf>
    <xf numFmtId="7" fontId="0" fillId="5" borderId="57" xfId="0" applyNumberFormat="1" applyFill="1" applyBorder="1" applyAlignment="1">
      <alignment vertical="top" wrapText="1"/>
    </xf>
    <xf numFmtId="9" fontId="13" fillId="5" borderId="57" xfId="17" applyFont="1" applyFill="1" applyBorder="1" applyAlignment="1">
      <alignment vertical="top" wrapText="1"/>
    </xf>
    <xf numFmtId="170" fontId="0" fillId="4" borderId="0" xfId="0" applyNumberFormat="1" applyFill="1" applyBorder="1" applyAlignment="1">
      <alignment horizontal="right" vertical="top" wrapText="1"/>
    </xf>
    <xf numFmtId="0" fontId="0" fillId="6" borderId="0" xfId="0" applyFill="1"/>
    <xf numFmtId="176" fontId="16" fillId="3" borderId="57" xfId="0" applyNumberFormat="1" applyFont="1" applyFill="1" applyBorder="1" applyAlignment="1">
      <alignment horizontal="right" vertical="top" wrapText="1"/>
    </xf>
    <xf numFmtId="170" fontId="0" fillId="5" borderId="15" xfId="0" applyNumberFormat="1" applyFill="1" applyBorder="1" applyAlignment="1" applyProtection="1">
      <alignment horizontal="center" vertical="center" wrapText="1"/>
      <protection locked="0"/>
    </xf>
    <xf numFmtId="170" fontId="0" fillId="5" borderId="8" xfId="0" applyNumberFormat="1" applyFill="1" applyBorder="1" applyAlignment="1" applyProtection="1">
      <alignment horizontal="center" vertical="center" wrapText="1"/>
      <protection locked="0"/>
    </xf>
    <xf numFmtId="170" fontId="0" fillId="5" borderId="22" xfId="0" applyNumberFormat="1" applyFill="1" applyBorder="1" applyAlignment="1" applyProtection="1">
      <alignment horizontal="center" vertical="center" wrapText="1"/>
      <protection locked="0"/>
    </xf>
    <xf numFmtId="0" fontId="38" fillId="2" borderId="20" xfId="0" applyFont="1" applyFill="1" applyBorder="1" applyAlignment="1" applyProtection="1">
      <protection locked="0"/>
    </xf>
    <xf numFmtId="0" fontId="38" fillId="2" borderId="22" xfId="0" applyFont="1" applyFill="1" applyBorder="1" applyAlignment="1" applyProtection="1">
      <alignment horizontal="right" wrapText="1"/>
      <protection locked="0"/>
    </xf>
    <xf numFmtId="0" fontId="41" fillId="2" borderId="90" xfId="0" applyFont="1" applyFill="1" applyBorder="1" applyAlignment="1" applyProtection="1">
      <alignment horizontal="left" vertical="center"/>
      <protection locked="0"/>
    </xf>
    <xf numFmtId="0" fontId="39" fillId="2" borderId="90" xfId="0" applyFont="1" applyFill="1" applyBorder="1" applyProtection="1">
      <protection locked="0"/>
    </xf>
    <xf numFmtId="0" fontId="12" fillId="2" borderId="15" xfId="0" applyFont="1" applyFill="1" applyBorder="1" applyAlignment="1" applyProtection="1">
      <alignment horizontal="center" wrapText="1"/>
      <protection locked="0"/>
    </xf>
    <xf numFmtId="0" fontId="5" fillId="0" borderId="0" xfId="0" applyFont="1" applyFill="1" applyBorder="1" applyAlignment="1">
      <alignment vertical="top" wrapText="1"/>
    </xf>
    <xf numFmtId="0" fontId="42" fillId="2" borderId="91" xfId="0" applyFont="1" applyFill="1" applyBorder="1" applyAlignment="1">
      <alignment vertical="top" wrapText="1"/>
    </xf>
    <xf numFmtId="0" fontId="12" fillId="2" borderId="92" xfId="0" applyFont="1" applyFill="1" applyBorder="1" applyAlignment="1">
      <alignment vertical="top" wrapText="1"/>
    </xf>
    <xf numFmtId="0" fontId="39" fillId="2" borderId="92" xfId="0" applyFont="1" applyFill="1" applyBorder="1" applyAlignment="1">
      <alignment vertical="top" wrapText="1"/>
    </xf>
    <xf numFmtId="0" fontId="38" fillId="2" borderId="92" xfId="0" applyFont="1" applyFill="1" applyBorder="1" applyAlignment="1">
      <alignment vertical="top" wrapText="1"/>
    </xf>
    <xf numFmtId="0" fontId="39" fillId="2" borderId="93" xfId="0" applyFont="1" applyFill="1" applyBorder="1" applyAlignment="1">
      <alignment vertical="top" wrapText="1"/>
    </xf>
    <xf numFmtId="0" fontId="34" fillId="2" borderId="0" xfId="0" applyFont="1" applyFill="1" applyBorder="1" applyAlignment="1">
      <alignment vertical="top" wrapText="1"/>
    </xf>
    <xf numFmtId="0" fontId="34" fillId="2" borderId="5" xfId="0" applyFont="1" applyFill="1" applyBorder="1" applyAlignment="1">
      <alignment vertical="top" wrapText="1"/>
    </xf>
    <xf numFmtId="0" fontId="42" fillId="2" borderId="94" xfId="0" applyFont="1" applyFill="1" applyBorder="1" applyAlignment="1">
      <alignment vertical="top" wrapText="1"/>
    </xf>
    <xf numFmtId="0" fontId="34" fillId="2" borderId="95" xfId="0" applyFont="1" applyFill="1" applyBorder="1" applyAlignment="1">
      <alignment vertical="top" wrapText="1"/>
    </xf>
    <xf numFmtId="0" fontId="42" fillId="2" borderId="95" xfId="0" applyFont="1" applyFill="1" applyBorder="1" applyAlignment="1">
      <alignment vertical="top" wrapText="1"/>
    </xf>
    <xf numFmtId="0" fontId="34" fillId="2" borderId="96" xfId="0" applyFont="1" applyFill="1" applyBorder="1" applyAlignment="1">
      <alignment vertical="top" wrapText="1"/>
    </xf>
    <xf numFmtId="3" fontId="0" fillId="3" borderId="62" xfId="0" applyNumberFormat="1" applyFill="1" applyBorder="1" applyAlignment="1">
      <alignment vertical="top" wrapText="1"/>
    </xf>
    <xf numFmtId="0" fontId="44" fillId="2" borderId="95" xfId="0" applyFont="1" applyFill="1" applyBorder="1" applyAlignment="1">
      <alignment vertical="top" wrapText="1"/>
    </xf>
    <xf numFmtId="0" fontId="45" fillId="2" borderId="4" xfId="0" applyFont="1" applyFill="1" applyBorder="1" applyAlignment="1">
      <alignment horizontal="center" vertical="center" wrapText="1"/>
    </xf>
    <xf numFmtId="0" fontId="45" fillId="2" borderId="0" xfId="0" applyFont="1" applyFill="1" applyBorder="1" applyAlignment="1">
      <alignment horizontal="center" vertical="top" wrapText="1"/>
    </xf>
    <xf numFmtId="0" fontId="43" fillId="2" borderId="94" xfId="0" applyFont="1" applyFill="1" applyBorder="1" applyAlignment="1">
      <alignment wrapText="1"/>
    </xf>
    <xf numFmtId="0" fontId="34" fillId="2" borderId="95" xfId="0" applyFont="1" applyFill="1" applyBorder="1" applyAlignment="1">
      <alignment horizontal="center" vertical="top" wrapText="1"/>
    </xf>
    <xf numFmtId="0" fontId="34" fillId="2" borderId="96" xfId="0" applyFont="1" applyFill="1" applyBorder="1" applyAlignment="1">
      <alignment vertical="top"/>
    </xf>
    <xf numFmtId="170" fontId="0" fillId="3" borderId="62" xfId="0" applyNumberFormat="1" applyFill="1" applyBorder="1" applyAlignment="1">
      <alignment vertical="top" wrapText="1"/>
    </xf>
    <xf numFmtId="0" fontId="47" fillId="2" borderId="95" xfId="0" applyFont="1" applyFill="1" applyBorder="1" applyAlignment="1">
      <alignment horizontal="center" vertical="top" wrapText="1"/>
    </xf>
    <xf numFmtId="0" fontId="47" fillId="2" borderId="96" xfId="0" applyFont="1" applyFill="1" applyBorder="1"/>
    <xf numFmtId="170" fontId="0" fillId="2" borderId="0" xfId="0" applyNumberFormat="1" applyFill="1" applyBorder="1" applyAlignment="1">
      <alignment vertical="top" wrapText="1"/>
    </xf>
    <xf numFmtId="0" fontId="38" fillId="2" borderId="41" xfId="0" applyFont="1" applyFill="1" applyBorder="1" applyAlignment="1" applyProtection="1">
      <alignment horizontal="right" wrapText="1"/>
      <protection locked="0"/>
    </xf>
    <xf numFmtId="0" fontId="12" fillId="2" borderId="42" xfId="0" applyFont="1" applyFill="1" applyBorder="1" applyAlignment="1" applyProtection="1">
      <alignment horizontal="center" wrapText="1"/>
      <protection locked="0"/>
    </xf>
    <xf numFmtId="0" fontId="13" fillId="2" borderId="97" xfId="0" applyFont="1" applyFill="1" applyBorder="1" applyAlignment="1" applyProtection="1">
      <alignment horizontal="left" wrapText="1"/>
      <protection locked="0"/>
    </xf>
    <xf numFmtId="42" fontId="13" fillId="3" borderId="69" xfId="0" applyNumberFormat="1" applyFont="1" applyFill="1" applyBorder="1" applyAlignment="1" applyProtection="1">
      <alignment wrapText="1"/>
      <protection locked="0"/>
    </xf>
    <xf numFmtId="42" fontId="13" fillId="3" borderId="98" xfId="0" applyNumberFormat="1" applyFont="1" applyFill="1" applyBorder="1" applyAlignment="1" applyProtection="1">
      <alignment wrapText="1"/>
      <protection locked="0"/>
    </xf>
    <xf numFmtId="2" fontId="13" fillId="2" borderId="69" xfId="0" applyNumberFormat="1" applyFont="1" applyFill="1" applyBorder="1" applyAlignment="1" applyProtection="1">
      <alignment wrapText="1"/>
      <protection locked="0"/>
    </xf>
    <xf numFmtId="0" fontId="12" fillId="2" borderId="71" xfId="0" applyFont="1" applyFill="1" applyBorder="1" applyAlignment="1" applyProtection="1">
      <alignment horizontal="center" wrapText="1"/>
      <protection locked="0"/>
    </xf>
    <xf numFmtId="172" fontId="5" fillId="2" borderId="69" xfId="0" applyNumberFormat="1" applyFont="1" applyFill="1" applyBorder="1" applyAlignment="1" applyProtection="1">
      <alignment wrapText="1"/>
      <protection locked="0"/>
    </xf>
    <xf numFmtId="0" fontId="13" fillId="2" borderId="70" xfId="0" applyFont="1" applyFill="1" applyBorder="1" applyAlignment="1" applyProtection="1">
      <alignment wrapText="1"/>
      <protection locked="0"/>
    </xf>
    <xf numFmtId="0" fontId="13" fillId="6" borderId="99" xfId="0" applyFont="1" applyFill="1" applyBorder="1" applyAlignment="1" applyProtection="1">
      <alignment wrapText="1"/>
      <protection locked="0"/>
    </xf>
    <xf numFmtId="0" fontId="13" fillId="6" borderId="100" xfId="0" applyFont="1" applyFill="1" applyBorder="1" applyAlignment="1" applyProtection="1">
      <alignment wrapText="1"/>
      <protection locked="0"/>
    </xf>
    <xf numFmtId="0" fontId="13" fillId="6" borderId="101" xfId="0" applyFont="1" applyFill="1" applyBorder="1" applyAlignment="1" applyProtection="1">
      <alignment wrapText="1"/>
      <protection locked="0"/>
    </xf>
    <xf numFmtId="0" fontId="0" fillId="3" borderId="98" xfId="0" applyFill="1" applyBorder="1"/>
    <xf numFmtId="0" fontId="13" fillId="6" borderId="102" xfId="0" applyFont="1" applyFill="1" applyBorder="1" applyAlignment="1" applyProtection="1">
      <alignment wrapText="1"/>
      <protection locked="0"/>
    </xf>
    <xf numFmtId="0" fontId="13" fillId="6" borderId="18" xfId="0" applyFont="1" applyFill="1" applyBorder="1" applyAlignment="1" applyProtection="1">
      <alignment wrapText="1"/>
      <protection locked="0"/>
    </xf>
    <xf numFmtId="0" fontId="13" fillId="6" borderId="103" xfId="0" applyFont="1" applyFill="1" applyBorder="1" applyAlignment="1" applyProtection="1">
      <alignment wrapText="1"/>
      <protection locked="0"/>
    </xf>
    <xf numFmtId="10" fontId="13" fillId="3" borderId="57" xfId="0" applyNumberFormat="1" applyFont="1" applyFill="1" applyBorder="1" applyAlignment="1" applyProtection="1">
      <alignment wrapText="1"/>
      <protection locked="0"/>
    </xf>
    <xf numFmtId="0" fontId="19" fillId="3" borderId="0" xfId="0" applyFont="1" applyFill="1" applyBorder="1" applyAlignment="1" applyProtection="1">
      <alignment wrapText="1"/>
    </xf>
    <xf numFmtId="0" fontId="19" fillId="3" borderId="7" xfId="0" applyFont="1" applyFill="1" applyBorder="1" applyAlignment="1" applyProtection="1">
      <alignment wrapText="1"/>
    </xf>
    <xf numFmtId="0" fontId="19" fillId="0" borderId="6" xfId="0" applyFont="1" applyFill="1" applyBorder="1" applyAlignment="1" applyProtection="1">
      <alignment wrapText="1"/>
    </xf>
    <xf numFmtId="173" fontId="19" fillId="0" borderId="104" xfId="16" applyFont="1" applyFill="1" applyBorder="1" applyAlignment="1" applyProtection="1">
      <alignment wrapText="1"/>
    </xf>
    <xf numFmtId="2" fontId="14" fillId="3" borderId="78" xfId="16" applyNumberFormat="1" applyFont="1" applyFill="1" applyBorder="1" applyAlignment="1" applyProtection="1">
      <alignment wrapText="1"/>
    </xf>
    <xf numFmtId="2" fontId="14" fillId="3" borderId="79" xfId="16" applyNumberFormat="1" applyFont="1" applyFill="1" applyBorder="1" applyAlignment="1" applyProtection="1">
      <alignment wrapText="1"/>
    </xf>
    <xf numFmtId="2" fontId="14" fillId="3" borderId="80" xfId="16" applyNumberFormat="1" applyFont="1" applyFill="1" applyBorder="1" applyAlignment="1" applyProtection="1">
      <alignment wrapText="1"/>
    </xf>
    <xf numFmtId="0" fontId="11" fillId="2" borderId="0" xfId="5" applyFont="1" applyFill="1" applyBorder="1" applyAlignment="1" applyProtection="1">
      <alignment horizontal="left" vertical="top" wrapText="1"/>
    </xf>
    <xf numFmtId="0" fontId="0" fillId="0" borderId="0" xfId="0" applyBorder="1" applyAlignment="1">
      <alignment horizontal="left" vertical="top" wrapText="1"/>
    </xf>
    <xf numFmtId="0" fontId="7" fillId="0" borderId="0" xfId="0" applyFont="1" applyAlignment="1"/>
    <xf numFmtId="0" fontId="0" fillId="0" borderId="0" xfId="0" applyAlignment="1"/>
    <xf numFmtId="0" fontId="0" fillId="0" borderId="0" xfId="0" applyFill="1" applyAlignment="1"/>
    <xf numFmtId="165" fontId="9" fillId="2" borderId="0" xfId="0" applyNumberFormat="1" applyFont="1" applyFill="1" applyBorder="1" applyAlignment="1">
      <alignment horizontal="center" vertical="center"/>
    </xf>
    <xf numFmtId="166" fontId="9" fillId="0" borderId="5" xfId="0" applyNumberFormat="1" applyFont="1" applyFill="1" applyBorder="1" applyAlignment="1">
      <alignment horizontal="center" vertical="center" wrapText="1"/>
    </xf>
    <xf numFmtId="1" fontId="9" fillId="2" borderId="0" xfId="0" applyNumberFormat="1" applyFont="1" applyFill="1" applyBorder="1" applyAlignment="1">
      <alignment horizontal="center" vertical="center" wrapText="1"/>
    </xf>
    <xf numFmtId="2" fontId="9" fillId="2" borderId="0" xfId="0" applyNumberFormat="1" applyFont="1" applyFill="1" applyBorder="1" applyAlignment="1">
      <alignment horizontal="center" vertical="center"/>
    </xf>
    <xf numFmtId="2" fontId="9" fillId="2" borderId="5" xfId="0" applyNumberFormat="1" applyFont="1" applyFill="1" applyBorder="1" applyAlignment="1">
      <alignment horizontal="center" vertical="center" wrapText="1"/>
    </xf>
    <xf numFmtId="0" fontId="7" fillId="3" borderId="57" xfId="0" applyFont="1" applyFill="1" applyBorder="1" applyAlignment="1">
      <alignment horizontal="left" vertical="center" wrapText="1"/>
    </xf>
    <xf numFmtId="0" fontId="7" fillId="0" borderId="4" xfId="0" applyFont="1" applyFill="1" applyBorder="1" applyAlignment="1">
      <alignment horizontal="left" vertical="center" wrapText="1"/>
    </xf>
    <xf numFmtId="0" fontId="0" fillId="0" borderId="0" xfId="0" applyAlignment="1">
      <alignment horizontal="center"/>
    </xf>
    <xf numFmtId="0" fontId="5" fillId="0" borderId="0" xfId="0" applyFont="1" applyAlignment="1">
      <alignment horizontal="center"/>
    </xf>
    <xf numFmtId="3" fontId="0" fillId="0" borderId="0" xfId="0" applyNumberFormat="1" applyAlignment="1">
      <alignment horizontal="center"/>
    </xf>
    <xf numFmtId="177" fontId="0" fillId="0" borderId="0" xfId="0" applyNumberFormat="1" applyAlignment="1">
      <alignment horizontal="center"/>
    </xf>
    <xf numFmtId="0" fontId="0" fillId="6" borderId="5" xfId="0" applyFill="1" applyBorder="1" applyAlignment="1">
      <alignment horizontal="left" vertical="top" wrapText="1"/>
    </xf>
    <xf numFmtId="0" fontId="40" fillId="2" borderId="13" xfId="0" applyFont="1" applyFill="1" applyBorder="1" applyAlignment="1">
      <alignment vertical="top" wrapText="1"/>
    </xf>
    <xf numFmtId="0" fontId="16" fillId="0" borderId="63" xfId="0" applyFont="1" applyBorder="1" applyAlignment="1">
      <alignment vertical="top" wrapText="1"/>
    </xf>
    <xf numFmtId="3" fontId="0" fillId="5" borderId="57" xfId="0" applyNumberFormat="1" applyFill="1" applyBorder="1" applyAlignment="1">
      <alignment vertical="top" wrapText="1"/>
    </xf>
    <xf numFmtId="0" fontId="0" fillId="0" borderId="98" xfId="0" applyBorder="1" applyAlignment="1">
      <alignment vertical="top" wrapText="1"/>
    </xf>
    <xf numFmtId="0" fontId="0" fillId="0" borderId="108" xfId="0" applyBorder="1" applyAlignment="1">
      <alignment vertical="top" wrapText="1"/>
    </xf>
    <xf numFmtId="0" fontId="16" fillId="0" borderId="109" xfId="0" applyFont="1" applyBorder="1" applyAlignment="1">
      <alignment vertical="top" wrapText="1"/>
    </xf>
    <xf numFmtId="3" fontId="16" fillId="3" borderId="8" xfId="0" applyNumberFormat="1" applyFont="1" applyFill="1" applyBorder="1" applyAlignment="1">
      <alignment vertical="top" wrapText="1"/>
    </xf>
    <xf numFmtId="2" fontId="16" fillId="3" borderId="8" xfId="0" applyNumberFormat="1" applyFont="1" applyFill="1" applyBorder="1" applyAlignment="1">
      <alignment vertical="top" wrapText="1"/>
    </xf>
    <xf numFmtId="167" fontId="16" fillId="3" borderId="22" xfId="0" applyNumberFormat="1" applyFont="1" applyFill="1" applyBorder="1" applyAlignment="1">
      <alignment vertical="top" wrapText="1"/>
    </xf>
    <xf numFmtId="0" fontId="0" fillId="0" borderId="65" xfId="0" applyBorder="1" applyAlignment="1">
      <alignment vertical="top" wrapText="1"/>
    </xf>
    <xf numFmtId="0" fontId="0" fillId="0" borderId="66" xfId="0" applyBorder="1" applyAlignment="1">
      <alignment vertical="top" wrapText="1"/>
    </xf>
    <xf numFmtId="0" fontId="0" fillId="0" borderId="7" xfId="0" applyBorder="1" applyAlignment="1">
      <alignment vertical="top" wrapText="1"/>
    </xf>
    <xf numFmtId="0" fontId="0" fillId="0" borderId="90" xfId="0" applyBorder="1" applyAlignment="1">
      <alignment vertical="top" wrapText="1"/>
    </xf>
    <xf numFmtId="0" fontId="0" fillId="0" borderId="110" xfId="0" applyBorder="1" applyAlignment="1">
      <alignment vertical="top" wrapText="1"/>
    </xf>
    <xf numFmtId="2" fontId="0" fillId="0" borderId="0" xfId="0" applyNumberFormat="1" applyBorder="1" applyAlignment="1">
      <alignment vertical="top" wrapText="1"/>
    </xf>
    <xf numFmtId="0" fontId="0" fillId="0" borderId="90" xfId="0" applyBorder="1"/>
    <xf numFmtId="0" fontId="21" fillId="3" borderId="111" xfId="0" applyFont="1" applyFill="1" applyBorder="1" applyAlignment="1" applyProtection="1">
      <alignment horizontal="left" vertical="center"/>
    </xf>
    <xf numFmtId="173" fontId="13" fillId="0" borderId="112" xfId="16" applyFont="1" applyBorder="1" applyAlignment="1" applyProtection="1">
      <alignment wrapText="1"/>
    </xf>
    <xf numFmtId="165" fontId="13" fillId="3" borderId="113" xfId="16" applyNumberFormat="1" applyFont="1" applyFill="1" applyBorder="1" applyProtection="1"/>
    <xf numFmtId="173" fontId="13" fillId="0" borderId="114" xfId="16" applyFont="1" applyBorder="1" applyProtection="1"/>
    <xf numFmtId="173" fontId="13" fillId="0" borderId="115" xfId="16" applyFont="1" applyBorder="1" applyAlignment="1" applyProtection="1">
      <alignment wrapText="1"/>
    </xf>
    <xf numFmtId="165" fontId="13" fillId="3" borderId="98" xfId="16" applyNumberFormat="1" applyFont="1" applyFill="1" applyBorder="1" applyProtection="1"/>
    <xf numFmtId="173" fontId="13" fillId="0" borderId="116" xfId="16" applyFont="1" applyBorder="1" applyProtection="1"/>
    <xf numFmtId="173" fontId="13" fillId="0" borderId="117" xfId="16" applyFont="1" applyBorder="1" applyAlignment="1" applyProtection="1">
      <alignment wrapText="1"/>
    </xf>
    <xf numFmtId="165" fontId="13" fillId="3" borderId="118" xfId="16" applyNumberFormat="1" applyFont="1" applyFill="1" applyBorder="1" applyProtection="1"/>
    <xf numFmtId="173" fontId="13" fillId="0" borderId="119" xfId="16" applyFont="1" applyBorder="1" applyProtection="1"/>
    <xf numFmtId="165" fontId="5" fillId="0" borderId="0" xfId="16" applyNumberFormat="1" applyFont="1" applyFill="1" applyBorder="1" applyProtection="1"/>
    <xf numFmtId="0" fontId="5" fillId="0" borderId="58" xfId="0" applyFont="1" applyBorder="1"/>
    <xf numFmtId="0" fontId="5" fillId="0" borderId="59" xfId="0" applyFont="1" applyFill="1" applyBorder="1" applyProtection="1"/>
    <xf numFmtId="0" fontId="5" fillId="0" borderId="87" xfId="0" applyFont="1" applyFill="1" applyBorder="1" applyProtection="1"/>
    <xf numFmtId="173" fontId="13" fillId="0" borderId="106" xfId="16" applyFont="1" applyBorder="1" applyProtection="1"/>
    <xf numFmtId="170" fontId="13" fillId="0" borderId="107" xfId="16" applyNumberFormat="1" applyFont="1" applyFill="1" applyBorder="1" applyAlignment="1" applyProtection="1">
      <alignment horizontal="center"/>
    </xf>
    <xf numFmtId="173" fontId="13" fillId="0" borderId="98" xfId="16" applyFont="1" applyBorder="1" applyProtection="1"/>
    <xf numFmtId="173" fontId="13" fillId="0" borderId="108" xfId="16" applyFont="1" applyBorder="1" applyProtection="1"/>
    <xf numFmtId="173" fontId="13" fillId="0" borderId="120" xfId="16" applyFont="1" applyBorder="1" applyProtection="1"/>
    <xf numFmtId="173" fontId="13" fillId="0" borderId="111" xfId="16" applyFont="1" applyBorder="1" applyProtection="1"/>
    <xf numFmtId="173" fontId="7" fillId="0" borderId="40" xfId="16" applyFont="1" applyBorder="1" applyProtection="1"/>
    <xf numFmtId="173" fontId="6" fillId="0" borderId="63" xfId="5" applyNumberFormat="1" applyBorder="1" applyAlignment="1" applyProtection="1"/>
    <xf numFmtId="173" fontId="6" fillId="0" borderId="109" xfId="5" applyNumberFormat="1" applyBorder="1" applyAlignment="1" applyProtection="1"/>
    <xf numFmtId="0" fontId="16" fillId="0" borderId="121" xfId="0" applyFont="1" applyBorder="1" applyAlignment="1">
      <alignment vertical="top" wrapText="1"/>
    </xf>
    <xf numFmtId="167" fontId="16" fillId="3" borderId="37" xfId="0" applyNumberFormat="1" applyFont="1" applyFill="1" applyBorder="1" applyAlignment="1">
      <alignment vertical="top" wrapText="1"/>
    </xf>
    <xf numFmtId="0" fontId="19" fillId="0" borderId="10" xfId="0" quotePrefix="1" applyFont="1" applyBorder="1" applyAlignment="1" applyProtection="1">
      <alignment wrapText="1"/>
    </xf>
    <xf numFmtId="173" fontId="5" fillId="0" borderId="40" xfId="16" applyFont="1" applyFill="1" applyBorder="1" applyAlignment="1" applyProtection="1">
      <alignment horizontal="center" wrapText="1"/>
    </xf>
    <xf numFmtId="0" fontId="14" fillId="3" borderId="122" xfId="0" applyFont="1" applyFill="1" applyBorder="1" applyAlignment="1" applyProtection="1">
      <alignment wrapText="1"/>
    </xf>
    <xf numFmtId="0" fontId="14" fillId="3" borderId="123" xfId="0" applyFont="1" applyFill="1" applyBorder="1" applyAlignment="1" applyProtection="1">
      <alignment wrapText="1"/>
    </xf>
    <xf numFmtId="0" fontId="14" fillId="3" borderId="124" xfId="0" applyFont="1" applyFill="1" applyBorder="1" applyAlignment="1" applyProtection="1">
      <alignment wrapText="1"/>
    </xf>
    <xf numFmtId="173" fontId="5" fillId="0" borderId="107" xfId="16" applyFont="1" applyFill="1" applyBorder="1" applyAlignment="1" applyProtection="1">
      <alignment horizontal="center" wrapText="1"/>
    </xf>
    <xf numFmtId="169" fontId="13" fillId="3" borderId="108" xfId="16" applyNumberFormat="1" applyFont="1" applyFill="1" applyBorder="1" applyProtection="1"/>
    <xf numFmtId="173" fontId="5" fillId="0" borderId="125" xfId="16" applyFont="1" applyFill="1" applyBorder="1" applyAlignment="1" applyProtection="1">
      <alignment horizontal="center" wrapText="1"/>
    </xf>
    <xf numFmtId="0" fontId="14" fillId="3" borderId="77" xfId="0" quotePrefix="1" applyFont="1" applyFill="1" applyBorder="1" applyAlignment="1" applyProtection="1">
      <alignment horizontal="left" wrapText="1"/>
    </xf>
    <xf numFmtId="0" fontId="14" fillId="3" borderId="80" xfId="0" quotePrefix="1" applyFont="1" applyFill="1" applyBorder="1" applyAlignment="1" applyProtection="1">
      <alignment wrapText="1"/>
    </xf>
    <xf numFmtId="0" fontId="14" fillId="3" borderId="80" xfId="0" quotePrefix="1" applyFont="1" applyFill="1" applyBorder="1" applyAlignment="1" applyProtection="1">
      <alignment horizontal="center" wrapText="1"/>
    </xf>
    <xf numFmtId="0" fontId="5" fillId="0" borderId="3" xfId="0" applyFont="1" applyBorder="1" applyAlignment="1">
      <alignment wrapText="1"/>
    </xf>
    <xf numFmtId="0" fontId="5" fillId="0" borderId="87" xfId="0" applyFont="1" applyBorder="1"/>
    <xf numFmtId="0" fontId="5" fillId="0" borderId="59" xfId="0" applyFont="1" applyBorder="1"/>
    <xf numFmtId="0" fontId="0" fillId="0" borderId="113" xfId="0" applyBorder="1"/>
    <xf numFmtId="0" fontId="0" fillId="0" borderId="98" xfId="0" applyBorder="1"/>
    <xf numFmtId="0" fontId="0" fillId="0" borderId="116" xfId="0" applyBorder="1"/>
    <xf numFmtId="0" fontId="13" fillId="2" borderId="4" xfId="0" applyFont="1" applyFill="1" applyBorder="1" applyAlignment="1">
      <alignment horizontal="left" vertical="top" wrapText="1"/>
    </xf>
    <xf numFmtId="173" fontId="19" fillId="0" borderId="76" xfId="16" applyFont="1" applyBorder="1" applyAlignment="1" applyProtection="1">
      <alignment horizontal="left"/>
    </xf>
    <xf numFmtId="164" fontId="14" fillId="0" borderId="76" xfId="16" applyNumberFormat="1" applyFont="1" applyFill="1" applyBorder="1" applyProtection="1"/>
    <xf numFmtId="173" fontId="13" fillId="0" borderId="6" xfId="16" applyFont="1" applyBorder="1" applyAlignment="1" applyProtection="1">
      <alignment wrapText="1"/>
    </xf>
    <xf numFmtId="173" fontId="5" fillId="0" borderId="6" xfId="16" applyFont="1" applyBorder="1" applyAlignment="1" applyProtection="1">
      <alignment wrapText="1"/>
    </xf>
    <xf numFmtId="173" fontId="13" fillId="0" borderId="67" xfId="16" applyFont="1" applyBorder="1" applyAlignment="1" applyProtection="1">
      <alignment wrapText="1"/>
    </xf>
    <xf numFmtId="0" fontId="0" fillId="0" borderId="77" xfId="0" applyBorder="1"/>
    <xf numFmtId="173" fontId="7" fillId="0" borderId="78" xfId="16" applyFont="1" applyBorder="1" applyAlignment="1" applyProtection="1">
      <alignment vertical="center" wrapText="1"/>
    </xf>
    <xf numFmtId="173" fontId="7" fillId="0" borderId="79" xfId="16" applyFont="1" applyBorder="1" applyAlignment="1" applyProtection="1">
      <alignment horizontal="center" vertical="center" wrapText="1"/>
    </xf>
    <xf numFmtId="165" fontId="7" fillId="0" borderId="79" xfId="16" applyNumberFormat="1" applyFont="1" applyFill="1" applyBorder="1" applyAlignment="1" applyProtection="1">
      <alignment horizontal="center" vertical="center" wrapText="1"/>
    </xf>
    <xf numFmtId="165" fontId="7" fillId="0" borderId="80" xfId="16" applyNumberFormat="1" applyFont="1" applyFill="1" applyBorder="1" applyAlignment="1" applyProtection="1">
      <alignment horizontal="center" vertical="center" wrapText="1"/>
    </xf>
    <xf numFmtId="173" fontId="13" fillId="3" borderId="0" xfId="16" applyFont="1" applyFill="1" applyBorder="1" applyAlignment="1" applyProtection="1">
      <alignment horizontal="center"/>
    </xf>
    <xf numFmtId="173" fontId="13" fillId="3" borderId="7" xfId="16" applyFont="1" applyFill="1" applyBorder="1" applyAlignment="1" applyProtection="1">
      <alignment horizontal="center"/>
    </xf>
    <xf numFmtId="165" fontId="13" fillId="3" borderId="0" xfId="16" applyNumberFormat="1" applyFont="1" applyFill="1" applyBorder="1" applyAlignment="1" applyProtection="1">
      <alignment horizontal="center"/>
    </xf>
    <xf numFmtId="165" fontId="13" fillId="0" borderId="2" xfId="16" applyNumberFormat="1" applyFont="1" applyFill="1" applyBorder="1" applyAlignment="1" applyProtection="1">
      <alignment horizontal="center"/>
    </xf>
    <xf numFmtId="173" fontId="13" fillId="0" borderId="2" xfId="16" applyFont="1" applyFill="1" applyBorder="1" applyAlignment="1" applyProtection="1">
      <alignment horizontal="center"/>
    </xf>
    <xf numFmtId="173" fontId="13" fillId="0" borderId="82" xfId="16" applyFont="1" applyFill="1" applyBorder="1" applyAlignment="1" applyProtection="1">
      <alignment horizontal="center"/>
    </xf>
    <xf numFmtId="173" fontId="13" fillId="0" borderId="63" xfId="16" applyFont="1" applyFill="1" applyBorder="1" applyAlignment="1" applyProtection="1">
      <alignment horizontal="right"/>
    </xf>
    <xf numFmtId="173" fontId="13" fillId="0" borderId="63" xfId="16" applyFont="1" applyFill="1" applyBorder="1" applyAlignment="1" applyProtection="1">
      <alignment horizontal="right" wrapText="1"/>
    </xf>
    <xf numFmtId="173" fontId="5" fillId="0" borderId="109" xfId="16" applyFont="1" applyFill="1" applyBorder="1" applyProtection="1"/>
    <xf numFmtId="173" fontId="19" fillId="0" borderId="77" xfId="16" applyFont="1" applyBorder="1" applyAlignment="1" applyProtection="1">
      <alignment horizontal="left"/>
    </xf>
    <xf numFmtId="165" fontId="5" fillId="0" borderId="7" xfId="16" applyNumberFormat="1" applyFont="1" applyFill="1" applyBorder="1" applyProtection="1"/>
    <xf numFmtId="0" fontId="0" fillId="0" borderId="9" xfId="0" applyBorder="1"/>
    <xf numFmtId="0" fontId="0" fillId="0" borderId="11" xfId="0" applyBorder="1"/>
    <xf numFmtId="0" fontId="7" fillId="0" borderId="40" xfId="0" applyFont="1" applyBorder="1" applyAlignment="1">
      <alignment vertical="top" wrapText="1"/>
    </xf>
    <xf numFmtId="0" fontId="7" fillId="0" borderId="106" xfId="0" applyFont="1" applyBorder="1" applyAlignment="1">
      <alignment vertical="top" wrapText="1"/>
    </xf>
    <xf numFmtId="0" fontId="7" fillId="0" borderId="106" xfId="0" applyFont="1" applyBorder="1" applyAlignment="1">
      <alignment horizontal="left" vertical="top" wrapText="1"/>
    </xf>
    <xf numFmtId="0" fontId="7" fillId="0" borderId="106" xfId="0" applyFont="1" applyBorder="1" applyAlignment="1">
      <alignment horizontal="right" vertical="top" wrapText="1"/>
    </xf>
    <xf numFmtId="0" fontId="7" fillId="0" borderId="106" xfId="0" applyFont="1" applyBorder="1" applyAlignment="1">
      <alignment horizontal="center" vertical="top" wrapText="1"/>
    </xf>
    <xf numFmtId="0" fontId="7" fillId="0" borderId="48" xfId="0" applyFont="1" applyFill="1" applyBorder="1" applyAlignment="1">
      <alignment vertical="top" wrapText="1"/>
    </xf>
    <xf numFmtId="0" fontId="7" fillId="0" borderId="40" xfId="0" applyFont="1" applyFill="1" applyBorder="1" applyAlignment="1">
      <alignment vertical="top" wrapText="1"/>
    </xf>
    <xf numFmtId="0" fontId="7" fillId="0" borderId="107" xfId="0" applyFont="1" applyFill="1" applyBorder="1" applyAlignment="1">
      <alignment vertical="top" wrapText="1"/>
    </xf>
    <xf numFmtId="0" fontId="0" fillId="0" borderId="98" xfId="0" applyFill="1" applyBorder="1" applyAlignment="1">
      <alignment horizontal="left" vertical="top" wrapText="1"/>
    </xf>
    <xf numFmtId="2" fontId="0" fillId="0" borderId="49" xfId="0" applyNumberFormat="1" applyFill="1" applyBorder="1" applyAlignment="1">
      <alignment horizontal="center" vertical="top"/>
    </xf>
    <xf numFmtId="0" fontId="0" fillId="0" borderId="63" xfId="0" applyBorder="1"/>
    <xf numFmtId="0" fontId="0" fillId="0" borderId="108" xfId="0" applyBorder="1"/>
    <xf numFmtId="0" fontId="0" fillId="6" borderId="98" xfId="0" applyFill="1" applyBorder="1" applyAlignment="1">
      <alignment horizontal="left" vertical="top" wrapText="1"/>
    </xf>
    <xf numFmtId="0" fontId="0" fillId="6" borderId="98" xfId="0" quotePrefix="1" applyFill="1" applyBorder="1" applyAlignment="1">
      <alignment horizontal="left" vertical="top" wrapText="1"/>
    </xf>
    <xf numFmtId="173" fontId="5" fillId="0" borderId="76" xfId="16" applyFont="1" applyBorder="1" applyAlignment="1" applyProtection="1">
      <alignment horizontal="center"/>
    </xf>
    <xf numFmtId="0" fontId="5" fillId="0" borderId="76" xfId="0" applyFont="1" applyFill="1" applyBorder="1" applyAlignment="1" applyProtection="1">
      <alignment horizontal="center"/>
    </xf>
    <xf numFmtId="0" fontId="5" fillId="0" borderId="77" xfId="0" applyFont="1" applyFill="1" applyBorder="1" applyAlignment="1" applyProtection="1">
      <alignment horizontal="center"/>
    </xf>
    <xf numFmtId="2" fontId="13" fillId="3" borderId="113" xfId="16" applyNumberFormat="1" applyFont="1" applyFill="1" applyBorder="1" applyAlignment="1" applyProtection="1">
      <alignment horizontal="center" vertical="center" wrapText="1"/>
    </xf>
    <xf numFmtId="2" fontId="13" fillId="3" borderId="128" xfId="16" applyNumberFormat="1" applyFont="1" applyFill="1" applyBorder="1" applyAlignment="1" applyProtection="1">
      <alignment horizontal="center" vertical="center" wrapText="1"/>
    </xf>
    <xf numFmtId="3" fontId="13" fillId="3" borderId="98" xfId="16" applyNumberFormat="1" applyFont="1" applyFill="1" applyBorder="1" applyAlignment="1" applyProtection="1">
      <alignment horizontal="center" vertical="center" wrapText="1"/>
    </xf>
    <xf numFmtId="3" fontId="13" fillId="3" borderId="108" xfId="16" applyNumberFormat="1" applyFont="1" applyFill="1" applyBorder="1" applyAlignment="1" applyProtection="1">
      <alignment horizontal="center" vertical="center" wrapText="1"/>
    </xf>
    <xf numFmtId="2" fontId="13" fillId="3" borderId="98" xfId="16" applyNumberFormat="1" applyFont="1" applyFill="1" applyBorder="1" applyAlignment="1" applyProtection="1">
      <alignment horizontal="center" vertical="center" wrapText="1"/>
    </xf>
    <xf numFmtId="2" fontId="13" fillId="3" borderId="108" xfId="16" applyNumberFormat="1" applyFont="1" applyFill="1" applyBorder="1" applyAlignment="1" applyProtection="1">
      <alignment horizontal="center" vertical="center" wrapText="1"/>
    </xf>
    <xf numFmtId="3" fontId="13" fillId="3" borderId="120" xfId="16" applyNumberFormat="1" applyFont="1" applyFill="1" applyBorder="1" applyAlignment="1" applyProtection="1">
      <alignment horizontal="center" vertical="center" wrapText="1"/>
    </xf>
    <xf numFmtId="3" fontId="13" fillId="3" borderId="111" xfId="16" applyNumberFormat="1" applyFont="1" applyFill="1" applyBorder="1" applyAlignment="1" applyProtection="1">
      <alignment horizontal="center" vertical="center" wrapText="1"/>
    </xf>
    <xf numFmtId="173" fontId="5" fillId="0" borderId="127" xfId="16" applyFont="1" applyBorder="1" applyAlignment="1" applyProtection="1">
      <alignment wrapText="1"/>
    </xf>
    <xf numFmtId="173" fontId="13" fillId="0" borderId="63" xfId="16" applyFont="1" applyBorder="1" applyAlignment="1" applyProtection="1">
      <alignment wrapText="1"/>
    </xf>
    <xf numFmtId="173" fontId="13" fillId="0" borderId="109" xfId="16" applyFont="1" applyBorder="1" applyAlignment="1" applyProtection="1">
      <alignment wrapText="1"/>
    </xf>
    <xf numFmtId="165" fontId="5" fillId="0" borderId="113" xfId="16" applyNumberFormat="1" applyFont="1" applyFill="1" applyBorder="1" applyAlignment="1" applyProtection="1">
      <alignment horizontal="center"/>
    </xf>
    <xf numFmtId="165" fontId="5" fillId="0" borderId="128" xfId="16" applyNumberFormat="1" applyFont="1" applyFill="1" applyBorder="1" applyAlignment="1" applyProtection="1">
      <alignment horizontal="center"/>
    </xf>
    <xf numFmtId="165" fontId="13" fillId="3" borderId="98" xfId="16" applyNumberFormat="1" applyFont="1" applyFill="1" applyBorder="1" applyAlignment="1" applyProtection="1">
      <alignment horizontal="center"/>
    </xf>
    <xf numFmtId="173" fontId="13" fillId="0" borderId="121" xfId="16" applyFont="1" applyBorder="1" applyAlignment="1" applyProtection="1">
      <alignment wrapText="1"/>
    </xf>
    <xf numFmtId="0" fontId="5" fillId="0" borderId="86" xfId="0" applyFont="1" applyBorder="1"/>
    <xf numFmtId="165" fontId="13" fillId="3" borderId="129" xfId="16" applyNumberFormat="1" applyFont="1" applyFill="1" applyBorder="1" applyAlignment="1" applyProtection="1">
      <alignment horizontal="center"/>
    </xf>
    <xf numFmtId="165" fontId="0" fillId="3" borderId="47" xfId="0" applyNumberFormat="1" applyFill="1" applyBorder="1" applyAlignment="1">
      <alignment horizontal="center"/>
    </xf>
    <xf numFmtId="11" fontId="13" fillId="3" borderId="98" xfId="16" applyNumberFormat="1" applyFont="1" applyFill="1" applyBorder="1" applyAlignment="1" applyProtection="1">
      <alignment horizontal="center"/>
    </xf>
    <xf numFmtId="11" fontId="13" fillId="3" borderId="129" xfId="16" applyNumberFormat="1" applyFont="1" applyFill="1" applyBorder="1" applyAlignment="1" applyProtection="1">
      <alignment horizontal="center"/>
    </xf>
    <xf numFmtId="11" fontId="0" fillId="3" borderId="47" xfId="0" applyNumberFormat="1" applyFill="1" applyBorder="1" applyAlignment="1">
      <alignment horizontal="center"/>
    </xf>
    <xf numFmtId="165" fontId="13" fillId="3" borderId="108" xfId="16" applyNumberFormat="1" applyFont="1" applyFill="1" applyBorder="1" applyAlignment="1" applyProtection="1">
      <alignment horizontal="center"/>
    </xf>
    <xf numFmtId="165" fontId="13" fillId="3" borderId="130" xfId="16" applyNumberFormat="1" applyFont="1" applyFill="1" applyBorder="1" applyAlignment="1" applyProtection="1">
      <alignment horizontal="center"/>
    </xf>
    <xf numFmtId="165" fontId="0" fillId="3" borderId="56" xfId="0" applyNumberFormat="1" applyFill="1" applyBorder="1" applyAlignment="1">
      <alignment horizontal="center"/>
    </xf>
    <xf numFmtId="165" fontId="13" fillId="3" borderId="120" xfId="16" applyNumberFormat="1" applyFont="1" applyFill="1" applyBorder="1" applyAlignment="1" applyProtection="1">
      <alignment horizontal="center"/>
    </xf>
    <xf numFmtId="11" fontId="13" fillId="3" borderId="120" xfId="16" applyNumberFormat="1" applyFont="1" applyFill="1" applyBorder="1" applyAlignment="1" applyProtection="1">
      <alignment horizontal="center"/>
    </xf>
    <xf numFmtId="165" fontId="13" fillId="3" borderId="111" xfId="16" applyNumberFormat="1" applyFont="1" applyFill="1" applyBorder="1" applyAlignment="1" applyProtection="1">
      <alignment horizontal="center"/>
    </xf>
    <xf numFmtId="11" fontId="13" fillId="3" borderId="0" xfId="16" applyNumberFormat="1" applyFont="1" applyFill="1" applyBorder="1" applyProtection="1"/>
    <xf numFmtId="11" fontId="13" fillId="3" borderId="7" xfId="16" applyNumberFormat="1" applyFont="1" applyFill="1" applyBorder="1" applyProtection="1"/>
    <xf numFmtId="11" fontId="13" fillId="3" borderId="90" xfId="16" applyNumberFormat="1" applyFont="1" applyFill="1" applyBorder="1" applyProtection="1"/>
    <xf numFmtId="11" fontId="13" fillId="3" borderId="110" xfId="16" applyNumberFormat="1" applyFont="1" applyFill="1" applyBorder="1" applyProtection="1"/>
    <xf numFmtId="165" fontId="13" fillId="3" borderId="0" xfId="16" applyNumberFormat="1" applyFont="1" applyFill="1" applyBorder="1" applyAlignment="1" applyProtection="1">
      <alignment horizontal="center" wrapText="1"/>
    </xf>
    <xf numFmtId="165" fontId="5" fillId="3" borderId="0" xfId="16" applyNumberFormat="1" applyFont="1" applyFill="1" applyBorder="1" applyAlignment="1" applyProtection="1">
      <alignment horizontal="center" wrapText="1"/>
    </xf>
    <xf numFmtId="173" fontId="19" fillId="0" borderId="24" xfId="16" applyFont="1" applyBorder="1" applyProtection="1"/>
    <xf numFmtId="173" fontId="13" fillId="0" borderId="65" xfId="16" applyFont="1" applyBorder="1" applyProtection="1"/>
    <xf numFmtId="0" fontId="5" fillId="0" borderId="65" xfId="0" applyFont="1" applyBorder="1"/>
    <xf numFmtId="0" fontId="5" fillId="0" borderId="65" xfId="0" applyFont="1" applyFill="1" applyBorder="1" applyProtection="1"/>
    <xf numFmtId="0" fontId="5" fillId="0" borderId="66" xfId="0" applyFont="1" applyFill="1" applyBorder="1" applyProtection="1"/>
    <xf numFmtId="0" fontId="0" fillId="0" borderId="7" xfId="0" applyBorder="1"/>
    <xf numFmtId="2" fontId="13" fillId="3" borderId="113" xfId="16" applyNumberFormat="1" applyFont="1" applyFill="1" applyBorder="1" applyAlignment="1" applyProtection="1">
      <alignment vertical="center" wrapText="1"/>
    </xf>
    <xf numFmtId="3" fontId="13" fillId="3" borderId="98" xfId="16" applyNumberFormat="1" applyFont="1" applyFill="1" applyBorder="1" applyAlignment="1" applyProtection="1">
      <alignment vertical="center" wrapText="1"/>
    </xf>
    <xf numFmtId="2" fontId="13" fillId="3" borderId="98" xfId="16" applyNumberFormat="1" applyFont="1" applyFill="1" applyBorder="1" applyAlignment="1" applyProtection="1">
      <alignment vertical="center" wrapText="1"/>
    </xf>
    <xf numFmtId="3" fontId="13" fillId="3" borderId="120" xfId="16" applyNumberFormat="1" applyFont="1" applyFill="1" applyBorder="1" applyAlignment="1" applyProtection="1">
      <alignment vertical="center" wrapText="1"/>
    </xf>
    <xf numFmtId="11" fontId="0" fillId="3" borderId="113" xfId="0" applyNumberFormat="1" applyFill="1" applyBorder="1"/>
    <xf numFmtId="165" fontId="0" fillId="3" borderId="128" xfId="0" applyNumberFormat="1" applyFill="1" applyBorder="1"/>
    <xf numFmtId="2" fontId="0" fillId="3" borderId="98" xfId="0" applyNumberFormat="1" applyFill="1" applyBorder="1"/>
    <xf numFmtId="2" fontId="0" fillId="3" borderId="108" xfId="0" applyNumberFormat="1" applyFill="1" applyBorder="1"/>
    <xf numFmtId="0" fontId="0" fillId="3" borderId="108" xfId="0" applyFill="1" applyBorder="1"/>
    <xf numFmtId="11" fontId="0" fillId="3" borderId="120" xfId="0" applyNumberFormat="1" applyFill="1" applyBorder="1"/>
    <xf numFmtId="165" fontId="0" fillId="3" borderId="111" xfId="0" applyNumberFormat="1" applyFill="1" applyBorder="1"/>
    <xf numFmtId="173" fontId="5" fillId="0" borderId="75" xfId="16" applyFont="1" applyBorder="1" applyAlignment="1" applyProtection="1">
      <alignment wrapText="1"/>
    </xf>
    <xf numFmtId="173" fontId="7" fillId="0" borderId="76" xfId="16" applyFont="1" applyFill="1" applyBorder="1" applyAlignment="1" applyProtection="1">
      <alignment horizontal="center" wrapText="1"/>
    </xf>
    <xf numFmtId="173" fontId="7" fillId="0" borderId="76" xfId="16" applyFont="1" applyBorder="1" applyAlignment="1" applyProtection="1">
      <alignment horizontal="center" vertical="center" wrapText="1"/>
    </xf>
    <xf numFmtId="165" fontId="7" fillId="0" borderId="76" xfId="16" applyNumberFormat="1" applyFont="1" applyFill="1" applyBorder="1" applyAlignment="1" applyProtection="1">
      <alignment horizontal="center" vertical="center" wrapText="1"/>
    </xf>
    <xf numFmtId="165" fontId="7" fillId="0" borderId="77" xfId="16" applyNumberFormat="1" applyFont="1" applyFill="1" applyBorder="1" applyAlignment="1" applyProtection="1">
      <alignment horizontal="center" vertical="center" wrapText="1"/>
    </xf>
    <xf numFmtId="173" fontId="13" fillId="0" borderId="127" xfId="16" applyFont="1" applyBorder="1" applyAlignment="1" applyProtection="1">
      <alignment wrapText="1"/>
    </xf>
    <xf numFmtId="165" fontId="13" fillId="3" borderId="113" xfId="16" applyNumberFormat="1" applyFont="1" applyFill="1" applyBorder="1" applyAlignment="1" applyProtection="1">
      <alignment horizontal="center" wrapText="1"/>
    </xf>
    <xf numFmtId="165" fontId="13" fillId="3" borderId="113" xfId="16" applyNumberFormat="1" applyFont="1" applyFill="1" applyBorder="1" applyAlignment="1" applyProtection="1">
      <alignment horizontal="center"/>
    </xf>
    <xf numFmtId="173" fontId="13" fillId="3" borderId="113" xfId="16" applyFont="1" applyFill="1" applyBorder="1" applyAlignment="1" applyProtection="1">
      <alignment horizontal="center"/>
    </xf>
    <xf numFmtId="165" fontId="13" fillId="3" borderId="98" xfId="16" applyNumberFormat="1" applyFont="1" applyFill="1" applyBorder="1" applyAlignment="1" applyProtection="1">
      <alignment horizontal="center" wrapText="1"/>
    </xf>
    <xf numFmtId="173" fontId="13" fillId="3" borderId="98" xfId="16" applyFont="1" applyFill="1" applyBorder="1" applyAlignment="1" applyProtection="1">
      <alignment horizontal="center"/>
    </xf>
    <xf numFmtId="173" fontId="13" fillId="3" borderId="108" xfId="16" applyFont="1" applyFill="1" applyBorder="1" applyAlignment="1" applyProtection="1">
      <alignment horizontal="center"/>
    </xf>
    <xf numFmtId="173" fontId="13" fillId="0" borderId="131" xfId="16" applyFont="1" applyBorder="1" applyAlignment="1" applyProtection="1">
      <alignment wrapText="1"/>
    </xf>
    <xf numFmtId="165" fontId="13" fillId="3" borderId="118" xfId="16" applyNumberFormat="1" applyFont="1" applyFill="1" applyBorder="1" applyAlignment="1" applyProtection="1">
      <alignment horizontal="center" wrapText="1"/>
    </xf>
    <xf numFmtId="165" fontId="13" fillId="3" borderId="118" xfId="16" applyNumberFormat="1" applyFont="1" applyFill="1" applyBorder="1" applyAlignment="1" applyProtection="1">
      <alignment horizontal="center"/>
    </xf>
    <xf numFmtId="173" fontId="13" fillId="3" borderId="118" xfId="16" applyFont="1" applyFill="1" applyBorder="1" applyAlignment="1" applyProtection="1">
      <alignment horizontal="center"/>
    </xf>
    <xf numFmtId="173" fontId="7" fillId="0" borderId="81" xfId="16" applyFont="1" applyFill="1" applyBorder="1" applyAlignment="1" applyProtection="1">
      <alignment wrapText="1"/>
    </xf>
    <xf numFmtId="165" fontId="5" fillId="0" borderId="2" xfId="16" applyNumberFormat="1" applyFont="1" applyFill="1" applyBorder="1" applyAlignment="1" applyProtection="1">
      <alignment horizontal="center" wrapText="1"/>
    </xf>
    <xf numFmtId="165" fontId="13" fillId="3" borderId="120" xfId="16" applyNumberFormat="1" applyFont="1" applyFill="1" applyBorder="1" applyAlignment="1" applyProtection="1">
      <alignment horizontal="center" wrapText="1"/>
    </xf>
    <xf numFmtId="173" fontId="13" fillId="3" borderId="120" xfId="16" applyFont="1" applyFill="1" applyBorder="1" applyAlignment="1" applyProtection="1">
      <alignment horizontal="center"/>
    </xf>
    <xf numFmtId="173" fontId="13" fillId="3" borderId="111" xfId="16" applyFont="1" applyFill="1" applyBorder="1" applyAlignment="1" applyProtection="1">
      <alignment horizontal="center"/>
    </xf>
    <xf numFmtId="11" fontId="13" fillId="0" borderId="0" xfId="16" applyNumberFormat="1" applyFont="1" applyFill="1" applyBorder="1" applyProtection="1"/>
    <xf numFmtId="11" fontId="13" fillId="0" borderId="7" xfId="16" applyNumberFormat="1" applyFont="1" applyFill="1" applyBorder="1" applyProtection="1"/>
    <xf numFmtId="173" fontId="5" fillId="0" borderId="6" xfId="16" applyFont="1" applyFill="1" applyBorder="1" applyAlignment="1" applyProtection="1">
      <alignment wrapText="1"/>
    </xf>
    <xf numFmtId="173" fontId="5" fillId="0" borderId="63" xfId="16" applyFont="1" applyFill="1" applyBorder="1" applyAlignment="1" applyProtection="1">
      <alignment wrapText="1"/>
    </xf>
    <xf numFmtId="165" fontId="13" fillId="0" borderId="98" xfId="16" applyNumberFormat="1" applyFont="1" applyFill="1" applyBorder="1" applyAlignment="1" applyProtection="1">
      <alignment horizontal="center"/>
    </xf>
    <xf numFmtId="11" fontId="13" fillId="0" borderId="98" xfId="16" applyNumberFormat="1" applyFont="1" applyFill="1" applyBorder="1" applyAlignment="1" applyProtection="1">
      <alignment horizontal="center"/>
    </xf>
    <xf numFmtId="165" fontId="13" fillId="0" borderId="108" xfId="16" applyNumberFormat="1" applyFont="1" applyFill="1" applyBorder="1" applyAlignment="1" applyProtection="1">
      <alignment horizontal="center"/>
    </xf>
    <xf numFmtId="0" fontId="19" fillId="0" borderId="24" xfId="0" applyFont="1" applyBorder="1"/>
    <xf numFmtId="0" fontId="0" fillId="0" borderId="66" xfId="0" applyBorder="1"/>
    <xf numFmtId="0" fontId="6" fillId="0" borderId="6" xfId="5" applyBorder="1" applyAlignment="1" applyProtection="1"/>
    <xf numFmtId="0" fontId="6" fillId="0" borderId="67" xfId="5" applyBorder="1" applyAlignment="1" applyProtection="1"/>
    <xf numFmtId="0" fontId="0" fillId="0" borderId="110" xfId="0" applyBorder="1"/>
    <xf numFmtId="0" fontId="13" fillId="6" borderId="133" xfId="0" applyFont="1" applyFill="1" applyBorder="1" applyAlignment="1" applyProtection="1">
      <alignment wrapText="1"/>
      <protection locked="0"/>
    </xf>
    <xf numFmtId="0" fontId="13" fillId="6" borderId="19" xfId="0" applyFont="1" applyFill="1" applyBorder="1" applyAlignment="1" applyProtection="1">
      <alignment wrapText="1"/>
      <protection locked="0"/>
    </xf>
    <xf numFmtId="0" fontId="13" fillId="6" borderId="134" xfId="0" applyFont="1" applyFill="1" applyBorder="1" applyAlignment="1" applyProtection="1">
      <alignment wrapText="1"/>
      <protection locked="0"/>
    </xf>
    <xf numFmtId="42" fontId="13" fillId="3" borderId="69" xfId="1" applyNumberFormat="1" applyFont="1" applyFill="1" applyBorder="1" applyAlignment="1" applyProtection="1">
      <alignment wrapText="1"/>
      <protection locked="0"/>
    </xf>
    <xf numFmtId="2" fontId="13" fillId="5" borderId="135" xfId="0" applyNumberFormat="1" applyFont="1" applyFill="1" applyBorder="1" applyAlignment="1" applyProtection="1">
      <alignment wrapText="1"/>
      <protection locked="0"/>
    </xf>
    <xf numFmtId="42" fontId="13" fillId="3" borderId="135" xfId="0" applyNumberFormat="1" applyFont="1" applyFill="1" applyBorder="1" applyAlignment="1" applyProtection="1">
      <alignment wrapText="1"/>
      <protection locked="0"/>
    </xf>
    <xf numFmtId="42" fontId="13" fillId="3" borderId="135" xfId="1" applyNumberFormat="1" applyFont="1" applyFill="1" applyBorder="1" applyAlignment="1" applyProtection="1">
      <alignment wrapText="1"/>
      <protection locked="0"/>
    </xf>
    <xf numFmtId="0" fontId="13" fillId="6" borderId="135" xfId="0" applyFont="1" applyFill="1" applyBorder="1" applyAlignment="1" applyProtection="1">
      <alignment wrapText="1"/>
      <protection locked="0"/>
    </xf>
    <xf numFmtId="2" fontId="13" fillId="5" borderId="8" xfId="1" applyNumberFormat="1" applyFont="1" applyFill="1" applyBorder="1" applyAlignment="1" applyProtection="1">
      <alignment wrapText="1"/>
      <protection locked="0"/>
    </xf>
    <xf numFmtId="42" fontId="13" fillId="3" borderId="8" xfId="0" applyNumberFormat="1" applyFont="1" applyFill="1" applyBorder="1" applyAlignment="1" applyProtection="1">
      <alignment wrapText="1"/>
      <protection locked="0"/>
    </xf>
    <xf numFmtId="42" fontId="13" fillId="3" borderId="8" xfId="1" applyNumberFormat="1" applyFont="1" applyFill="1" applyBorder="1" applyAlignment="1" applyProtection="1">
      <alignment wrapText="1"/>
      <protection locked="0"/>
    </xf>
    <xf numFmtId="0" fontId="13" fillId="6" borderId="8" xfId="0" applyFont="1" applyFill="1" applyBorder="1" applyAlignment="1" applyProtection="1">
      <alignment wrapText="1"/>
      <protection locked="0"/>
    </xf>
    <xf numFmtId="2" fontId="5" fillId="5" borderId="8" xfId="0" applyNumberFormat="1" applyFont="1" applyFill="1" applyBorder="1" applyAlignment="1" applyProtection="1">
      <alignment wrapText="1"/>
      <protection locked="0"/>
    </xf>
    <xf numFmtId="0" fontId="13" fillId="3" borderId="137" xfId="0" applyFont="1" applyFill="1" applyBorder="1" applyAlignment="1" applyProtection="1">
      <alignment horizontal="left" wrapText="1"/>
      <protection locked="0"/>
    </xf>
    <xf numFmtId="0" fontId="13" fillId="3" borderId="138" xfId="0" applyFont="1" applyFill="1" applyBorder="1" applyAlignment="1" applyProtection="1">
      <alignment horizontal="left" wrapText="1"/>
      <protection locked="0"/>
    </xf>
    <xf numFmtId="2" fontId="13" fillId="3" borderId="135" xfId="0" applyNumberFormat="1" applyFont="1" applyFill="1" applyBorder="1" applyAlignment="1" applyProtection="1">
      <alignment wrapText="1"/>
      <protection locked="0"/>
    </xf>
    <xf numFmtId="2" fontId="13" fillId="3" borderId="8" xfId="0" applyNumberFormat="1" applyFont="1" applyFill="1" applyBorder="1" applyAlignment="1" applyProtection="1">
      <alignment wrapText="1"/>
      <protection locked="0"/>
    </xf>
    <xf numFmtId="41" fontId="5" fillId="3" borderId="69" xfId="0" applyNumberFormat="1" applyFont="1" applyFill="1" applyBorder="1" applyAlignment="1" applyProtection="1">
      <alignment wrapText="1"/>
      <protection locked="0"/>
    </xf>
    <xf numFmtId="0" fontId="40" fillId="2" borderId="24" xfId="0" applyFont="1" applyFill="1" applyBorder="1" applyProtection="1">
      <protection locked="0"/>
    </xf>
    <xf numFmtId="0" fontId="39" fillId="2" borderId="65" xfId="0" applyFont="1" applyFill="1" applyBorder="1" applyProtection="1">
      <protection locked="0"/>
    </xf>
    <xf numFmtId="0" fontId="32" fillId="0" borderId="0" xfId="0" applyFont="1" applyFill="1" applyBorder="1" applyProtection="1">
      <protection locked="0"/>
    </xf>
    <xf numFmtId="0" fontId="14" fillId="2" borderId="6" xfId="0" applyFont="1" applyFill="1" applyBorder="1" applyAlignment="1" applyProtection="1">
      <alignment horizontal="left" vertical="top"/>
      <protection locked="0"/>
    </xf>
    <xf numFmtId="3" fontId="14" fillId="3" borderId="57" xfId="0" applyNumberFormat="1" applyFont="1" applyFill="1" applyBorder="1" applyAlignment="1" applyProtection="1">
      <alignment horizontal="left" vertical="top"/>
      <protection locked="0"/>
    </xf>
    <xf numFmtId="0" fontId="0" fillId="2" borderId="0" xfId="0" applyFill="1" applyBorder="1" applyProtection="1">
      <protection locked="0"/>
    </xf>
    <xf numFmtId="0" fontId="0" fillId="0" borderId="0" xfId="0" applyFill="1" applyBorder="1" applyProtection="1">
      <protection locked="0"/>
    </xf>
    <xf numFmtId="2" fontId="14" fillId="3" borderId="57" xfId="0" applyNumberFormat="1" applyFont="1" applyFill="1" applyBorder="1" applyAlignment="1" applyProtection="1">
      <alignment horizontal="left" vertical="top"/>
      <protection locked="0"/>
    </xf>
    <xf numFmtId="2" fontId="13" fillId="2" borderId="0" xfId="0" applyNumberFormat="1" applyFont="1" applyFill="1" applyBorder="1" applyAlignment="1" applyProtection="1">
      <alignment horizontal="left" vertical="top" wrapText="1"/>
      <protection locked="0"/>
    </xf>
    <xf numFmtId="2" fontId="14" fillId="5" borderId="57" xfId="0" applyNumberFormat="1" applyFont="1" applyFill="1" applyBorder="1" applyAlignment="1" applyProtection="1">
      <alignment horizontal="left" vertical="top"/>
      <protection locked="0"/>
    </xf>
    <xf numFmtId="3" fontId="14" fillId="5" borderId="57" xfId="0" applyNumberFormat="1" applyFont="1" applyFill="1" applyBorder="1" applyAlignment="1" applyProtection="1">
      <alignment horizontal="left" vertical="top"/>
      <protection locked="0"/>
    </xf>
    <xf numFmtId="2" fontId="14" fillId="0" borderId="0" xfId="0" applyNumberFormat="1" applyFont="1" applyFill="1" applyBorder="1" applyAlignment="1" applyProtection="1">
      <alignment horizontal="left" vertical="top"/>
      <protection locked="0"/>
    </xf>
    <xf numFmtId="0" fontId="0" fillId="2" borderId="6" xfId="0" applyFill="1" applyBorder="1" applyProtection="1">
      <protection locked="0"/>
    </xf>
    <xf numFmtId="0" fontId="39" fillId="2" borderId="110" xfId="0" applyFont="1" applyFill="1" applyBorder="1" applyProtection="1">
      <protection locked="0"/>
    </xf>
    <xf numFmtId="0" fontId="45" fillId="2" borderId="0" xfId="0" applyFont="1" applyFill="1" applyBorder="1" applyAlignment="1">
      <alignment horizontal="right" vertical="center" wrapText="1"/>
    </xf>
    <xf numFmtId="0" fontId="0" fillId="0" borderId="0" xfId="0" applyAlignment="1">
      <alignment horizontal="left" vertical="top" wrapText="1"/>
    </xf>
    <xf numFmtId="173" fontId="13" fillId="0" borderId="63" xfId="16" applyFont="1" applyBorder="1" applyAlignment="1" applyProtection="1">
      <alignment horizontal="left" vertical="center" wrapText="1"/>
    </xf>
    <xf numFmtId="173" fontId="13" fillId="0" borderId="98" xfId="16" applyFont="1" applyBorder="1" applyAlignment="1" applyProtection="1">
      <alignment horizontal="left" vertical="center" wrapText="1"/>
    </xf>
    <xf numFmtId="0" fontId="50" fillId="2" borderId="94" xfId="0" applyFont="1" applyFill="1" applyBorder="1" applyAlignment="1">
      <alignment horizontal="left" vertical="center" wrapText="1"/>
    </xf>
    <xf numFmtId="0" fontId="45" fillId="2" borderId="95" xfId="0" applyFont="1" applyFill="1" applyBorder="1" applyAlignment="1">
      <alignment horizontal="center" vertical="top" wrapText="1"/>
    </xf>
    <xf numFmtId="0" fontId="45" fillId="2" borderId="95" xfId="0" applyFont="1" applyFill="1" applyBorder="1" applyAlignment="1">
      <alignment horizontal="right" vertical="center" wrapText="1"/>
    </xf>
    <xf numFmtId="0" fontId="0" fillId="5" borderId="0" xfId="0" applyFill="1"/>
    <xf numFmtId="0" fontId="0" fillId="3" borderId="0" xfId="0" applyFill="1"/>
    <xf numFmtId="0" fontId="0" fillId="4" borderId="0" xfId="0" applyFill="1"/>
    <xf numFmtId="173" fontId="50" fillId="0" borderId="0" xfId="16" applyFont="1" applyAlignment="1">
      <alignment horizontal="left"/>
    </xf>
    <xf numFmtId="0" fontId="5" fillId="0" borderId="0" xfId="0" applyFont="1" applyProtection="1">
      <protection locked="0"/>
    </xf>
    <xf numFmtId="0" fontId="0" fillId="0" borderId="0" xfId="0" applyAlignment="1" applyProtection="1">
      <protection locked="0"/>
    </xf>
    <xf numFmtId="0" fontId="5" fillId="0" borderId="0" xfId="0" applyFont="1" applyAlignment="1" applyProtection="1">
      <protection locked="0"/>
    </xf>
    <xf numFmtId="0" fontId="5" fillId="0" borderId="0" xfId="0" applyFont="1" applyFill="1" applyBorder="1" applyAlignment="1" applyProtection="1">
      <alignment horizontal="left" vertical="center" wrapText="1"/>
      <protection locked="0"/>
    </xf>
    <xf numFmtId="0" fontId="51" fillId="6" borderId="8" xfId="0" applyFont="1" applyFill="1" applyBorder="1" applyAlignment="1" applyProtection="1">
      <alignment wrapText="1"/>
      <protection locked="0"/>
    </xf>
    <xf numFmtId="0" fontId="5" fillId="0" borderId="13" xfId="0" applyFont="1" applyBorder="1" applyAlignment="1" applyProtection="1">
      <alignment horizontal="right"/>
      <protection locked="0"/>
    </xf>
    <xf numFmtId="0" fontId="13" fillId="6" borderId="99" xfId="0" applyFont="1" applyFill="1" applyBorder="1" applyAlignment="1" applyProtection="1">
      <alignment horizontal="left" wrapText="1"/>
      <protection locked="0"/>
    </xf>
    <xf numFmtId="0" fontId="13" fillId="0" borderId="0" xfId="0" applyFont="1" applyFill="1" applyBorder="1" applyAlignment="1" applyProtection="1">
      <alignment wrapText="1"/>
      <protection locked="0"/>
    </xf>
    <xf numFmtId="0" fontId="5" fillId="0" borderId="17" xfId="0" applyFont="1" applyBorder="1" applyAlignment="1" applyProtection="1">
      <alignment horizontal="right"/>
      <protection locked="0"/>
    </xf>
    <xf numFmtId="0" fontId="6" fillId="6" borderId="100" xfId="5" applyFont="1" applyFill="1" applyBorder="1" applyAlignment="1" applyProtection="1">
      <alignment wrapText="1"/>
      <protection locked="0"/>
    </xf>
    <xf numFmtId="0" fontId="6" fillId="0" borderId="0" xfId="5" applyFont="1" applyFill="1" applyBorder="1" applyAlignment="1" applyProtection="1">
      <alignment wrapText="1"/>
      <protection locked="0"/>
    </xf>
    <xf numFmtId="15" fontId="13" fillId="6" borderId="100" xfId="0" applyNumberFormat="1" applyFont="1" applyFill="1" applyBorder="1" applyAlignment="1" applyProtection="1">
      <alignment horizontal="left" wrapText="1"/>
      <protection locked="0"/>
    </xf>
    <xf numFmtId="15" fontId="13" fillId="0" borderId="0" xfId="0" applyNumberFormat="1" applyFont="1" applyFill="1" applyBorder="1" applyAlignment="1" applyProtection="1">
      <alignment horizontal="left" wrapText="1"/>
      <protection locked="0"/>
    </xf>
    <xf numFmtId="0" fontId="5" fillId="0" borderId="20" xfId="0" applyFont="1" applyBorder="1" applyAlignment="1" applyProtection="1">
      <alignment horizontal="right"/>
      <protection locked="0"/>
    </xf>
    <xf numFmtId="0" fontId="5" fillId="0" borderId="0" xfId="0" applyFont="1" applyFill="1" applyBorder="1" applyAlignment="1" applyProtection="1">
      <alignment horizontal="right"/>
      <protection locked="0"/>
    </xf>
    <xf numFmtId="0" fontId="13" fillId="0" borderId="0" xfId="0" applyFont="1" applyFill="1" applyBorder="1" applyProtection="1">
      <protection locked="0"/>
    </xf>
    <xf numFmtId="0" fontId="13" fillId="6" borderId="16" xfId="0" applyFont="1" applyFill="1" applyBorder="1" applyAlignment="1" applyProtection="1">
      <alignment horizontal="left" wrapText="1"/>
      <protection locked="0"/>
    </xf>
    <xf numFmtId="0" fontId="13" fillId="0" borderId="0" xfId="0" applyFont="1" applyProtection="1">
      <protection locked="0"/>
    </xf>
    <xf numFmtId="0" fontId="13" fillId="6" borderId="19" xfId="0" applyFont="1" applyFill="1" applyBorder="1" applyAlignment="1" applyProtection="1">
      <alignment horizontal="left" wrapText="1"/>
      <protection locked="0"/>
    </xf>
    <xf numFmtId="0" fontId="21" fillId="0" borderId="0" xfId="0" applyFont="1" applyAlignment="1" applyProtection="1">
      <protection locked="0"/>
    </xf>
    <xf numFmtId="0" fontId="21" fillId="0" borderId="0" xfId="0" applyFont="1" applyProtection="1">
      <protection locked="0"/>
    </xf>
    <xf numFmtId="0" fontId="5" fillId="0" borderId="17" xfId="0" applyFont="1" applyBorder="1" applyAlignment="1" applyProtection="1">
      <alignment horizontal="right" wrapText="1"/>
      <protection locked="0"/>
    </xf>
    <xf numFmtId="0" fontId="13" fillId="6" borderId="23" xfId="0" applyFont="1" applyFill="1" applyBorder="1" applyAlignment="1" applyProtection="1">
      <alignment wrapText="1"/>
      <protection locked="0"/>
    </xf>
    <xf numFmtId="0" fontId="5" fillId="0" borderId="0" xfId="0" applyFont="1" applyAlignment="1" applyProtection="1">
      <alignment horizontal="right"/>
      <protection locked="0"/>
    </xf>
    <xf numFmtId="0" fontId="5" fillId="0" borderId="17" xfId="0" applyFont="1" applyBorder="1" applyProtection="1">
      <protection locked="0"/>
    </xf>
    <xf numFmtId="0" fontId="5" fillId="0" borderId="8" xfId="0" applyFont="1" applyBorder="1" applyProtection="1">
      <protection locked="0"/>
    </xf>
    <xf numFmtId="0" fontId="5" fillId="0" borderId="19" xfId="0" applyFont="1" applyBorder="1" applyAlignment="1" applyProtection="1">
      <alignment wrapText="1"/>
      <protection locked="0"/>
    </xf>
    <xf numFmtId="15" fontId="13" fillId="6" borderId="17" xfId="0" applyNumberFormat="1" applyFont="1" applyFill="1" applyBorder="1" applyAlignment="1" applyProtection="1">
      <alignment horizontal="right" wrapText="1"/>
      <protection locked="0"/>
    </xf>
    <xf numFmtId="14" fontId="13" fillId="6" borderId="8" xfId="0" applyNumberFormat="1" applyFont="1" applyFill="1" applyBorder="1" applyAlignment="1" applyProtection="1">
      <alignment wrapText="1"/>
      <protection locked="0"/>
    </xf>
    <xf numFmtId="15" fontId="13" fillId="6" borderId="17" xfId="0" applyNumberFormat="1" applyFont="1" applyFill="1" applyBorder="1" applyAlignment="1" applyProtection="1">
      <alignment wrapText="1"/>
      <protection locked="0"/>
    </xf>
    <xf numFmtId="15" fontId="13" fillId="6" borderId="20" xfId="0" applyNumberFormat="1" applyFont="1" applyFill="1" applyBorder="1" applyProtection="1">
      <protection locked="0"/>
    </xf>
    <xf numFmtId="14" fontId="13" fillId="6" borderId="22" xfId="0" applyNumberFormat="1" applyFont="1" applyFill="1" applyBorder="1" applyAlignment="1" applyProtection="1">
      <alignment wrapText="1"/>
      <protection locked="0"/>
    </xf>
    <xf numFmtId="0" fontId="50" fillId="0" borderId="0" xfId="0" applyFont="1" applyProtection="1"/>
    <xf numFmtId="0" fontId="5" fillId="0" borderId="0" xfId="0" applyFont="1" applyFill="1" applyBorder="1" applyAlignment="1" applyProtection="1">
      <alignment horizontal="left" vertical="center"/>
    </xf>
    <xf numFmtId="0" fontId="42" fillId="0" borderId="0" xfId="0" applyFont="1" applyAlignment="1">
      <alignment horizontal="right"/>
    </xf>
    <xf numFmtId="0" fontId="52" fillId="0" borderId="0" xfId="0" applyFont="1"/>
    <xf numFmtId="0" fontId="52" fillId="0" borderId="0" xfId="0" applyFont="1" applyAlignment="1">
      <alignment vertical="top" wrapText="1"/>
    </xf>
    <xf numFmtId="0" fontId="52" fillId="0" borderId="0" xfId="0" applyFont="1" applyAlignment="1">
      <alignment horizontal="left" vertical="top" wrapText="1"/>
    </xf>
    <xf numFmtId="0" fontId="42" fillId="0" borderId="0" xfId="0" applyFont="1" applyAlignment="1">
      <alignment horizontal="right" vertical="top" wrapText="1"/>
    </xf>
    <xf numFmtId="0" fontId="14" fillId="0" borderId="0" xfId="0" applyFont="1" applyAlignment="1">
      <alignment vertical="top" wrapText="1"/>
    </xf>
    <xf numFmtId="0" fontId="53" fillId="0" borderId="0" xfId="5" applyFont="1" applyAlignment="1" applyProtection="1">
      <alignment horizontal="left" vertical="top" wrapText="1"/>
    </xf>
    <xf numFmtId="4" fontId="13" fillId="3" borderId="98" xfId="16" applyNumberFormat="1" applyFont="1" applyFill="1" applyBorder="1" applyAlignment="1" applyProtection="1">
      <alignment horizontal="center" vertical="center" wrapText="1"/>
    </xf>
    <xf numFmtId="4" fontId="13" fillId="3" borderId="108" xfId="16" applyNumberFormat="1" applyFont="1" applyFill="1" applyBorder="1" applyAlignment="1" applyProtection="1">
      <alignment horizontal="center" vertical="center" wrapText="1"/>
    </xf>
    <xf numFmtId="0" fontId="5" fillId="6" borderId="0" xfId="0" applyFont="1" applyFill="1" applyBorder="1" applyAlignment="1">
      <alignment horizontal="left" vertical="top" wrapText="1"/>
    </xf>
    <xf numFmtId="0" fontId="39" fillId="2" borderId="95" xfId="0" applyFont="1" applyFill="1" applyBorder="1" applyAlignment="1">
      <alignment vertical="top" wrapText="1"/>
    </xf>
    <xf numFmtId="0" fontId="39" fillId="2" borderId="96" xfId="0" applyFont="1" applyFill="1" applyBorder="1" applyAlignment="1">
      <alignment vertical="top" wrapText="1"/>
    </xf>
    <xf numFmtId="0" fontId="43" fillId="2" borderId="4" xfId="0" applyFont="1" applyFill="1" applyBorder="1" applyAlignment="1">
      <alignment horizontal="left" vertical="center" wrapText="1"/>
    </xf>
    <xf numFmtId="5" fontId="13" fillId="3" borderId="57" xfId="0" applyNumberFormat="1" applyFont="1" applyFill="1" applyBorder="1" applyAlignment="1">
      <alignment vertical="top" wrapText="1"/>
    </xf>
    <xf numFmtId="0" fontId="53" fillId="2" borderId="4" xfId="5" applyFont="1" applyFill="1" applyBorder="1" applyAlignment="1" applyProtection="1">
      <alignment horizontal="left" vertical="center" wrapText="1"/>
    </xf>
    <xf numFmtId="5" fontId="0" fillId="3" borderId="57" xfId="0" applyNumberFormat="1" applyFill="1" applyBorder="1"/>
    <xf numFmtId="0" fontId="12" fillId="2" borderId="0" xfId="0" applyFont="1" applyFill="1" applyBorder="1" applyAlignment="1">
      <alignment vertical="top" wrapText="1"/>
    </xf>
    <xf numFmtId="0" fontId="42" fillId="0" borderId="0" xfId="0" applyFont="1" applyFill="1" applyBorder="1" applyAlignment="1">
      <alignment vertical="top" wrapText="1"/>
    </xf>
    <xf numFmtId="44" fontId="13" fillId="0" borderId="0" xfId="0" applyNumberFormat="1" applyFont="1" applyAlignment="1">
      <alignment vertical="top" wrapText="1"/>
    </xf>
    <xf numFmtId="0" fontId="0" fillId="16" borderId="0" xfId="0" applyFill="1"/>
    <xf numFmtId="0" fontId="5" fillId="0" borderId="4" xfId="0" applyFont="1" applyFill="1" applyBorder="1" applyAlignment="1">
      <alignment vertical="center" wrapText="1"/>
    </xf>
    <xf numFmtId="169" fontId="13" fillId="3" borderId="142" xfId="16" applyNumberFormat="1" applyFont="1" applyFill="1" applyBorder="1" applyProtection="1"/>
    <xf numFmtId="169" fontId="5" fillId="3" borderId="22" xfId="16" applyNumberFormat="1" applyFont="1" applyFill="1" applyBorder="1" applyProtection="1"/>
    <xf numFmtId="0" fontId="0" fillId="0" borderId="47" xfId="0" quotePrefix="1" applyBorder="1" applyAlignment="1" applyProtection="1">
      <alignment wrapText="1"/>
    </xf>
    <xf numFmtId="173" fontId="13" fillId="0" borderId="0" xfId="16" quotePrefix="1" applyFont="1" applyProtection="1"/>
    <xf numFmtId="165" fontId="19" fillId="3" borderId="8" xfId="0" applyNumberFormat="1" applyFont="1" applyFill="1" applyBorder="1" applyAlignment="1" applyProtection="1">
      <alignment wrapText="1"/>
    </xf>
    <xf numFmtId="165" fontId="19" fillId="3" borderId="19" xfId="0" applyNumberFormat="1" applyFont="1" applyFill="1" applyBorder="1" applyAlignment="1" applyProtection="1">
      <alignment wrapText="1"/>
    </xf>
    <xf numFmtId="0" fontId="0" fillId="6" borderId="98" xfId="0" applyNumberFormat="1" applyFill="1" applyBorder="1" applyAlignment="1">
      <alignment horizontal="left" vertical="top" wrapText="1"/>
    </xf>
    <xf numFmtId="167" fontId="0" fillId="0" borderId="98" xfId="0" applyNumberFormat="1" applyFill="1" applyBorder="1" applyAlignment="1">
      <alignment horizontal="left" vertical="top" wrapText="1"/>
    </xf>
    <xf numFmtId="3" fontId="0" fillId="0" borderId="112" xfId="0" applyNumberFormat="1" applyBorder="1"/>
    <xf numFmtId="3" fontId="0" fillId="0" borderId="113" xfId="0" applyNumberFormat="1" applyBorder="1"/>
    <xf numFmtId="3" fontId="0" fillId="0" borderId="114" xfId="0" applyNumberFormat="1" applyBorder="1"/>
    <xf numFmtId="165" fontId="0" fillId="0" borderId="113" xfId="0" applyNumberFormat="1" applyBorder="1"/>
    <xf numFmtId="3" fontId="0" fillId="0" borderId="115" xfId="0" applyNumberFormat="1" applyBorder="1"/>
    <xf numFmtId="3" fontId="0" fillId="0" borderId="98" xfId="0" applyNumberFormat="1" applyBorder="1"/>
    <xf numFmtId="3" fontId="0" fillId="0" borderId="116" xfId="0" applyNumberFormat="1" applyBorder="1"/>
    <xf numFmtId="165" fontId="0" fillId="0" borderId="98" xfId="0" applyNumberFormat="1" applyBorder="1"/>
    <xf numFmtId="165" fontId="0" fillId="0" borderId="115" xfId="0" applyNumberFormat="1" applyBorder="1"/>
    <xf numFmtId="165" fontId="0" fillId="0" borderId="116" xfId="0" applyNumberFormat="1" applyBorder="1"/>
    <xf numFmtId="164" fontId="0" fillId="5" borderId="62" xfId="0" applyNumberFormat="1" applyFill="1" applyBorder="1" applyAlignment="1">
      <alignment vertical="top" wrapText="1"/>
    </xf>
    <xf numFmtId="3" fontId="0" fillId="3" borderId="88" xfId="0" applyNumberFormat="1" applyFill="1" applyBorder="1" applyAlignment="1">
      <alignment vertical="top" wrapText="1"/>
    </xf>
    <xf numFmtId="0" fontId="0" fillId="5" borderId="62" xfId="0" applyFill="1" applyBorder="1" applyAlignment="1">
      <alignment vertical="top" wrapText="1"/>
    </xf>
    <xf numFmtId="9" fontId="3" fillId="5" borderId="62" xfId="17" applyFill="1" applyBorder="1" applyAlignment="1">
      <alignment vertical="top" wrapText="1"/>
    </xf>
    <xf numFmtId="9" fontId="0" fillId="5" borderId="62" xfId="0" applyNumberFormat="1" applyFill="1" applyBorder="1" applyAlignment="1">
      <alignment vertical="top" wrapText="1"/>
    </xf>
    <xf numFmtId="10" fontId="0" fillId="3" borderId="88" xfId="0" applyNumberFormat="1" applyFill="1" applyBorder="1" applyAlignment="1">
      <alignment vertical="top" wrapText="1"/>
    </xf>
    <xf numFmtId="170" fontId="0" fillId="3" borderId="89" xfId="0" applyNumberFormat="1" applyFill="1" applyBorder="1" applyAlignment="1">
      <alignment vertical="top" wrapText="1"/>
    </xf>
    <xf numFmtId="170" fontId="0" fillId="3" borderId="88" xfId="0" quotePrefix="1" applyNumberFormat="1" applyFill="1" applyBorder="1" applyAlignment="1">
      <alignment vertical="top" wrapText="1"/>
    </xf>
    <xf numFmtId="0" fontId="13" fillId="6" borderId="6" xfId="7" applyFill="1" applyBorder="1" applyAlignment="1">
      <alignment horizontal="center"/>
    </xf>
    <xf numFmtId="0" fontId="54" fillId="0" borderId="0" xfId="0" applyFont="1"/>
    <xf numFmtId="0" fontId="13" fillId="6" borderId="67" xfId="7" applyFill="1" applyBorder="1" applyAlignment="1">
      <alignment horizontal="center"/>
    </xf>
    <xf numFmtId="0" fontId="5" fillId="0" borderId="24" xfId="0" applyFont="1" applyFill="1" applyBorder="1"/>
    <xf numFmtId="0" fontId="5" fillId="0" borderId="65" xfId="0" applyFont="1" applyFill="1" applyBorder="1"/>
    <xf numFmtId="0" fontId="0" fillId="0" borderId="65" xfId="0" applyFill="1" applyBorder="1"/>
    <xf numFmtId="0" fontId="0" fillId="0" borderId="78" xfId="0" applyFill="1" applyBorder="1"/>
    <xf numFmtId="0" fontId="0" fillId="0" borderId="79" xfId="0" applyFill="1" applyBorder="1"/>
    <xf numFmtId="0" fontId="0" fillId="0" borderId="80" xfId="0" applyFill="1" applyBorder="1"/>
    <xf numFmtId="0" fontId="0" fillId="0" borderId="6" xfId="0" applyFill="1" applyBorder="1"/>
    <xf numFmtId="167" fontId="0" fillId="0" borderId="0" xfId="0" applyNumberFormat="1" applyFill="1" applyBorder="1"/>
    <xf numFmtId="0" fontId="0" fillId="0" borderId="4" xfId="0" applyFill="1" applyBorder="1"/>
    <xf numFmtId="0" fontId="0" fillId="0" borderId="7" xfId="0" applyFill="1" applyBorder="1"/>
    <xf numFmtId="0" fontId="13" fillId="0" borderId="6" xfId="0" applyFont="1" applyFill="1" applyBorder="1"/>
    <xf numFmtId="167" fontId="0" fillId="0" borderId="4" xfId="0" applyNumberFormat="1" applyFill="1" applyBorder="1"/>
    <xf numFmtId="0" fontId="13" fillId="0" borderId="67" xfId="0" applyFont="1" applyFill="1" applyBorder="1"/>
    <xf numFmtId="0" fontId="0" fillId="0" borderId="90" xfId="0" applyFill="1" applyBorder="1"/>
    <xf numFmtId="167" fontId="0" fillId="0" borderId="90" xfId="0" applyNumberFormat="1" applyFill="1" applyBorder="1"/>
    <xf numFmtId="0" fontId="13" fillId="17" borderId="65" xfId="0" applyFont="1" applyFill="1" applyBorder="1"/>
    <xf numFmtId="0" fontId="0" fillId="17" borderId="65" xfId="0" applyFill="1" applyBorder="1"/>
    <xf numFmtId="0" fontId="0" fillId="17" borderId="66" xfId="0" applyFill="1" applyBorder="1"/>
    <xf numFmtId="0" fontId="0" fillId="0" borderId="4" xfId="0" applyBorder="1"/>
    <xf numFmtId="0" fontId="0" fillId="0" borderId="144" xfId="0" applyBorder="1"/>
    <xf numFmtId="0" fontId="5" fillId="0" borderId="6" xfId="0" applyFont="1" applyFill="1" applyBorder="1"/>
    <xf numFmtId="0" fontId="5" fillId="0" borderId="0" xfId="0" applyFont="1" applyFill="1" applyBorder="1" applyAlignment="1">
      <alignment wrapText="1"/>
    </xf>
    <xf numFmtId="0" fontId="5" fillId="0" borderId="0" xfId="0" applyFont="1" applyFill="1" applyBorder="1"/>
    <xf numFmtId="0" fontId="5" fillId="0" borderId="7" xfId="0" applyFont="1" applyFill="1" applyBorder="1"/>
    <xf numFmtId="7" fontId="0" fillId="0" borderId="0" xfId="0" applyNumberFormat="1"/>
    <xf numFmtId="7" fontId="0" fillId="0" borderId="143" xfId="0" applyNumberFormat="1" applyFill="1" applyBorder="1" applyAlignment="1">
      <alignment vertical="top" wrapText="1"/>
    </xf>
    <xf numFmtId="0" fontId="13" fillId="0" borderId="63" xfId="0" applyFont="1" applyFill="1" applyBorder="1" applyAlignment="1">
      <alignment horizontal="left" vertical="top" wrapText="1"/>
    </xf>
    <xf numFmtId="0" fontId="13" fillId="6" borderId="98" xfId="0" applyFont="1" applyFill="1" applyBorder="1" applyAlignment="1">
      <alignment horizontal="left" vertical="top" wrapText="1"/>
    </xf>
    <xf numFmtId="0" fontId="13" fillId="0" borderId="98" xfId="0" applyFont="1" applyFill="1" applyBorder="1" applyAlignment="1">
      <alignment horizontal="left" vertical="top" wrapText="1"/>
    </xf>
    <xf numFmtId="172" fontId="13" fillId="3" borderId="69" xfId="0" applyNumberFormat="1" applyFont="1" applyFill="1" applyBorder="1" applyAlignment="1" applyProtection="1">
      <alignment wrapText="1"/>
      <protection locked="0"/>
    </xf>
    <xf numFmtId="172" fontId="0" fillId="0" borderId="0" xfId="0" applyNumberFormat="1"/>
    <xf numFmtId="0" fontId="13" fillId="5" borderId="145" xfId="0" applyFont="1" applyFill="1" applyBorder="1" applyAlignment="1" applyProtection="1">
      <alignment horizontal="left" wrapText="1"/>
      <protection locked="0"/>
    </xf>
    <xf numFmtId="178" fontId="0" fillId="3" borderId="88" xfId="3" applyNumberFormat="1" applyFont="1" applyFill="1" applyBorder="1" applyAlignment="1">
      <alignment vertical="top" wrapText="1"/>
    </xf>
    <xf numFmtId="167" fontId="13" fillId="0" borderId="0" xfId="0" applyNumberFormat="1" applyFont="1" applyFill="1" applyBorder="1"/>
    <xf numFmtId="0" fontId="28" fillId="0" borderId="90" xfId="0" applyFont="1" applyFill="1" applyBorder="1" applyAlignment="1" applyProtection="1">
      <alignment horizontal="center" wrapText="1"/>
    </xf>
    <xf numFmtId="3" fontId="13" fillId="2" borderId="8" xfId="0" applyNumberFormat="1" applyFont="1" applyFill="1" applyBorder="1" applyAlignment="1" applyProtection="1">
      <alignment horizontal="left" vertical="center" wrapText="1"/>
      <protection locked="0"/>
    </xf>
    <xf numFmtId="3" fontId="13" fillId="2" borderId="19" xfId="0" applyNumberFormat="1" applyFont="1" applyFill="1" applyBorder="1" applyAlignment="1" applyProtection="1">
      <alignment horizontal="left" vertical="center" wrapText="1"/>
      <protection locked="0"/>
    </xf>
    <xf numFmtId="0" fontId="36" fillId="0" borderId="0" xfId="0" applyFont="1" applyFill="1" applyBorder="1" applyAlignment="1">
      <alignment vertical="top" wrapText="1"/>
    </xf>
    <xf numFmtId="0" fontId="7" fillId="0" borderId="0" xfId="0" applyFont="1" applyFill="1" applyBorder="1" applyAlignment="1">
      <alignment horizontal="right" vertical="center" wrapText="1"/>
    </xf>
    <xf numFmtId="170" fontId="16" fillId="0" borderId="0" xfId="0" applyNumberFormat="1" applyFont="1" applyFill="1" applyBorder="1" applyAlignment="1">
      <alignment horizontal="center" vertical="center" wrapText="1"/>
    </xf>
    <xf numFmtId="0" fontId="62" fillId="0" borderId="58" xfId="0" applyFont="1" applyFill="1" applyBorder="1"/>
    <xf numFmtId="0" fontId="13" fillId="0" borderId="6" xfId="0" applyFont="1" applyFill="1" applyBorder="1" applyAlignment="1">
      <alignment horizontal="left"/>
    </xf>
    <xf numFmtId="0" fontId="0" fillId="0" borderId="0" xfId="0" applyAlignment="1" applyProtection="1">
      <alignment horizontal="left"/>
    </xf>
    <xf numFmtId="0" fontId="0" fillId="0" borderId="0" xfId="0" applyAlignment="1" applyProtection="1">
      <alignment horizontal="right"/>
    </xf>
    <xf numFmtId="179" fontId="0" fillId="0" borderId="0" xfId="0" applyNumberFormat="1" applyProtection="1"/>
    <xf numFmtId="0" fontId="57" fillId="0" borderId="1" xfId="0" applyFont="1" applyFill="1" applyBorder="1" applyAlignment="1">
      <alignment wrapText="1"/>
    </xf>
    <xf numFmtId="0" fontId="57" fillId="0" borderId="2" xfId="0" applyFont="1" applyFill="1" applyBorder="1" applyAlignment="1">
      <alignment horizontal="center"/>
    </xf>
    <xf numFmtId="0" fontId="57" fillId="0" borderId="2" xfId="0" applyFont="1" applyFill="1" applyBorder="1" applyAlignment="1">
      <alignment horizontal="center" wrapText="1"/>
    </xf>
    <xf numFmtId="0" fontId="57" fillId="0" borderId="3" xfId="0" applyFont="1" applyFill="1" applyBorder="1" applyAlignment="1">
      <alignment horizontal="center" wrapText="1"/>
    </xf>
    <xf numFmtId="0" fontId="58" fillId="0" borderId="4" xfId="0" applyFont="1" applyFill="1" applyBorder="1" applyAlignment="1">
      <alignment wrapText="1"/>
    </xf>
    <xf numFmtId="2" fontId="58" fillId="0" borderId="0" xfId="0" applyNumberFormat="1" applyFont="1" applyFill="1" applyBorder="1" applyAlignment="1">
      <alignment horizontal="center"/>
    </xf>
    <xf numFmtId="2" fontId="59" fillId="0" borderId="0" xfId="0" applyNumberFormat="1" applyFont="1" applyFill="1" applyBorder="1" applyAlignment="1">
      <alignment wrapText="1"/>
    </xf>
    <xf numFmtId="2" fontId="59" fillId="0" borderId="0" xfId="0" applyNumberFormat="1" applyFont="1" applyFill="1" applyBorder="1" applyAlignment="1"/>
    <xf numFmtId="2" fontId="59" fillId="0" borderId="0" xfId="0" applyNumberFormat="1" applyFont="1" applyFill="1" applyBorder="1"/>
    <xf numFmtId="2" fontId="59" fillId="0" borderId="5" xfId="0" applyNumberFormat="1" applyFont="1" applyFill="1" applyBorder="1"/>
    <xf numFmtId="0" fontId="58" fillId="0" borderId="4" xfId="0" applyFont="1" applyFill="1" applyBorder="1"/>
    <xf numFmtId="0" fontId="57" fillId="0" borderId="4" xfId="0" applyFont="1" applyFill="1" applyBorder="1"/>
    <xf numFmtId="2" fontId="58" fillId="0" borderId="5" xfId="0" applyNumberFormat="1" applyFont="1" applyFill="1" applyBorder="1" applyAlignment="1">
      <alignment horizontal="center"/>
    </xf>
    <xf numFmtId="2" fontId="59" fillId="0" borderId="5" xfId="0" applyNumberFormat="1" applyFont="1" applyFill="1" applyBorder="1" applyAlignment="1">
      <alignment wrapText="1"/>
    </xf>
    <xf numFmtId="0" fontId="58" fillId="0" borderId="58" xfId="0" applyFont="1" applyFill="1" applyBorder="1" applyAlignment="1">
      <alignment wrapText="1"/>
    </xf>
    <xf numFmtId="2" fontId="58" fillId="0" borderId="59" xfId="0" applyNumberFormat="1" applyFont="1" applyFill="1" applyBorder="1" applyAlignment="1">
      <alignment horizontal="center"/>
    </xf>
    <xf numFmtId="2" fontId="58" fillId="0" borderId="59" xfId="0" applyNumberFormat="1" applyFont="1" applyFill="1" applyBorder="1" applyAlignment="1">
      <alignment horizontal="center" wrapText="1"/>
    </xf>
    <xf numFmtId="2" fontId="58" fillId="0" borderId="87" xfId="0" applyNumberFormat="1" applyFont="1" applyFill="1" applyBorder="1" applyAlignment="1">
      <alignment horizontal="center" wrapText="1"/>
    </xf>
    <xf numFmtId="0" fontId="60" fillId="0" borderId="0" xfId="0" applyFont="1" applyFill="1" applyBorder="1" applyAlignment="1"/>
    <xf numFmtId="0" fontId="59" fillId="0" borderId="0" xfId="0" applyFont="1" applyFill="1"/>
    <xf numFmtId="0" fontId="60" fillId="0" borderId="0" xfId="0" applyFont="1" applyFill="1"/>
    <xf numFmtId="0" fontId="5" fillId="0" borderId="1" xfId="0" applyFont="1" applyFill="1" applyBorder="1" applyAlignment="1">
      <alignment vertical="center"/>
    </xf>
    <xf numFmtId="0" fontId="5" fillId="0" borderId="2" xfId="0" applyFont="1" applyFill="1" applyBorder="1" applyAlignment="1">
      <alignment horizontal="center" vertical="center" wrapText="1"/>
    </xf>
    <xf numFmtId="0" fontId="59" fillId="3" borderId="4" xfId="0" applyFont="1" applyFill="1" applyBorder="1"/>
    <xf numFmtId="165" fontId="59" fillId="3" borderId="0" xfId="0" applyNumberFormat="1" applyFont="1" applyFill="1" applyBorder="1" applyAlignment="1">
      <alignment horizontal="center"/>
    </xf>
    <xf numFmtId="0" fontId="59" fillId="0" borderId="4" xfId="0" applyFont="1" applyFill="1" applyBorder="1"/>
    <xf numFmtId="165" fontId="59" fillId="0" borderId="0" xfId="0" applyNumberFormat="1" applyFont="1" applyFill="1" applyBorder="1" applyAlignment="1">
      <alignment horizontal="center"/>
    </xf>
    <xf numFmtId="0" fontId="59" fillId="3" borderId="0" xfId="0" applyFont="1" applyFill="1" applyBorder="1" applyAlignment="1">
      <alignment horizontal="center"/>
    </xf>
    <xf numFmtId="0" fontId="59" fillId="3" borderId="5" xfId="0" applyFont="1" applyFill="1" applyBorder="1" applyAlignment="1">
      <alignment horizontal="center"/>
    </xf>
    <xf numFmtId="0" fontId="59" fillId="0" borderId="0" xfId="0" applyFont="1" applyFill="1" applyBorder="1" applyAlignment="1">
      <alignment horizontal="center"/>
    </xf>
    <xf numFmtId="0" fontId="59" fillId="0" borderId="5" xfId="0" applyFont="1" applyFill="1" applyBorder="1" applyAlignment="1">
      <alignment horizontal="center"/>
    </xf>
    <xf numFmtId="0" fontId="5" fillId="3" borderId="0" xfId="0" applyFont="1" applyFill="1" applyBorder="1" applyAlignment="1">
      <alignment horizontal="center"/>
    </xf>
    <xf numFmtId="0" fontId="59" fillId="3" borderId="0" xfId="0" applyFont="1" applyFill="1" applyBorder="1"/>
    <xf numFmtId="0" fontId="59" fillId="0" borderId="0" xfId="0" applyFont="1" applyFill="1" applyBorder="1"/>
    <xf numFmtId="0" fontId="20" fillId="0" borderId="5" xfId="0" applyFont="1" applyFill="1" applyBorder="1" applyAlignment="1">
      <alignment horizontal="center"/>
    </xf>
    <xf numFmtId="0" fontId="20" fillId="3" borderId="5" xfId="0" applyFont="1" applyFill="1" applyBorder="1" applyAlignment="1">
      <alignment horizontal="center"/>
    </xf>
    <xf numFmtId="0" fontId="59" fillId="0" borderId="0" xfId="0" applyFont="1"/>
    <xf numFmtId="0" fontId="59" fillId="0" borderId="4" xfId="0" applyFont="1" applyFill="1" applyBorder="1" applyAlignment="1">
      <alignment wrapText="1"/>
    </xf>
    <xf numFmtId="0" fontId="59" fillId="0" borderId="0" xfId="0" applyFont="1" applyFill="1" applyBorder="1" applyAlignment="1">
      <alignment wrapText="1"/>
    </xf>
    <xf numFmtId="0" fontId="59" fillId="0" borderId="5" xfId="0" applyFont="1" applyFill="1" applyBorder="1" applyAlignment="1">
      <alignment wrapText="1"/>
    </xf>
    <xf numFmtId="0" fontId="0" fillId="0" borderId="0" xfId="0" applyFill="1" applyBorder="1" applyAlignment="1">
      <alignment wrapText="1"/>
    </xf>
    <xf numFmtId="0" fontId="0" fillId="3" borderId="4" xfId="0" applyFill="1" applyBorder="1" applyAlignment="1">
      <alignment wrapText="1"/>
    </xf>
    <xf numFmtId="0" fontId="0" fillId="3" borderId="0" xfId="0" applyFill="1" applyBorder="1"/>
    <xf numFmtId="0" fontId="0" fillId="0" borderId="81" xfId="0" applyFill="1" applyBorder="1"/>
    <xf numFmtId="0" fontId="0" fillId="0" borderId="2" xfId="0" applyFill="1" applyBorder="1"/>
    <xf numFmtId="167" fontId="0" fillId="0" borderId="2" xfId="0" applyNumberFormat="1" applyFill="1" applyBorder="1"/>
    <xf numFmtId="165" fontId="59" fillId="3" borderId="2" xfId="0" applyNumberFormat="1" applyFont="1" applyFill="1" applyBorder="1" applyAlignment="1">
      <alignment horizontal="center"/>
    </xf>
    <xf numFmtId="165" fontId="59" fillId="3" borderId="82" xfId="0" applyNumberFormat="1" applyFont="1" applyFill="1" applyBorder="1" applyAlignment="1">
      <alignment horizontal="center"/>
    </xf>
    <xf numFmtId="165" fontId="59" fillId="3" borderId="7" xfId="0" applyNumberFormat="1" applyFont="1" applyFill="1" applyBorder="1" applyAlignment="1">
      <alignment horizontal="center"/>
    </xf>
    <xf numFmtId="0" fontId="13" fillId="0" borderId="4" xfId="0" applyFont="1" applyFill="1" applyBorder="1"/>
    <xf numFmtId="2" fontId="58" fillId="0" borderId="0" xfId="0" applyNumberFormat="1" applyFont="1" applyFill="1" applyBorder="1" applyAlignment="1">
      <alignment horizontal="center" wrapText="1"/>
    </xf>
    <xf numFmtId="2" fontId="58" fillId="0" borderId="7" xfId="0" applyNumberFormat="1" applyFont="1" applyFill="1" applyBorder="1" applyAlignment="1">
      <alignment horizontal="center" wrapText="1"/>
    </xf>
    <xf numFmtId="0" fontId="13" fillId="0" borderId="144" xfId="0" applyFont="1" applyFill="1" applyBorder="1"/>
    <xf numFmtId="165" fontId="59" fillId="3" borderId="90" xfId="0" applyNumberFormat="1" applyFont="1" applyFill="1" applyBorder="1" applyAlignment="1">
      <alignment horizontal="center"/>
    </xf>
    <xf numFmtId="165" fontId="59" fillId="3" borderId="110" xfId="0" applyNumberFormat="1" applyFont="1" applyFill="1" applyBorder="1" applyAlignment="1">
      <alignment horizontal="center"/>
    </xf>
    <xf numFmtId="0" fontId="13" fillId="2" borderId="4" xfId="0" applyFont="1" applyFill="1" applyBorder="1"/>
    <xf numFmtId="0" fontId="38" fillId="2" borderId="9" xfId="0" applyFont="1" applyFill="1" applyBorder="1" applyAlignment="1" applyProtection="1">
      <protection locked="0"/>
    </xf>
    <xf numFmtId="0" fontId="38" fillId="2" borderId="10" xfId="0" applyFont="1" applyFill="1" applyBorder="1" applyAlignment="1" applyProtection="1">
      <protection locked="0"/>
    </xf>
    <xf numFmtId="0" fontId="38" fillId="2" borderId="11" xfId="0" applyFont="1" applyFill="1" applyBorder="1" applyAlignment="1" applyProtection="1">
      <protection locked="0"/>
    </xf>
    <xf numFmtId="10" fontId="60" fillId="0" borderId="0" xfId="0" applyNumberFormat="1" applyFont="1" applyFill="1"/>
    <xf numFmtId="167" fontId="0" fillId="0" borderId="0" xfId="0" applyNumberFormat="1"/>
    <xf numFmtId="0" fontId="0" fillId="0" borderId="67" xfId="0" applyFill="1" applyBorder="1"/>
    <xf numFmtId="0" fontId="13" fillId="0" borderId="0" xfId="0" applyFont="1" applyFill="1" applyBorder="1"/>
    <xf numFmtId="0" fontId="13" fillId="0" borderId="1" xfId="0" applyFont="1" applyFill="1" applyBorder="1"/>
    <xf numFmtId="2" fontId="13" fillId="5" borderId="141" xfId="0" applyNumberFormat="1" applyFont="1" applyFill="1" applyBorder="1" applyAlignment="1" applyProtection="1">
      <alignment wrapText="1"/>
      <protection locked="0"/>
    </xf>
    <xf numFmtId="2" fontId="13" fillId="5" borderId="147" xfId="0" applyNumberFormat="1" applyFont="1" applyFill="1" applyBorder="1" applyAlignment="1" applyProtection="1">
      <alignment wrapText="1"/>
      <protection locked="0"/>
    </xf>
    <xf numFmtId="3" fontId="13" fillId="5" borderId="100" xfId="0" applyNumberFormat="1" applyFont="1" applyFill="1" applyBorder="1" applyAlignment="1" applyProtection="1">
      <alignment wrapText="1"/>
      <protection locked="0"/>
    </xf>
    <xf numFmtId="172" fontId="13" fillId="5" borderId="100" xfId="0" applyNumberFormat="1" applyFont="1" applyFill="1" applyBorder="1" applyAlignment="1" applyProtection="1">
      <alignment wrapText="1"/>
      <protection locked="0"/>
    </xf>
    <xf numFmtId="172" fontId="13" fillId="5" borderId="101" xfId="0" applyNumberFormat="1" applyFont="1" applyFill="1" applyBorder="1" applyAlignment="1" applyProtection="1">
      <alignment wrapText="1"/>
      <protection locked="0"/>
    </xf>
    <xf numFmtId="7" fontId="36" fillId="0" borderId="57" xfId="0" applyNumberFormat="1" applyFont="1" applyFill="1" applyBorder="1" applyAlignment="1">
      <alignment vertical="top" wrapText="1"/>
    </xf>
    <xf numFmtId="0" fontId="13" fillId="5" borderId="105" xfId="0" applyNumberFormat="1" applyFont="1" applyFill="1" applyBorder="1" applyAlignment="1" applyProtection="1">
      <alignment wrapText="1"/>
      <protection locked="0"/>
    </xf>
    <xf numFmtId="9" fontId="0" fillId="4" borderId="0" xfId="0" applyNumberFormat="1" applyFill="1" applyBorder="1" applyAlignment="1">
      <alignment vertical="top" wrapText="1"/>
    </xf>
    <xf numFmtId="0" fontId="5" fillId="0" borderId="0" xfId="0" applyFont="1" applyAlignment="1">
      <alignment wrapText="1"/>
    </xf>
    <xf numFmtId="172" fontId="13" fillId="5" borderId="148" xfId="1" applyNumberFormat="1" applyFont="1" applyFill="1" applyBorder="1" applyAlignment="1" applyProtection="1">
      <alignment wrapText="1"/>
      <protection locked="0"/>
    </xf>
    <xf numFmtId="170" fontId="0" fillId="3" borderId="88" xfId="0" applyNumberFormat="1" applyFill="1" applyBorder="1" applyAlignment="1">
      <alignment vertical="top" wrapText="1"/>
    </xf>
    <xf numFmtId="0" fontId="6" fillId="6" borderId="100" xfId="5" applyFill="1" applyBorder="1" applyAlignment="1" applyProtection="1">
      <alignment wrapText="1"/>
      <protection locked="0"/>
    </xf>
    <xf numFmtId="0" fontId="6" fillId="6" borderId="101" xfId="5" applyFill="1" applyBorder="1" applyAlignment="1" applyProtection="1">
      <alignment wrapText="1"/>
      <protection locked="0"/>
    </xf>
    <xf numFmtId="0" fontId="48" fillId="6" borderId="8" xfId="0" applyFont="1" applyFill="1" applyBorder="1" applyAlignment="1" applyProtection="1">
      <alignment wrapText="1"/>
      <protection locked="0"/>
    </xf>
    <xf numFmtId="0" fontId="13" fillId="6" borderId="98" xfId="0" applyNumberFormat="1" applyFont="1" applyFill="1" applyBorder="1" applyAlignment="1">
      <alignment horizontal="left" vertical="top" wrapText="1"/>
    </xf>
    <xf numFmtId="0" fontId="0" fillId="3" borderId="57" xfId="0" applyFill="1" applyBorder="1" applyAlignment="1">
      <alignment vertical="top" wrapText="1"/>
    </xf>
    <xf numFmtId="7" fontId="13" fillId="3" borderId="57" xfId="0" applyNumberFormat="1" applyFont="1" applyFill="1" applyBorder="1" applyAlignment="1">
      <alignment vertical="top" wrapText="1"/>
    </xf>
    <xf numFmtId="9" fontId="3" fillId="5" borderId="89" xfId="17" applyFill="1" applyBorder="1" applyAlignment="1">
      <alignment vertical="top" wrapText="1"/>
    </xf>
    <xf numFmtId="7" fontId="0" fillId="3" borderId="62" xfId="0" applyNumberFormat="1" applyFill="1" applyBorder="1" applyAlignment="1">
      <alignment vertical="top" wrapText="1"/>
    </xf>
    <xf numFmtId="170" fontId="13" fillId="3" borderId="62" xfId="0" applyNumberFormat="1" applyFont="1" applyFill="1" applyBorder="1" applyAlignment="1">
      <alignment vertical="top" wrapText="1"/>
    </xf>
    <xf numFmtId="169" fontId="13" fillId="3" borderId="57" xfId="0" applyNumberFormat="1" applyFont="1" applyFill="1" applyBorder="1" applyAlignment="1">
      <alignment vertical="top" wrapText="1"/>
    </xf>
    <xf numFmtId="0" fontId="0" fillId="6" borderId="0" xfId="0" quotePrefix="1" applyFill="1" applyBorder="1" applyAlignment="1">
      <alignment horizontal="left" vertical="top" wrapText="1"/>
    </xf>
    <xf numFmtId="0" fontId="13" fillId="6" borderId="0" xfId="0" applyFont="1" applyFill="1" applyBorder="1" applyAlignment="1">
      <alignment horizontal="left" vertical="top" wrapText="1"/>
    </xf>
    <xf numFmtId="0" fontId="13" fillId="6" borderId="5" xfId="0" applyFont="1" applyFill="1" applyBorder="1" applyAlignment="1">
      <alignment horizontal="left" vertical="top" wrapText="1"/>
    </xf>
    <xf numFmtId="0" fontId="0" fillId="6" borderId="5" xfId="0" quotePrefix="1" applyFill="1" applyBorder="1" applyAlignment="1">
      <alignment horizontal="left" vertical="top" wrapText="1"/>
    </xf>
    <xf numFmtId="170" fontId="0" fillId="6" borderId="0" xfId="0" applyNumberFormat="1" applyFill="1" applyBorder="1" applyAlignment="1">
      <alignment horizontal="left" vertical="top" wrapText="1"/>
    </xf>
    <xf numFmtId="170" fontId="0" fillId="6" borderId="5" xfId="0" applyNumberFormat="1" applyFill="1" applyBorder="1" applyAlignment="1">
      <alignment horizontal="left" vertical="top" wrapText="1"/>
    </xf>
    <xf numFmtId="0" fontId="13" fillId="6" borderId="0" xfId="0" applyFont="1" applyFill="1" applyBorder="1" applyAlignment="1">
      <alignment vertical="top" wrapText="1"/>
    </xf>
    <xf numFmtId="165" fontId="13" fillId="3" borderId="138" xfId="0" applyNumberFormat="1" applyFont="1" applyFill="1" applyBorder="1" applyAlignment="1" applyProtection="1">
      <alignment wrapText="1"/>
      <protection locked="0"/>
    </xf>
    <xf numFmtId="165" fontId="13" fillId="3" borderId="145" xfId="0" applyNumberFormat="1" applyFont="1" applyFill="1" applyBorder="1" applyAlignment="1" applyProtection="1">
      <alignment wrapText="1"/>
      <protection locked="0"/>
    </xf>
    <xf numFmtId="0" fontId="13" fillId="3" borderId="138" xfId="0" applyNumberFormat="1" applyFont="1" applyFill="1" applyBorder="1" applyAlignment="1" applyProtection="1">
      <alignment wrapText="1"/>
      <protection locked="0"/>
    </xf>
    <xf numFmtId="0" fontId="5" fillId="6" borderId="0" xfId="0" applyFont="1" applyFill="1" applyBorder="1" applyAlignment="1">
      <alignment vertical="top" wrapText="1"/>
    </xf>
    <xf numFmtId="0" fontId="5" fillId="6" borderId="5" xfId="0" applyFont="1" applyFill="1" applyBorder="1" applyAlignment="1">
      <alignment vertical="top" wrapText="1"/>
    </xf>
    <xf numFmtId="170" fontId="0" fillId="5" borderId="137" xfId="0" applyNumberFormat="1" applyFill="1" applyBorder="1" applyAlignment="1">
      <alignment vertical="top" wrapText="1"/>
    </xf>
    <xf numFmtId="0" fontId="0" fillId="3" borderId="135" xfId="0" applyNumberFormat="1" applyFill="1" applyBorder="1" applyAlignment="1">
      <alignment vertical="top" wrapText="1"/>
    </xf>
    <xf numFmtId="170" fontId="0" fillId="3" borderId="99" xfId="0" applyNumberFormat="1" applyFill="1" applyBorder="1" applyAlignment="1">
      <alignment vertical="top" wrapText="1"/>
    </xf>
    <xf numFmtId="170" fontId="0" fillId="5" borderId="138" xfId="0" applyNumberFormat="1" applyFill="1" applyBorder="1" applyAlignment="1">
      <alignment vertical="top" wrapText="1"/>
    </xf>
    <xf numFmtId="0" fontId="0" fillId="3" borderId="8" xfId="0" applyNumberFormat="1" applyFill="1" applyBorder="1" applyAlignment="1">
      <alignment vertical="top" wrapText="1"/>
    </xf>
    <xf numFmtId="170" fontId="0" fillId="3" borderId="100" xfId="0" applyNumberFormat="1" applyFill="1" applyBorder="1" applyAlignment="1">
      <alignment vertical="top" wrapText="1"/>
    </xf>
    <xf numFmtId="170" fontId="0" fillId="3" borderId="101" xfId="0" applyNumberFormat="1" applyFill="1" applyBorder="1" applyAlignment="1">
      <alignment vertical="top" wrapText="1"/>
    </xf>
    <xf numFmtId="0" fontId="0" fillId="6" borderId="0" xfId="0" quotePrefix="1" applyFill="1" applyBorder="1" applyAlignment="1">
      <alignment vertical="top" wrapText="1"/>
    </xf>
    <xf numFmtId="0" fontId="13" fillId="0" borderId="0" xfId="14"/>
    <xf numFmtId="0" fontId="13" fillId="6" borderId="0" xfId="0" quotePrefix="1" applyFont="1" applyFill="1" applyBorder="1" applyAlignment="1">
      <alignment vertical="top" wrapText="1"/>
    </xf>
    <xf numFmtId="0" fontId="13" fillId="6" borderId="5" xfId="0" applyFont="1" applyFill="1" applyBorder="1" applyAlignment="1">
      <alignment vertical="top" wrapText="1"/>
    </xf>
    <xf numFmtId="0" fontId="13" fillId="6" borderId="5" xfId="0" quotePrefix="1" applyFont="1" applyFill="1" applyBorder="1" applyAlignment="1">
      <alignment vertical="top" wrapText="1"/>
    </xf>
    <xf numFmtId="0" fontId="13" fillId="3" borderId="62" xfId="0" applyNumberFormat="1" applyFont="1" applyFill="1" applyBorder="1" applyAlignment="1">
      <alignment vertical="top" wrapText="1"/>
    </xf>
    <xf numFmtId="0" fontId="13" fillId="6" borderId="59" xfId="0" applyFont="1" applyFill="1" applyBorder="1" applyAlignment="1">
      <alignment vertical="top" wrapText="1"/>
    </xf>
    <xf numFmtId="0" fontId="5" fillId="0" borderId="151" xfId="0" applyFont="1" applyBorder="1" applyAlignment="1">
      <alignment wrapText="1"/>
    </xf>
    <xf numFmtId="0" fontId="0" fillId="0" borderId="59" xfId="0" applyBorder="1"/>
    <xf numFmtId="0" fontId="0" fillId="0" borderId="87" xfId="0" applyBorder="1"/>
    <xf numFmtId="0" fontId="0" fillId="0" borderId="129" xfId="0" applyBorder="1"/>
    <xf numFmtId="0" fontId="0" fillId="0" borderId="152" xfId="0" applyBorder="1"/>
    <xf numFmtId="2" fontId="0" fillId="3" borderId="135" xfId="0" applyNumberFormat="1" applyFill="1" applyBorder="1" applyAlignment="1">
      <alignment vertical="top" wrapText="1"/>
    </xf>
    <xf numFmtId="2" fontId="0" fillId="3" borderId="8" xfId="0" applyNumberFormat="1" applyFill="1" applyBorder="1" applyAlignment="1">
      <alignment vertical="top" wrapText="1"/>
    </xf>
    <xf numFmtId="2" fontId="0" fillId="3" borderId="136" xfId="0" applyNumberFormat="1" applyFill="1" applyBorder="1" applyAlignment="1">
      <alignment vertical="top" wrapText="1"/>
    </xf>
    <xf numFmtId="2" fontId="13" fillId="0" borderId="0" xfId="14" applyNumberFormat="1"/>
    <xf numFmtId="2" fontId="0" fillId="0" borderId="0" xfId="0" applyNumberFormat="1"/>
    <xf numFmtId="0" fontId="30" fillId="0" borderId="148" xfId="0" applyFont="1" applyBorder="1"/>
    <xf numFmtId="43" fontId="13" fillId="3" borderId="153" xfId="1" applyFont="1" applyFill="1" applyBorder="1" applyProtection="1"/>
    <xf numFmtId="0" fontId="0" fillId="6" borderId="6" xfId="0" applyFill="1" applyBorder="1" applyAlignment="1">
      <alignment horizontal="center"/>
    </xf>
    <xf numFmtId="180" fontId="0" fillId="6" borderId="7" xfId="0" applyNumberFormat="1" applyFill="1" applyBorder="1" applyAlignment="1">
      <alignment horizontal="center"/>
    </xf>
    <xf numFmtId="0" fontId="0" fillId="6" borderId="67" xfId="0" applyFill="1" applyBorder="1" applyAlignment="1">
      <alignment horizontal="center"/>
    </xf>
    <xf numFmtId="0" fontId="0" fillId="0" borderId="154" xfId="0" applyBorder="1" applyAlignment="1">
      <alignment horizontal="centerContinuous" vertical="top" wrapText="1"/>
    </xf>
    <xf numFmtId="39" fontId="65" fillId="6" borderId="7" xfId="9" applyNumberFormat="1" applyFill="1" applyBorder="1"/>
    <xf numFmtId="39" fontId="65" fillId="6" borderId="110" xfId="9" applyNumberFormat="1" applyFill="1" applyBorder="1"/>
    <xf numFmtId="0" fontId="5" fillId="0" borderId="1" xfId="7" applyFont="1" applyFill="1" applyBorder="1"/>
    <xf numFmtId="0" fontId="13" fillId="0" borderId="2" xfId="7" applyFill="1" applyBorder="1"/>
    <xf numFmtId="167" fontId="13" fillId="0" borderId="2" xfId="7" applyNumberFormat="1" applyFill="1" applyBorder="1"/>
    <xf numFmtId="0" fontId="13" fillId="0" borderId="3" xfId="7" applyFill="1" applyBorder="1"/>
    <xf numFmtId="0" fontId="13" fillId="0" borderId="0" xfId="7"/>
    <xf numFmtId="0" fontId="20" fillId="0" borderId="4" xfId="7" applyFont="1" applyFill="1" applyBorder="1"/>
    <xf numFmtId="0" fontId="13" fillId="0" borderId="0" xfId="7" applyFill="1" applyBorder="1"/>
    <xf numFmtId="167" fontId="13" fillId="0" borderId="0" xfId="7" applyNumberFormat="1" applyFill="1" applyBorder="1"/>
    <xf numFmtId="0" fontId="13" fillId="0" borderId="5" xfId="7" applyFill="1" applyBorder="1"/>
    <xf numFmtId="0" fontId="13" fillId="0" borderId="4" xfId="7" applyFont="1" applyFill="1" applyBorder="1"/>
    <xf numFmtId="0" fontId="66" fillId="0" borderId="0" xfId="7" applyFont="1" applyFill="1" applyBorder="1"/>
    <xf numFmtId="0" fontId="13" fillId="0" borderId="4" xfId="7" applyFill="1" applyBorder="1"/>
    <xf numFmtId="0" fontId="67" fillId="0" borderId="5" xfId="7" applyFont="1" applyFill="1" applyBorder="1"/>
    <xf numFmtId="0" fontId="13" fillId="0" borderId="58" xfId="7" applyFont="1" applyFill="1" applyBorder="1"/>
    <xf numFmtId="0" fontId="13" fillId="0" borderId="59" xfId="7" applyFill="1" applyBorder="1"/>
    <xf numFmtId="167" fontId="13" fillId="0" borderId="59" xfId="7" applyNumberFormat="1" applyFill="1" applyBorder="1"/>
    <xf numFmtId="0" fontId="66" fillId="0" borderId="59" xfId="7" applyFont="1" applyFill="1" applyBorder="1"/>
    <xf numFmtId="0" fontId="13" fillId="0" borderId="87" xfId="7" applyFill="1" applyBorder="1"/>
    <xf numFmtId="0" fontId="5" fillId="0" borderId="0" xfId="7" applyFont="1" applyFill="1" applyBorder="1"/>
    <xf numFmtId="0" fontId="20" fillId="0" borderId="2" xfId="0" applyFont="1" applyFill="1" applyBorder="1"/>
    <xf numFmtId="0" fontId="20" fillId="0" borderId="0" xfId="0" applyFont="1" applyFill="1" applyBorder="1"/>
    <xf numFmtId="2" fontId="63" fillId="0" borderId="0" xfId="0" applyNumberFormat="1" applyFont="1" applyFill="1" applyBorder="1" applyAlignment="1">
      <alignment horizontal="center" wrapText="1"/>
    </xf>
    <xf numFmtId="0" fontId="20" fillId="0" borderId="90" xfId="0" applyFont="1" applyFill="1" applyBorder="1"/>
    <xf numFmtId="0" fontId="20" fillId="0" borderId="0" xfId="0" applyFont="1" applyBorder="1"/>
    <xf numFmtId="0" fontId="20" fillId="0" borderId="90" xfId="0" applyFont="1" applyBorder="1"/>
    <xf numFmtId="167" fontId="68" fillId="0" borderId="0" xfId="7" applyNumberFormat="1" applyFont="1" applyFill="1" applyBorder="1"/>
    <xf numFmtId="0" fontId="13" fillId="0" borderId="6" xfId="7" applyFont="1" applyFill="1" applyBorder="1" applyAlignment="1">
      <alignment horizontal="left"/>
    </xf>
    <xf numFmtId="165" fontId="13" fillId="3" borderId="0" xfId="0" applyNumberFormat="1" applyFont="1" applyFill="1" applyBorder="1" applyAlignment="1">
      <alignment horizontal="center"/>
    </xf>
    <xf numFmtId="165" fontId="13" fillId="3" borderId="2" xfId="0" applyNumberFormat="1" applyFont="1" applyFill="1" applyBorder="1" applyAlignment="1">
      <alignment horizontal="center"/>
    </xf>
    <xf numFmtId="165" fontId="13" fillId="3" borderId="82" xfId="0" applyNumberFormat="1" applyFont="1" applyFill="1" applyBorder="1" applyAlignment="1">
      <alignment horizontal="center"/>
    </xf>
    <xf numFmtId="165" fontId="13" fillId="3" borderId="7" xfId="0" applyNumberFormat="1" applyFont="1" applyFill="1" applyBorder="1" applyAlignment="1">
      <alignment horizontal="center"/>
    </xf>
    <xf numFmtId="165" fontId="13" fillId="3" borderId="90" xfId="0" applyNumberFormat="1" applyFont="1" applyFill="1" applyBorder="1" applyAlignment="1">
      <alignment horizontal="center"/>
    </xf>
    <xf numFmtId="165" fontId="13" fillId="3" borderId="110" xfId="0" applyNumberFormat="1" applyFont="1" applyFill="1" applyBorder="1" applyAlignment="1">
      <alignment horizontal="center"/>
    </xf>
    <xf numFmtId="173" fontId="3" fillId="0" borderId="0" xfId="16" applyFont="1" applyProtection="1"/>
    <xf numFmtId="10" fontId="0" fillId="0" borderId="0" xfId="0" applyNumberFormat="1" applyBorder="1" applyProtection="1"/>
    <xf numFmtId="182" fontId="13" fillId="3" borderId="23" xfId="16" applyNumberFormat="1" applyFont="1" applyFill="1" applyBorder="1" applyAlignment="1" applyProtection="1">
      <alignment horizontal="center"/>
    </xf>
    <xf numFmtId="181" fontId="13" fillId="3" borderId="19" xfId="16" applyNumberFormat="1" applyFont="1" applyFill="1" applyBorder="1" applyAlignment="1" applyProtection="1">
      <alignment horizontal="center"/>
      <protection locked="0"/>
    </xf>
    <xf numFmtId="173" fontId="5" fillId="0" borderId="0" xfId="16" applyFont="1" applyFill="1" applyBorder="1" applyProtection="1"/>
    <xf numFmtId="170" fontId="0" fillId="18" borderId="34" xfId="0" applyNumberFormat="1" applyFill="1" applyBorder="1" applyProtection="1"/>
    <xf numFmtId="170" fontId="0" fillId="18" borderId="32" xfId="0" applyNumberFormat="1" applyFill="1" applyBorder="1" applyProtection="1"/>
    <xf numFmtId="173" fontId="5" fillId="0" borderId="60" xfId="16" applyFont="1" applyBorder="1" applyAlignment="1" applyProtection="1">
      <alignment horizontal="center"/>
    </xf>
    <xf numFmtId="173" fontId="3" fillId="3" borderId="17" xfId="16" applyFont="1" applyFill="1" applyBorder="1" applyProtection="1"/>
    <xf numFmtId="173" fontId="3" fillId="3" borderId="8" xfId="16" applyFont="1" applyFill="1" applyBorder="1" applyProtection="1"/>
    <xf numFmtId="165" fontId="3" fillId="3" borderId="8" xfId="16" applyNumberFormat="1" applyFont="1" applyFill="1" applyBorder="1" applyProtection="1"/>
    <xf numFmtId="170" fontId="3" fillId="3" borderId="8" xfId="16" applyNumberFormat="1" applyFont="1" applyFill="1" applyBorder="1" applyProtection="1"/>
    <xf numFmtId="6" fontId="3" fillId="3" borderId="8" xfId="16" applyNumberFormat="1" applyFont="1" applyFill="1" applyBorder="1" applyProtection="1"/>
    <xf numFmtId="164" fontId="3" fillId="3" borderId="8" xfId="17" applyNumberFormat="1" applyFont="1" applyFill="1" applyBorder="1" applyProtection="1"/>
    <xf numFmtId="0" fontId="0" fillId="21" borderId="0" xfId="0" applyFill="1"/>
    <xf numFmtId="0" fontId="3" fillId="21" borderId="0" xfId="0" applyFont="1" applyFill="1"/>
    <xf numFmtId="0" fontId="5" fillId="21" borderId="0" xfId="0" applyFont="1" applyFill="1"/>
    <xf numFmtId="0" fontId="3" fillId="20" borderId="8" xfId="0" applyFont="1" applyFill="1" applyBorder="1"/>
    <xf numFmtId="0" fontId="0" fillId="20" borderId="8" xfId="0" applyFill="1" applyBorder="1"/>
    <xf numFmtId="9" fontId="0" fillId="20" borderId="8" xfId="17" applyFont="1" applyFill="1" applyBorder="1"/>
    <xf numFmtId="9" fontId="0" fillId="5" borderId="8" xfId="17" applyFont="1" applyFill="1" applyBorder="1" applyAlignment="1">
      <alignment vertical="top" wrapText="1"/>
    </xf>
    <xf numFmtId="9" fontId="0" fillId="20" borderId="55" xfId="17" applyFont="1" applyFill="1" applyBorder="1"/>
    <xf numFmtId="172" fontId="0" fillId="20" borderId="55" xfId="1" applyNumberFormat="1" applyFont="1" applyFill="1" applyBorder="1"/>
    <xf numFmtId="0" fontId="0" fillId="20" borderId="55" xfId="0" applyFill="1" applyBorder="1"/>
    <xf numFmtId="172" fontId="0" fillId="20" borderId="8" xfId="1" applyNumberFormat="1" applyFont="1" applyFill="1" applyBorder="1"/>
    <xf numFmtId="0" fontId="5" fillId="21" borderId="0" xfId="0" applyFont="1" applyFill="1" applyAlignment="1">
      <alignment wrapText="1"/>
    </xf>
    <xf numFmtId="0" fontId="0" fillId="20" borderId="8" xfId="0" applyFill="1" applyBorder="1" applyAlignment="1">
      <alignment horizontal="center"/>
    </xf>
    <xf numFmtId="9" fontId="0" fillId="20" borderId="8" xfId="0" applyNumberFormat="1" applyFill="1" applyBorder="1"/>
    <xf numFmtId="183" fontId="0" fillId="20" borderId="8" xfId="1" applyNumberFormat="1" applyFont="1" applyFill="1" applyBorder="1"/>
    <xf numFmtId="0" fontId="3" fillId="21" borderId="0" xfId="0" applyFont="1" applyFill="1" applyBorder="1"/>
    <xf numFmtId="9" fontId="3" fillId="20" borderId="8" xfId="0" applyNumberFormat="1" applyFont="1" applyFill="1" applyBorder="1"/>
    <xf numFmtId="44" fontId="0" fillId="20" borderId="8" xfId="0" applyNumberFormat="1" applyFill="1" applyBorder="1"/>
    <xf numFmtId="44" fontId="3" fillId="20" borderId="8" xfId="3" applyFont="1" applyFill="1" applyBorder="1"/>
    <xf numFmtId="44" fontId="0" fillId="20" borderId="8" xfId="3" applyFont="1" applyFill="1" applyBorder="1"/>
    <xf numFmtId="0" fontId="0" fillId="19" borderId="8" xfId="0" applyFill="1" applyBorder="1" applyAlignment="1">
      <alignment horizontal="center"/>
    </xf>
    <xf numFmtId="9" fontId="0" fillId="19" borderId="8" xfId="17" applyFont="1" applyFill="1" applyBorder="1"/>
    <xf numFmtId="172" fontId="0" fillId="20" borderId="8" xfId="0" applyNumberFormat="1" applyFill="1" applyBorder="1"/>
    <xf numFmtId="0" fontId="5" fillId="21" borderId="0" xfId="0" applyFont="1" applyFill="1" applyAlignment="1">
      <alignment horizontal="center" wrapText="1"/>
    </xf>
    <xf numFmtId="0" fontId="0" fillId="20" borderId="8" xfId="0" applyFill="1" applyBorder="1" applyAlignment="1">
      <alignment horizontal="center" vertical="top"/>
    </xf>
    <xf numFmtId="44" fontId="3" fillId="20" borderId="8" xfId="0" applyNumberFormat="1" applyFont="1" applyFill="1" applyBorder="1"/>
    <xf numFmtId="0" fontId="5" fillId="0" borderId="126" xfId="0" applyFont="1" applyFill="1" applyBorder="1"/>
    <xf numFmtId="0" fontId="5" fillId="0" borderId="59" xfId="0" applyFont="1" applyFill="1" applyBorder="1" applyAlignment="1">
      <alignment wrapText="1"/>
    </xf>
    <xf numFmtId="0" fontId="5" fillId="0" borderId="59" xfId="0" applyFont="1" applyFill="1" applyBorder="1"/>
    <xf numFmtId="0" fontId="5" fillId="0" borderId="154" xfId="0" applyFont="1" applyFill="1" applyBorder="1"/>
    <xf numFmtId="44" fontId="5" fillId="21" borderId="0" xfId="3" applyFont="1" applyFill="1"/>
    <xf numFmtId="0" fontId="45" fillId="2" borderId="0" xfId="0" applyFont="1" applyFill="1" applyBorder="1" applyAlignment="1">
      <alignment horizontal="right" vertical="center" wrapText="1"/>
    </xf>
    <xf numFmtId="173" fontId="5" fillId="21" borderId="8" xfId="16" applyFont="1" applyFill="1" applyBorder="1" applyAlignment="1" applyProtection="1">
      <alignment horizontal="center" wrapText="1"/>
    </xf>
    <xf numFmtId="173" fontId="5" fillId="21" borderId="8" xfId="16" applyFont="1" applyFill="1" applyBorder="1" applyProtection="1"/>
    <xf numFmtId="3" fontId="13" fillId="3" borderId="8" xfId="16" applyNumberFormat="1" applyFont="1" applyFill="1" applyBorder="1" applyProtection="1"/>
    <xf numFmtId="2" fontId="13" fillId="3" borderId="8" xfId="16" applyNumberFormat="1" applyFont="1" applyFill="1" applyBorder="1" applyAlignment="1" applyProtection="1">
      <alignment horizontal="center"/>
    </xf>
    <xf numFmtId="178" fontId="13" fillId="3" borderId="8" xfId="3" applyNumberFormat="1" applyFont="1" applyFill="1" applyBorder="1" applyAlignment="1" applyProtection="1">
      <alignment horizontal="center"/>
      <protection locked="0"/>
    </xf>
    <xf numFmtId="173" fontId="3" fillId="21" borderId="2" xfId="16" applyFont="1" applyFill="1" applyBorder="1" applyProtection="1"/>
    <xf numFmtId="173" fontId="3" fillId="21" borderId="3" xfId="16" applyFont="1" applyFill="1" applyBorder="1" applyProtection="1"/>
    <xf numFmtId="173" fontId="3" fillId="21" borderId="4" xfId="16" applyFont="1" applyFill="1" applyBorder="1" applyProtection="1"/>
    <xf numFmtId="173" fontId="5" fillId="21" borderId="100" xfId="16" applyFont="1" applyFill="1" applyBorder="1" applyProtection="1"/>
    <xf numFmtId="173" fontId="3" fillId="21" borderId="138" xfId="16" applyFont="1" applyFill="1" applyBorder="1" applyProtection="1"/>
    <xf numFmtId="3" fontId="13" fillId="3" borderId="100" xfId="16" applyNumberFormat="1" applyFont="1" applyFill="1" applyBorder="1" applyProtection="1"/>
    <xf numFmtId="2" fontId="13" fillId="3" borderId="100" xfId="16" applyNumberFormat="1" applyFont="1" applyFill="1" applyBorder="1" applyAlignment="1" applyProtection="1">
      <alignment horizontal="center"/>
    </xf>
    <xf numFmtId="178" fontId="13" fillId="3" borderId="100" xfId="3" applyNumberFormat="1" applyFont="1" applyFill="1" applyBorder="1" applyAlignment="1" applyProtection="1">
      <alignment horizontal="center"/>
      <protection locked="0"/>
    </xf>
    <xf numFmtId="9" fontId="3" fillId="21" borderId="4" xfId="16" applyNumberFormat="1" applyFont="1" applyFill="1" applyBorder="1" applyProtection="1"/>
    <xf numFmtId="173" fontId="3" fillId="21" borderId="0" xfId="16" applyFont="1" applyFill="1" applyBorder="1" applyProtection="1"/>
    <xf numFmtId="173" fontId="3" fillId="21" borderId="5" xfId="16" applyFont="1" applyFill="1" applyBorder="1" applyProtection="1"/>
    <xf numFmtId="0" fontId="3" fillId="21" borderId="138" xfId="0" applyFont="1" applyFill="1" applyBorder="1" applyProtection="1"/>
    <xf numFmtId="173" fontId="3" fillId="21" borderId="145" xfId="16" applyFont="1" applyFill="1" applyBorder="1" applyProtection="1"/>
    <xf numFmtId="181" fontId="13" fillId="3" borderId="134" xfId="16" applyNumberFormat="1" applyFont="1" applyFill="1" applyBorder="1" applyAlignment="1" applyProtection="1">
      <alignment horizontal="center"/>
      <protection locked="0"/>
    </xf>
    <xf numFmtId="173" fontId="3" fillId="21" borderId="59" xfId="16" applyFont="1" applyFill="1" applyBorder="1" applyProtection="1"/>
    <xf numFmtId="173" fontId="3" fillId="21" borderId="87" xfId="16" applyFont="1" applyFill="1" applyBorder="1" applyProtection="1"/>
    <xf numFmtId="173" fontId="5" fillId="21" borderId="41" xfId="16" applyFont="1" applyFill="1" applyBorder="1" applyAlignment="1" applyProtection="1">
      <alignment horizontal="center" wrapText="1"/>
    </xf>
    <xf numFmtId="173" fontId="5" fillId="21" borderId="42" xfId="16" applyFont="1" applyFill="1" applyBorder="1" applyAlignment="1" applyProtection="1">
      <alignment horizontal="center"/>
    </xf>
    <xf numFmtId="173" fontId="5" fillId="21" borderId="42" xfId="16" applyFont="1" applyFill="1" applyBorder="1" applyAlignment="1" applyProtection="1">
      <alignment horizontal="center" wrapText="1"/>
    </xf>
    <xf numFmtId="173" fontId="5" fillId="21" borderId="43" xfId="16" applyFont="1" applyFill="1" applyBorder="1" applyAlignment="1" applyProtection="1">
      <alignment horizontal="center" wrapText="1"/>
    </xf>
    <xf numFmtId="173" fontId="5" fillId="21" borderId="85" xfId="16" applyFont="1" applyFill="1" applyBorder="1" applyAlignment="1" applyProtection="1">
      <alignment horizontal="center" wrapText="1"/>
    </xf>
    <xf numFmtId="173" fontId="5" fillId="21" borderId="150" xfId="16" applyFont="1" applyFill="1" applyBorder="1" applyAlignment="1" applyProtection="1">
      <alignment horizontal="center" wrapText="1"/>
    </xf>
    <xf numFmtId="6" fontId="13" fillId="3" borderId="159" xfId="16" applyNumberFormat="1" applyFont="1" applyFill="1" applyBorder="1" applyProtection="1"/>
    <xf numFmtId="6" fontId="13" fillId="3" borderId="100" xfId="16" applyNumberFormat="1" applyFont="1" applyFill="1" applyBorder="1" applyProtection="1"/>
    <xf numFmtId="6" fontId="3" fillId="3" borderId="100" xfId="16" applyNumberFormat="1" applyFont="1" applyFill="1" applyBorder="1" applyProtection="1"/>
    <xf numFmtId="6" fontId="13" fillId="3" borderId="101" xfId="16" applyNumberFormat="1" applyFont="1" applyFill="1" applyBorder="1" applyProtection="1"/>
    <xf numFmtId="172" fontId="13" fillId="3" borderId="48" xfId="1" applyNumberFormat="1" applyFont="1" applyFill="1" applyBorder="1" applyProtection="1"/>
    <xf numFmtId="172" fontId="13" fillId="3" borderId="49" xfId="1" applyNumberFormat="1" applyFont="1" applyFill="1" applyBorder="1" applyProtection="1"/>
    <xf numFmtId="172" fontId="3" fillId="3" borderId="49" xfId="1" applyNumberFormat="1" applyFont="1" applyFill="1" applyBorder="1" applyProtection="1"/>
    <xf numFmtId="172" fontId="13" fillId="3" borderId="50" xfId="1" applyNumberFormat="1" applyFont="1" applyFill="1" applyBorder="1" applyProtection="1"/>
    <xf numFmtId="165" fontId="13" fillId="3" borderId="37" xfId="16" applyNumberFormat="1" applyFont="1" applyFill="1" applyBorder="1" applyProtection="1"/>
    <xf numFmtId="170" fontId="13" fillId="3" borderId="37" xfId="16" applyNumberFormat="1" applyFont="1" applyFill="1" applyBorder="1" applyProtection="1"/>
    <xf numFmtId="6" fontId="13" fillId="3" borderId="37" xfId="16" applyNumberFormat="1" applyFont="1" applyFill="1" applyBorder="1" applyProtection="1"/>
    <xf numFmtId="164" fontId="3" fillId="3" borderId="37" xfId="17" applyNumberFormat="1" applyFill="1" applyBorder="1" applyProtection="1"/>
    <xf numFmtId="6" fontId="13" fillId="3" borderId="160" xfId="16" applyNumberFormat="1" applyFont="1" applyFill="1" applyBorder="1" applyProtection="1"/>
    <xf numFmtId="6" fontId="13" fillId="3" borderId="60" xfId="16" applyNumberFormat="1" applyFont="1" applyFill="1" applyBorder="1" applyProtection="1"/>
    <xf numFmtId="6" fontId="13" fillId="3" borderId="55" xfId="16" applyNumberFormat="1" applyFont="1" applyFill="1" applyBorder="1" applyProtection="1"/>
    <xf numFmtId="6" fontId="3" fillId="3" borderId="55" xfId="16" applyNumberFormat="1" applyFont="1" applyFill="1" applyBorder="1" applyProtection="1"/>
    <xf numFmtId="6" fontId="13" fillId="3" borderId="161" xfId="16" applyNumberFormat="1" applyFont="1" applyFill="1" applyBorder="1" applyProtection="1"/>
    <xf numFmtId="0" fontId="0" fillId="0" borderId="65" xfId="0" applyBorder="1" applyAlignment="1" applyProtection="1">
      <alignment wrapText="1"/>
    </xf>
    <xf numFmtId="0" fontId="0" fillId="0" borderId="66" xfId="0" applyBorder="1" applyAlignment="1" applyProtection="1">
      <alignment wrapText="1"/>
    </xf>
    <xf numFmtId="173" fontId="5" fillId="21" borderId="162" xfId="16" applyFont="1" applyFill="1" applyBorder="1" applyAlignment="1" applyProtection="1">
      <alignment horizontal="center" wrapText="1"/>
    </xf>
    <xf numFmtId="173" fontId="5" fillId="21" borderId="163" xfId="16" applyFont="1" applyFill="1" applyBorder="1" applyAlignment="1" applyProtection="1">
      <alignment horizontal="center" wrapText="1"/>
    </xf>
    <xf numFmtId="173" fontId="5" fillId="21" borderId="158" xfId="16" applyFont="1" applyFill="1" applyBorder="1" applyAlignment="1" applyProtection="1">
      <alignment horizontal="center" wrapText="1"/>
    </xf>
    <xf numFmtId="6" fontId="13" fillId="3" borderId="164" xfId="16" applyNumberFormat="1" applyFont="1" applyFill="1" applyBorder="1" applyProtection="1"/>
    <xf numFmtId="6" fontId="13" fillId="3" borderId="138" xfId="16" applyNumberFormat="1" applyFont="1" applyFill="1" applyBorder="1" applyProtection="1"/>
    <xf numFmtId="6" fontId="3" fillId="3" borderId="138" xfId="16" applyNumberFormat="1" applyFont="1" applyFill="1" applyBorder="1" applyProtection="1"/>
    <xf numFmtId="6" fontId="13" fillId="3" borderId="165" xfId="16" applyNumberFormat="1" applyFont="1" applyFill="1" applyBorder="1" applyProtection="1"/>
    <xf numFmtId="165" fontId="13" fillId="0" borderId="137" xfId="16" applyNumberFormat="1" applyFont="1" applyFill="1" applyBorder="1" applyProtection="1"/>
    <xf numFmtId="170" fontId="13" fillId="3" borderId="135" xfId="16" applyNumberFormat="1" applyFont="1" applyFill="1" applyBorder="1" applyProtection="1"/>
    <xf numFmtId="170" fontId="13" fillId="3" borderId="99" xfId="16" applyNumberFormat="1" applyFont="1" applyFill="1" applyBorder="1" applyProtection="1"/>
    <xf numFmtId="173" fontId="13" fillId="0" borderId="165" xfId="16" applyFont="1" applyFill="1" applyBorder="1" applyProtection="1"/>
    <xf numFmtId="173" fontId="13" fillId="0" borderId="148" xfId="16" applyFont="1" applyFill="1" applyBorder="1" applyProtection="1"/>
    <xf numFmtId="6" fontId="13" fillId="3" borderId="149" xfId="16" applyNumberFormat="1" applyFont="1" applyFill="1" applyBorder="1" applyProtection="1"/>
    <xf numFmtId="6" fontId="13" fillId="3" borderId="153" xfId="16" applyNumberFormat="1" applyFont="1" applyFill="1" applyBorder="1" applyProtection="1"/>
    <xf numFmtId="173" fontId="13" fillId="0" borderId="123" xfId="16" applyFont="1" applyBorder="1" applyProtection="1"/>
    <xf numFmtId="43" fontId="13" fillId="3" borderId="149" xfId="1" applyFont="1" applyFill="1" applyBorder="1" applyProtection="1"/>
    <xf numFmtId="184" fontId="13" fillId="3" borderId="149" xfId="16" applyNumberFormat="1" applyFont="1" applyFill="1" applyBorder="1" applyProtection="1"/>
    <xf numFmtId="173" fontId="13" fillId="0" borderId="64" xfId="16" applyFont="1" applyBorder="1" applyProtection="1"/>
    <xf numFmtId="173" fontId="3" fillId="0" borderId="166" xfId="16" applyFont="1" applyFill="1" applyBorder="1" applyProtection="1"/>
    <xf numFmtId="173" fontId="3" fillId="0" borderId="145" xfId="16" applyFont="1" applyFill="1" applyBorder="1" applyProtection="1"/>
    <xf numFmtId="0" fontId="5" fillId="21" borderId="169" xfId="0" applyFont="1" applyFill="1" applyBorder="1"/>
    <xf numFmtId="165" fontId="0" fillId="20" borderId="8" xfId="0" applyNumberFormat="1" applyFill="1" applyBorder="1"/>
    <xf numFmtId="0" fontId="72" fillId="21" borderId="8" xfId="0" applyFont="1" applyFill="1" applyBorder="1" applyAlignment="1">
      <alignment vertical="center" wrapText="1"/>
    </xf>
    <xf numFmtId="44" fontId="72" fillId="21" borderId="8" xfId="3" applyFont="1" applyFill="1" applyBorder="1" applyAlignment="1">
      <alignment vertical="center" wrapText="1"/>
    </xf>
    <xf numFmtId="7" fontId="3" fillId="5" borderId="57" xfId="0" applyNumberFormat="1" applyFont="1" applyFill="1" applyBorder="1" applyAlignment="1">
      <alignment vertical="top" wrapText="1"/>
    </xf>
    <xf numFmtId="9" fontId="0" fillId="20" borderId="55" xfId="0" applyNumberFormat="1" applyFill="1" applyBorder="1"/>
    <xf numFmtId="0" fontId="42" fillId="2" borderId="0" xfId="0" applyFont="1" applyFill="1" applyBorder="1" applyAlignment="1">
      <alignment vertical="center" wrapText="1"/>
    </xf>
    <xf numFmtId="0" fontId="5" fillId="20" borderId="8" xfId="0" applyFont="1" applyFill="1" applyBorder="1" applyAlignment="1">
      <alignment horizontal="center" wrapText="1"/>
    </xf>
    <xf numFmtId="0" fontId="3" fillId="20" borderId="8" xfId="0" applyFont="1" applyFill="1" applyBorder="1" applyAlignment="1">
      <alignment wrapText="1"/>
    </xf>
    <xf numFmtId="0" fontId="5" fillId="20" borderId="8" xfId="0" applyFont="1" applyFill="1" applyBorder="1" applyAlignment="1">
      <alignment wrapText="1"/>
    </xf>
    <xf numFmtId="14" fontId="3" fillId="6" borderId="8" xfId="0" applyNumberFormat="1" applyFont="1" applyFill="1" applyBorder="1" applyAlignment="1" applyProtection="1">
      <alignment wrapText="1"/>
      <protection locked="0"/>
    </xf>
    <xf numFmtId="0" fontId="3" fillId="6" borderId="19" xfId="0" applyFont="1" applyFill="1" applyBorder="1" applyAlignment="1" applyProtection="1">
      <alignment wrapText="1"/>
      <protection locked="0"/>
    </xf>
    <xf numFmtId="185" fontId="13" fillId="3" borderId="30" xfId="16" applyNumberFormat="1" applyFont="1" applyFill="1" applyBorder="1" applyProtection="1"/>
    <xf numFmtId="185" fontId="13" fillId="3" borderId="167" xfId="16" applyNumberFormat="1" applyFont="1" applyFill="1" applyBorder="1" applyProtection="1"/>
    <xf numFmtId="185" fontId="13" fillId="0" borderId="29" xfId="16" applyNumberFormat="1" applyFont="1" applyBorder="1" applyProtection="1"/>
    <xf numFmtId="185" fontId="13" fillId="0" borderId="30" xfId="16" applyNumberFormat="1" applyFont="1" applyBorder="1" applyProtection="1"/>
    <xf numFmtId="185" fontId="13" fillId="3" borderId="136" xfId="16" applyNumberFormat="1" applyFont="1" applyFill="1" applyBorder="1" applyProtection="1"/>
    <xf numFmtId="185" fontId="13" fillId="3" borderId="101" xfId="16" applyNumberFormat="1" applyFont="1" applyFill="1" applyBorder="1" applyProtection="1"/>
    <xf numFmtId="185" fontId="13" fillId="0" borderId="103" xfId="16" applyNumberFormat="1" applyFont="1" applyBorder="1" applyProtection="1"/>
    <xf numFmtId="185" fontId="13" fillId="0" borderId="136" xfId="16" applyNumberFormat="1" applyFont="1" applyBorder="1" applyProtection="1"/>
    <xf numFmtId="174" fontId="5" fillId="3" borderId="19" xfId="16" applyNumberFormat="1" applyFont="1" applyFill="1" applyBorder="1" applyAlignment="1" applyProtection="1">
      <alignment horizontal="center"/>
    </xf>
    <xf numFmtId="0" fontId="0" fillId="20" borderId="30" xfId="0" applyFill="1" applyBorder="1" applyAlignment="1">
      <alignment horizontal="center"/>
    </xf>
    <xf numFmtId="9" fontId="0" fillId="20" borderId="30" xfId="17" applyFont="1" applyFill="1" applyBorder="1"/>
    <xf numFmtId="44" fontId="3" fillId="20" borderId="30" xfId="3" applyFont="1" applyFill="1" applyBorder="1"/>
    <xf numFmtId="44" fontId="0" fillId="20" borderId="30" xfId="3" applyFont="1" applyFill="1" applyBorder="1"/>
    <xf numFmtId="0" fontId="0" fillId="19" borderId="170" xfId="0" applyFill="1" applyBorder="1" applyAlignment="1">
      <alignment horizontal="center"/>
    </xf>
    <xf numFmtId="9" fontId="0" fillId="20" borderId="170" xfId="17" applyFont="1" applyFill="1" applyBorder="1"/>
    <xf numFmtId="0" fontId="0" fillId="21" borderId="169" xfId="0" applyFill="1" applyBorder="1"/>
    <xf numFmtId="44" fontId="3" fillId="20" borderId="170" xfId="3" applyFont="1" applyFill="1" applyBorder="1"/>
    <xf numFmtId="44" fontId="0" fillId="20" borderId="170" xfId="3" applyFont="1" applyFill="1" applyBorder="1"/>
    <xf numFmtId="0" fontId="3" fillId="21" borderId="8" xfId="0" applyFont="1" applyFill="1" applyBorder="1"/>
    <xf numFmtId="0" fontId="0" fillId="21" borderId="8" xfId="0" applyFill="1" applyBorder="1"/>
    <xf numFmtId="44" fontId="13" fillId="3" borderId="128" xfId="3" applyFont="1" applyFill="1" applyBorder="1" applyAlignment="1" applyProtection="1">
      <alignment horizontal="center"/>
    </xf>
    <xf numFmtId="44" fontId="13" fillId="3" borderId="108" xfId="3" applyFont="1" applyFill="1" applyBorder="1" applyAlignment="1" applyProtection="1">
      <alignment horizontal="center"/>
    </xf>
    <xf numFmtId="44" fontId="13" fillId="3" borderId="132" xfId="3" applyFont="1" applyFill="1" applyBorder="1" applyAlignment="1" applyProtection="1">
      <alignment horizontal="center"/>
    </xf>
    <xf numFmtId="44" fontId="13" fillId="0" borderId="82" xfId="3" applyFont="1" applyFill="1" applyBorder="1" applyAlignment="1" applyProtection="1">
      <alignment horizontal="center"/>
    </xf>
    <xf numFmtId="44" fontId="0" fillId="21" borderId="0" xfId="0" applyNumberFormat="1" applyFill="1"/>
    <xf numFmtId="0" fontId="73" fillId="21" borderId="0" xfId="0" applyFont="1" applyFill="1"/>
    <xf numFmtId="0" fontId="3" fillId="0" borderId="126" xfId="0" applyFont="1" applyBorder="1" applyAlignment="1">
      <alignment horizontal="centerContinuous" vertical="top" wrapText="1"/>
    </xf>
    <xf numFmtId="180" fontId="3" fillId="6" borderId="7" xfId="0" applyNumberFormat="1" applyFont="1" applyFill="1" applyBorder="1" applyAlignment="1">
      <alignment horizontal="center"/>
    </xf>
    <xf numFmtId="180" fontId="3" fillId="6" borderId="110" xfId="0" applyNumberFormat="1" applyFont="1" applyFill="1" applyBorder="1" applyAlignment="1">
      <alignment horizontal="center"/>
    </xf>
    <xf numFmtId="0" fontId="3" fillId="6" borderId="6" xfId="7" applyFont="1" applyFill="1" applyBorder="1" applyAlignment="1">
      <alignment horizontal="center"/>
    </xf>
    <xf numFmtId="4" fontId="3" fillId="6" borderId="7" xfId="14" applyNumberFormat="1" applyFont="1" applyFill="1" applyBorder="1"/>
    <xf numFmtId="4" fontId="3" fillId="6" borderId="110" xfId="14" applyNumberFormat="1" applyFont="1" applyFill="1" applyBorder="1"/>
    <xf numFmtId="39" fontId="3" fillId="6" borderId="7" xfId="0" applyNumberFormat="1" applyFont="1" applyFill="1" applyBorder="1"/>
    <xf numFmtId="166" fontId="3" fillId="6" borderId="7" xfId="12" applyNumberFormat="1" applyFont="1" applyFill="1" applyBorder="1"/>
    <xf numFmtId="166" fontId="3" fillId="6" borderId="7" xfId="0" applyNumberFormat="1" applyFont="1" applyFill="1" applyBorder="1" applyAlignment="1">
      <alignment horizontal="right"/>
    </xf>
    <xf numFmtId="166" fontId="9" fillId="6" borderId="7" xfId="9" applyNumberFormat="1" applyFont="1" applyFill="1" applyBorder="1"/>
    <xf numFmtId="0" fontId="3" fillId="6" borderId="67" xfId="7" applyFont="1" applyFill="1" applyBorder="1" applyAlignment="1">
      <alignment horizontal="center"/>
    </xf>
    <xf numFmtId="166" fontId="9" fillId="6" borderId="110" xfId="9" applyNumberFormat="1" applyFont="1" applyFill="1" applyBorder="1"/>
    <xf numFmtId="0" fontId="42" fillId="2" borderId="4" xfId="0" applyFont="1" applyFill="1" applyBorder="1" applyAlignment="1">
      <alignment horizontal="left" vertical="center" wrapText="1"/>
    </xf>
    <xf numFmtId="0" fontId="45" fillId="2" borderId="4" xfId="0" applyFont="1" applyFill="1" applyBorder="1" applyAlignment="1">
      <alignment horizontal="left" vertical="center" wrapText="1"/>
    </xf>
    <xf numFmtId="0" fontId="13" fillId="21" borderId="1" xfId="0" applyFont="1" applyFill="1" applyBorder="1"/>
    <xf numFmtId="0" fontId="0" fillId="21" borderId="4" xfId="0" applyFill="1" applyBorder="1"/>
    <xf numFmtId="0" fontId="13" fillId="21" borderId="4" xfId="0" applyFont="1" applyFill="1" applyBorder="1"/>
    <xf numFmtId="0" fontId="13" fillId="21" borderId="144" xfId="0" applyFont="1" applyFill="1" applyBorder="1"/>
    <xf numFmtId="167" fontId="13" fillId="21" borderId="0" xfId="0" applyNumberFormat="1" applyFont="1" applyFill="1" applyBorder="1"/>
    <xf numFmtId="167" fontId="0" fillId="21" borderId="0" xfId="0" applyNumberFormat="1" applyFill="1" applyBorder="1"/>
    <xf numFmtId="167" fontId="13" fillId="21" borderId="2" xfId="7" applyNumberFormat="1" applyFill="1" applyBorder="1"/>
    <xf numFmtId="167" fontId="13" fillId="21" borderId="0" xfId="7" applyNumberFormat="1" applyFill="1" applyBorder="1"/>
    <xf numFmtId="167" fontId="13" fillId="21" borderId="59" xfId="7" applyNumberFormat="1" applyFill="1" applyBorder="1"/>
    <xf numFmtId="0" fontId="5" fillId="21" borderId="65" xfId="0" applyFont="1" applyFill="1" applyBorder="1"/>
    <xf numFmtId="0" fontId="5" fillId="21" borderId="59" xfId="0" applyFont="1" applyFill="1" applyBorder="1" applyAlignment="1">
      <alignment wrapText="1"/>
    </xf>
    <xf numFmtId="0" fontId="0" fillId="21" borderId="79" xfId="0" applyFill="1" applyBorder="1"/>
    <xf numFmtId="0" fontId="0" fillId="21" borderId="6" xfId="0" applyFill="1" applyBorder="1"/>
    <xf numFmtId="0" fontId="13" fillId="21" borderId="6" xfId="0" applyFont="1" applyFill="1" applyBorder="1" applyAlignment="1">
      <alignment horizontal="left"/>
    </xf>
    <xf numFmtId="0" fontId="3" fillId="21" borderId="4" xfId="0" applyFont="1" applyFill="1" applyBorder="1"/>
    <xf numFmtId="0" fontId="3" fillId="21" borderId="6" xfId="0" applyFont="1" applyFill="1" applyBorder="1"/>
    <xf numFmtId="0" fontId="3" fillId="6" borderId="99" xfId="0" applyFont="1" applyFill="1" applyBorder="1" applyAlignment="1" applyProtection="1">
      <alignment horizontal="left" wrapText="1"/>
      <protection locked="0"/>
    </xf>
    <xf numFmtId="0" fontId="3" fillId="6" borderId="100" xfId="0" applyFont="1" applyFill="1" applyBorder="1" applyAlignment="1" applyProtection="1">
      <alignment wrapText="1"/>
      <protection locked="0"/>
    </xf>
    <xf numFmtId="15" fontId="3" fillId="6" borderId="100" xfId="0" applyNumberFormat="1" applyFont="1" applyFill="1" applyBorder="1" applyAlignment="1" applyProtection="1">
      <alignment horizontal="left" wrapText="1"/>
      <protection locked="0"/>
    </xf>
    <xf numFmtId="0" fontId="3" fillId="0" borderId="0" xfId="0" applyFont="1" applyFill="1" applyBorder="1" applyAlignment="1" applyProtection="1">
      <alignment wrapText="1"/>
      <protection locked="0"/>
    </xf>
    <xf numFmtId="0" fontId="3" fillId="6" borderId="19" xfId="0" applyFont="1" applyFill="1" applyBorder="1" applyAlignment="1" applyProtection="1">
      <alignment horizontal="left" wrapText="1"/>
      <protection locked="0"/>
    </xf>
    <xf numFmtId="0" fontId="3" fillId="6" borderId="23" xfId="0" applyFont="1" applyFill="1" applyBorder="1" applyAlignment="1" applyProtection="1">
      <alignment wrapText="1"/>
      <protection locked="0"/>
    </xf>
    <xf numFmtId="0" fontId="3" fillId="6" borderId="8" xfId="0" applyFont="1" applyFill="1" applyBorder="1" applyAlignment="1" applyProtection="1">
      <alignment wrapText="1"/>
      <protection locked="0"/>
    </xf>
    <xf numFmtId="0" fontId="3" fillId="5" borderId="62" xfId="0" applyFont="1" applyFill="1" applyBorder="1" applyAlignment="1">
      <alignment vertical="top" wrapText="1"/>
    </xf>
    <xf numFmtId="164" fontId="0" fillId="5" borderId="137" xfId="17" applyNumberFormat="1" applyFont="1" applyFill="1" applyBorder="1" applyAlignment="1">
      <alignment vertical="top" wrapText="1"/>
    </xf>
    <xf numFmtId="0" fontId="3" fillId="5" borderId="137" xfId="0" applyFont="1" applyFill="1" applyBorder="1" applyAlignment="1" applyProtection="1">
      <alignment horizontal="left" wrapText="1"/>
      <protection locked="0"/>
    </xf>
    <xf numFmtId="3" fontId="3" fillId="5" borderId="99" xfId="0" applyNumberFormat="1" applyFont="1" applyFill="1" applyBorder="1" applyAlignment="1" applyProtection="1">
      <alignment wrapText="1"/>
      <protection locked="0"/>
    </xf>
    <xf numFmtId="0" fontId="3" fillId="5" borderId="138" xfId="0" applyFont="1" applyFill="1" applyBorder="1" applyAlignment="1" applyProtection="1">
      <alignment horizontal="left" wrapText="1"/>
      <protection locked="0"/>
    </xf>
    <xf numFmtId="3" fontId="3" fillId="5" borderId="100" xfId="0" applyNumberFormat="1" applyFont="1" applyFill="1" applyBorder="1" applyAlignment="1" applyProtection="1">
      <alignment wrapText="1"/>
      <protection locked="0"/>
    </xf>
    <xf numFmtId="2" fontId="3" fillId="5" borderId="146" xfId="0" applyNumberFormat="1" applyFont="1" applyFill="1" applyBorder="1" applyAlignment="1" applyProtection="1">
      <alignment wrapText="1"/>
      <protection locked="0"/>
    </xf>
    <xf numFmtId="2" fontId="3" fillId="5" borderId="141" xfId="0" applyNumberFormat="1" applyFont="1" applyFill="1" applyBorder="1" applyAlignment="1" applyProtection="1">
      <alignment wrapText="1"/>
      <protection locked="0"/>
    </xf>
    <xf numFmtId="170" fontId="13" fillId="3" borderId="57" xfId="0" applyNumberFormat="1" applyFont="1" applyFill="1" applyBorder="1" applyAlignment="1">
      <alignment vertical="top" wrapText="1"/>
    </xf>
    <xf numFmtId="173" fontId="7" fillId="2" borderId="63" xfId="16" applyFont="1" applyFill="1" applyBorder="1" applyAlignment="1" applyProtection="1">
      <alignment vertical="top" wrapText="1"/>
    </xf>
    <xf numFmtId="0" fontId="7" fillId="2" borderId="98" xfId="0" applyFont="1" applyFill="1" applyBorder="1" applyAlignment="1">
      <alignment vertical="top" wrapText="1"/>
    </xf>
    <xf numFmtId="0" fontId="7" fillId="2" borderId="108" xfId="0" applyFont="1" applyFill="1" applyBorder="1" applyAlignment="1">
      <alignment vertical="top" wrapText="1"/>
    </xf>
    <xf numFmtId="173" fontId="49" fillId="2" borderId="63" xfId="16" applyFont="1" applyFill="1" applyBorder="1" applyAlignment="1" applyProtection="1">
      <alignment horizontal="right"/>
    </xf>
    <xf numFmtId="169" fontId="49" fillId="2" borderId="98" xfId="0" applyNumberFormat="1" applyFont="1" applyFill="1" applyBorder="1" applyAlignment="1">
      <alignment vertical="top" wrapText="1"/>
    </xf>
    <xf numFmtId="169" fontId="49" fillId="2" borderId="108" xfId="0" applyNumberFormat="1" applyFont="1" applyFill="1" applyBorder="1" applyAlignment="1">
      <alignment vertical="top" wrapText="1"/>
    </xf>
    <xf numFmtId="173" fontId="7" fillId="2" borderId="109" xfId="16" applyFont="1" applyFill="1" applyBorder="1" applyProtection="1"/>
    <xf numFmtId="169" fontId="49" fillId="2" borderId="120" xfId="0" applyNumberFormat="1" applyFont="1" applyFill="1" applyBorder="1" applyAlignment="1">
      <alignment vertical="top" wrapText="1"/>
    </xf>
    <xf numFmtId="169" fontId="49" fillId="2" borderId="111" xfId="0" applyNumberFormat="1" applyFont="1" applyFill="1" applyBorder="1" applyAlignment="1">
      <alignment vertical="top" wrapText="1"/>
    </xf>
    <xf numFmtId="0" fontId="0" fillId="0" borderId="0" xfId="0" applyBorder="1" applyAlignment="1">
      <alignment vertical="top" wrapText="1"/>
    </xf>
    <xf numFmtId="0" fontId="0" fillId="0" borderId="0" xfId="0" applyBorder="1" applyAlignment="1">
      <alignment vertical="top" wrapText="1"/>
    </xf>
    <xf numFmtId="0" fontId="40" fillId="0" borderId="6" xfId="0" applyFont="1" applyFill="1" applyBorder="1" applyAlignment="1">
      <alignment vertical="top" wrapText="1"/>
    </xf>
    <xf numFmtId="0" fontId="3" fillId="0" borderId="6" xfId="0" applyFont="1" applyBorder="1" applyAlignment="1">
      <alignment horizontal="left" vertical="top" wrapText="1" indent="1"/>
    </xf>
    <xf numFmtId="0" fontId="5" fillId="0" borderId="6" xfId="0" applyFont="1" applyBorder="1" applyAlignment="1">
      <alignment horizontal="left" vertical="top" wrapText="1" indent="1"/>
    </xf>
    <xf numFmtId="0" fontId="3" fillId="0" borderId="0" xfId="0" applyFont="1" applyBorder="1" applyAlignment="1">
      <alignment horizontal="left" vertical="top" wrapText="1" indent="1"/>
    </xf>
    <xf numFmtId="0" fontId="3" fillId="0" borderId="0" xfId="0" applyFont="1" applyBorder="1" applyAlignment="1">
      <alignment vertical="top" wrapText="1"/>
    </xf>
    <xf numFmtId="0" fontId="3" fillId="0" borderId="0" xfId="0" applyFont="1" applyBorder="1" applyAlignment="1">
      <alignment vertical="top"/>
    </xf>
    <xf numFmtId="0" fontId="3" fillId="0" borderId="0" xfId="0" applyFont="1" applyAlignment="1">
      <alignment vertical="top" wrapText="1"/>
    </xf>
    <xf numFmtId="1" fontId="74" fillId="0" borderId="0" xfId="0" applyNumberFormat="1" applyFont="1" applyBorder="1" applyAlignment="1">
      <alignment vertical="top" wrapText="1"/>
    </xf>
    <xf numFmtId="0" fontId="0" fillId="0" borderId="0" xfId="0" applyBorder="1" applyAlignment="1">
      <alignment vertical="top" wrapText="1"/>
    </xf>
    <xf numFmtId="0" fontId="0" fillId="0" borderId="130" xfId="0" applyBorder="1" applyAlignment="1">
      <alignment vertical="top" wrapText="1"/>
    </xf>
    <xf numFmtId="0" fontId="3" fillId="0" borderId="0" xfId="0" applyFont="1" applyAlignment="1">
      <alignment vertical="top"/>
    </xf>
    <xf numFmtId="0" fontId="3" fillId="0" borderId="67" xfId="0" applyFont="1" applyBorder="1" applyAlignment="1">
      <alignment horizontal="left" vertical="top" wrapText="1" indent="1"/>
    </xf>
    <xf numFmtId="172" fontId="0" fillId="0" borderId="0" xfId="1" applyNumberFormat="1" applyFont="1" applyAlignment="1">
      <alignment vertical="top" wrapText="1"/>
    </xf>
    <xf numFmtId="0" fontId="3" fillId="0" borderId="0" xfId="0" applyFont="1" applyAlignment="1">
      <alignment wrapText="1"/>
    </xf>
    <xf numFmtId="172" fontId="74" fillId="0" borderId="0" xfId="1" applyNumberFormat="1" applyFont="1" applyBorder="1" applyAlignment="1">
      <alignment vertical="top" wrapText="1"/>
    </xf>
    <xf numFmtId="186" fontId="9" fillId="0" borderId="0" xfId="20" applyNumberFormat="1" applyFont="1" applyFill="1" applyAlignment="1">
      <alignment horizontal="right"/>
    </xf>
    <xf numFmtId="10" fontId="0" fillId="0" borderId="0" xfId="17" applyNumberFormat="1" applyFont="1"/>
    <xf numFmtId="2" fontId="16" fillId="3" borderId="37" xfId="0" applyNumberFormat="1" applyFont="1" applyFill="1" applyBorder="1" applyAlignment="1">
      <alignment vertical="top" wrapText="1"/>
    </xf>
    <xf numFmtId="186" fontId="9" fillId="0" borderId="0" xfId="20" applyNumberFormat="1" applyFont="1" applyFill="1" applyAlignment="1">
      <alignment horizontal="right"/>
    </xf>
    <xf numFmtId="0" fontId="0" fillId="0" borderId="129" xfId="0" applyBorder="1" applyAlignment="1">
      <alignment vertical="top" wrapText="1"/>
    </xf>
    <xf numFmtId="172" fontId="3" fillId="0" borderId="0" xfId="1" applyNumberFormat="1" applyFont="1" applyBorder="1" applyAlignment="1">
      <alignment vertical="top" wrapText="1"/>
    </xf>
    <xf numFmtId="43" fontId="0" fillId="0" borderId="0" xfId="0" applyNumberFormat="1" applyBorder="1" applyAlignment="1">
      <alignment vertical="top" wrapText="1"/>
    </xf>
    <xf numFmtId="0" fontId="0" fillId="0" borderId="0" xfId="0" applyBorder="1" applyAlignment="1">
      <alignment vertical="top" wrapText="1"/>
    </xf>
    <xf numFmtId="0" fontId="0" fillId="4" borderId="8" xfId="0" applyFill="1" applyBorder="1" applyAlignment="1">
      <alignment vertical="top" wrapText="1"/>
    </xf>
    <xf numFmtId="3" fontId="16" fillId="5" borderId="8" xfId="0" applyNumberFormat="1" applyFont="1" applyFill="1" applyBorder="1" applyAlignment="1">
      <alignment vertical="top" wrapText="1"/>
    </xf>
    <xf numFmtId="9" fontId="16" fillId="5" borderId="8" xfId="0" applyNumberFormat="1" applyFont="1" applyFill="1" applyBorder="1" applyAlignment="1">
      <alignment vertical="top" wrapText="1"/>
    </xf>
    <xf numFmtId="3" fontId="16" fillId="5" borderId="8" xfId="0" applyNumberFormat="1" applyFont="1" applyFill="1" applyBorder="1" applyAlignment="1">
      <alignment horizontal="right" vertical="top" wrapText="1"/>
    </xf>
    <xf numFmtId="169" fontId="16" fillId="5" borderId="8" xfId="0" applyNumberFormat="1" applyFont="1" applyFill="1" applyBorder="1" applyAlignment="1">
      <alignment vertical="top" wrapText="1"/>
    </xf>
    <xf numFmtId="165" fontId="16" fillId="3" borderId="8" xfId="0" applyNumberFormat="1" applyFont="1" applyFill="1" applyBorder="1" applyAlignment="1">
      <alignment vertical="top" wrapText="1"/>
    </xf>
    <xf numFmtId="0" fontId="0" fillId="6" borderId="55" xfId="0" applyFill="1" applyBorder="1" applyAlignment="1">
      <alignment horizontal="left" vertical="top"/>
    </xf>
    <xf numFmtId="1" fontId="16" fillId="3" borderId="136" xfId="0" quotePrefix="1" applyNumberFormat="1" applyFont="1" applyFill="1" applyBorder="1" applyAlignment="1">
      <alignment vertical="top" wrapText="1"/>
    </xf>
    <xf numFmtId="0" fontId="0" fillId="4" borderId="136" xfId="0" applyFill="1" applyBorder="1" applyAlignment="1">
      <alignment vertical="top" wrapText="1"/>
    </xf>
    <xf numFmtId="1" fontId="16" fillId="3" borderId="136" xfId="0" applyNumberFormat="1" applyFont="1" applyFill="1" applyBorder="1" applyAlignment="1">
      <alignment vertical="top" wrapText="1"/>
    </xf>
    <xf numFmtId="165" fontId="16" fillId="5" borderId="136" xfId="0" applyNumberFormat="1" applyFont="1" applyFill="1" applyBorder="1" applyAlignment="1">
      <alignment vertical="top" wrapText="1"/>
    </xf>
    <xf numFmtId="0" fontId="39" fillId="22" borderId="2" xfId="0" applyFont="1" applyFill="1" applyBorder="1" applyAlignment="1">
      <alignment vertical="top" wrapText="1"/>
    </xf>
    <xf numFmtId="0" fontId="0" fillId="22" borderId="2" xfId="0" applyFill="1" applyBorder="1" applyAlignment="1">
      <alignment vertical="top" wrapText="1"/>
    </xf>
    <xf numFmtId="0" fontId="7" fillId="22" borderId="81" xfId="0" applyFont="1" applyFill="1" applyBorder="1" applyAlignment="1">
      <alignment vertical="top" wrapText="1"/>
    </xf>
    <xf numFmtId="0" fontId="0" fillId="22" borderId="82" xfId="0" applyFill="1" applyBorder="1" applyAlignment="1">
      <alignment vertical="top" wrapText="1"/>
    </xf>
    <xf numFmtId="0" fontId="16" fillId="0" borderId="17" xfId="0" applyFont="1" applyBorder="1" applyAlignment="1">
      <alignment horizontal="left" vertical="top" wrapText="1" indent="1"/>
    </xf>
    <xf numFmtId="0" fontId="16" fillId="0" borderId="173" xfId="0" applyFont="1" applyBorder="1" applyAlignment="1">
      <alignment horizontal="left" vertical="top" wrapText="1" indent="1"/>
    </xf>
    <xf numFmtId="0" fontId="0" fillId="6" borderId="108" xfId="0" applyFill="1" applyBorder="1" applyAlignment="1">
      <alignment horizontal="left" vertical="top"/>
    </xf>
    <xf numFmtId="0" fontId="16" fillId="0" borderId="20" xfId="0" applyFont="1" applyBorder="1" applyAlignment="1">
      <alignment horizontal="left" vertical="top" wrapText="1" indent="1"/>
    </xf>
    <xf numFmtId="0" fontId="0" fillId="4" borderId="22" xfId="0" applyFill="1" applyBorder="1" applyAlignment="1">
      <alignment vertical="top" wrapText="1"/>
    </xf>
    <xf numFmtId="0" fontId="5" fillId="0" borderId="0" xfId="0" applyFont="1" applyBorder="1" applyAlignment="1">
      <alignment vertical="top"/>
    </xf>
    <xf numFmtId="0" fontId="68" fillId="0" borderId="0" xfId="0" applyFont="1"/>
    <xf numFmtId="170" fontId="78" fillId="0" borderId="0" xfId="0" applyNumberFormat="1" applyFont="1" applyFill="1" applyBorder="1" applyAlignment="1">
      <alignment vertical="top" wrapText="1"/>
    </xf>
    <xf numFmtId="187" fontId="9" fillId="0" borderId="0" xfId="20" applyNumberFormat="1" applyFont="1" applyFill="1" applyAlignment="1">
      <alignment horizontal="right"/>
    </xf>
    <xf numFmtId="0" fontId="5" fillId="0" borderId="0" xfId="0" applyFont="1" applyBorder="1" applyAlignment="1">
      <alignment vertical="top" wrapText="1"/>
    </xf>
    <xf numFmtId="0" fontId="3" fillId="0" borderId="0" xfId="0" applyFont="1" applyAlignment="1">
      <alignment horizontal="right"/>
    </xf>
    <xf numFmtId="0" fontId="79" fillId="0" borderId="0" xfId="0" applyFont="1" applyAlignment="1"/>
    <xf numFmtId="0" fontId="79" fillId="0" borderId="0" xfId="0" applyFont="1" applyBorder="1"/>
    <xf numFmtId="165" fontId="16" fillId="3" borderId="22" xfId="0" applyNumberFormat="1" applyFont="1" applyFill="1" applyBorder="1" applyAlignment="1">
      <alignment vertical="top" wrapText="1"/>
    </xf>
    <xf numFmtId="0" fontId="40" fillId="21" borderId="24" xfId="0" applyFont="1" applyFill="1" applyBorder="1" applyAlignment="1">
      <alignment horizontal="left" vertical="center" wrapText="1"/>
    </xf>
    <xf numFmtId="0" fontId="39" fillId="21" borderId="76" xfId="0" applyFont="1" applyFill="1" applyBorder="1" applyAlignment="1">
      <alignment vertical="center" wrapText="1"/>
    </xf>
    <xf numFmtId="0" fontId="0" fillId="21" borderId="65" xfId="0" applyFill="1" applyBorder="1" applyAlignment="1">
      <alignment vertical="center" wrapText="1"/>
    </xf>
    <xf numFmtId="0" fontId="0" fillId="21" borderId="66" xfId="0" applyFill="1" applyBorder="1" applyAlignment="1">
      <alignment vertical="center" wrapText="1"/>
    </xf>
    <xf numFmtId="0" fontId="40" fillId="21" borderId="40" xfId="0" applyFont="1" applyFill="1" applyBorder="1" applyAlignment="1">
      <alignment vertical="center" wrapText="1"/>
    </xf>
    <xf numFmtId="0" fontId="39" fillId="21" borderId="106" xfId="0" applyFont="1" applyFill="1" applyBorder="1" applyAlignment="1">
      <alignment vertical="center" wrapText="1"/>
    </xf>
    <xf numFmtId="0" fontId="0" fillId="21" borderId="106" xfId="0" applyFill="1" applyBorder="1" applyAlignment="1">
      <alignment vertical="center" wrapText="1"/>
    </xf>
    <xf numFmtId="0" fontId="0" fillId="21" borderId="107" xfId="0" applyFill="1" applyBorder="1" applyAlignment="1">
      <alignment vertical="center" wrapText="1"/>
    </xf>
    <xf numFmtId="0" fontId="16" fillId="21" borderId="98" xfId="0" applyFont="1" applyFill="1" applyBorder="1" applyAlignment="1">
      <alignment vertical="top" wrapText="1"/>
    </xf>
    <xf numFmtId="0" fontId="16" fillId="21" borderId="108" xfId="0" applyFont="1" applyFill="1" applyBorder="1" applyAlignment="1">
      <alignment vertical="top" wrapText="1"/>
    </xf>
    <xf numFmtId="178" fontId="16" fillId="21" borderId="98" xfId="0" applyNumberFormat="1" applyFont="1" applyFill="1" applyBorder="1" applyAlignment="1">
      <alignment vertical="top" wrapText="1"/>
    </xf>
    <xf numFmtId="0" fontId="7" fillId="21" borderId="108" xfId="0" applyFont="1" applyFill="1" applyBorder="1" applyAlignment="1">
      <alignment vertical="top" wrapText="1"/>
    </xf>
    <xf numFmtId="0" fontId="16" fillId="21" borderId="63" xfId="0" applyFont="1" applyFill="1" applyBorder="1" applyAlignment="1">
      <alignment horizontal="left" vertical="top" wrapText="1"/>
    </xf>
    <xf numFmtId="0" fontId="16" fillId="21" borderId="98" xfId="0" applyFont="1" applyFill="1" applyBorder="1" applyAlignment="1">
      <alignment horizontal="left" vertical="top" wrapText="1"/>
    </xf>
    <xf numFmtId="0" fontId="16" fillId="21" borderId="139" xfId="0" applyFont="1" applyFill="1" applyBorder="1" applyAlignment="1">
      <alignment horizontal="left" vertical="top" wrapText="1"/>
    </xf>
    <xf numFmtId="0" fontId="16" fillId="21" borderId="140" xfId="0" applyFont="1" applyFill="1" applyBorder="1" applyAlignment="1">
      <alignment horizontal="left" vertical="top" wrapText="1"/>
    </xf>
    <xf numFmtId="178" fontId="16" fillId="21" borderId="140" xfId="0" applyNumberFormat="1" applyFont="1" applyFill="1" applyBorder="1" applyAlignment="1">
      <alignment vertical="top" wrapText="1"/>
    </xf>
    <xf numFmtId="0" fontId="16" fillId="21" borderId="125" xfId="0" applyFont="1" applyFill="1" applyBorder="1" applyAlignment="1">
      <alignment vertical="top" wrapText="1"/>
    </xf>
    <xf numFmtId="0" fontId="3" fillId="23" borderId="6" xfId="0" applyFont="1" applyFill="1" applyBorder="1" applyAlignment="1">
      <alignment horizontal="left" vertical="top" wrapText="1" indent="1"/>
    </xf>
    <xf numFmtId="2" fontId="0" fillId="23" borderId="0" xfId="0" applyNumberFormat="1" applyFill="1" applyBorder="1" applyAlignment="1">
      <alignment vertical="top" wrapText="1"/>
    </xf>
    <xf numFmtId="0" fontId="0" fillId="23" borderId="0" xfId="0" applyFill="1" applyBorder="1" applyAlignment="1">
      <alignment vertical="top" wrapText="1"/>
    </xf>
    <xf numFmtId="172" fontId="3" fillId="23" borderId="0" xfId="1" applyNumberFormat="1" applyFont="1" applyFill="1" applyBorder="1" applyAlignment="1">
      <alignment vertical="top" wrapText="1"/>
    </xf>
    <xf numFmtId="0" fontId="3" fillId="23" borderId="0" xfId="0" applyFont="1" applyFill="1" applyBorder="1" applyAlignment="1">
      <alignment vertical="top" wrapText="1"/>
    </xf>
    <xf numFmtId="1" fontId="0" fillId="23" borderId="0" xfId="0" applyNumberFormat="1" applyFill="1" applyBorder="1" applyAlignment="1">
      <alignment vertical="top" wrapText="1"/>
    </xf>
    <xf numFmtId="0" fontId="3" fillId="23" borderId="0" xfId="0" applyFont="1" applyFill="1" applyAlignment="1">
      <alignment vertical="top" wrapText="1"/>
    </xf>
    <xf numFmtId="0" fontId="0" fillId="23" borderId="0" xfId="0" applyFill="1" applyAlignment="1">
      <alignment vertical="top" wrapText="1"/>
    </xf>
    <xf numFmtId="183" fontId="3" fillId="23" borderId="0" xfId="1" applyNumberFormat="1" applyFont="1" applyFill="1" applyBorder="1" applyAlignment="1">
      <alignment vertical="top" wrapText="1"/>
    </xf>
    <xf numFmtId="0" fontId="3" fillId="23" borderId="0" xfId="0" applyFont="1" applyFill="1" applyAlignment="1">
      <alignment vertical="top"/>
    </xf>
    <xf numFmtId="43" fontId="3" fillId="23" borderId="0" xfId="1" applyNumberFormat="1" applyFont="1" applyFill="1" applyBorder="1" applyAlignment="1">
      <alignment vertical="top" wrapText="1"/>
    </xf>
    <xf numFmtId="178" fontId="16" fillId="23" borderId="98" xfId="0" applyNumberFormat="1" applyFont="1" applyFill="1" applyBorder="1" applyAlignment="1">
      <alignment vertical="top" wrapText="1"/>
    </xf>
    <xf numFmtId="0" fontId="16" fillId="23" borderId="63" xfId="0" applyFont="1" applyFill="1" applyBorder="1" applyAlignment="1">
      <alignment horizontal="left" vertical="top" wrapText="1"/>
    </xf>
    <xf numFmtId="0" fontId="16" fillId="23" borderId="98" xfId="0" applyFont="1" applyFill="1" applyBorder="1" applyAlignment="1">
      <alignment horizontal="left" vertical="top" wrapText="1"/>
    </xf>
    <xf numFmtId="178" fontId="7" fillId="23" borderId="98" xfId="0" applyNumberFormat="1" applyFont="1" applyFill="1" applyBorder="1" applyAlignment="1">
      <alignment vertical="top" wrapText="1"/>
    </xf>
    <xf numFmtId="172" fontId="16" fillId="23" borderId="0" xfId="0" applyNumberFormat="1" applyFont="1" applyFill="1" applyAlignment="1">
      <alignment vertical="top" wrapText="1"/>
    </xf>
    <xf numFmtId="169" fontId="16" fillId="23" borderId="128" xfId="0" applyNumberFormat="1" applyFont="1" applyFill="1" applyBorder="1" applyAlignment="1">
      <alignment vertical="top" wrapText="1"/>
    </xf>
    <xf numFmtId="169" fontId="16" fillId="23" borderId="108" xfId="0" applyNumberFormat="1" applyFont="1" applyFill="1" applyBorder="1" applyAlignment="1">
      <alignment vertical="top" wrapText="1"/>
    </xf>
    <xf numFmtId="0" fontId="0" fillId="0" borderId="0" xfId="0" applyBorder="1"/>
    <xf numFmtId="169" fontId="16" fillId="23" borderId="110" xfId="0" applyNumberFormat="1" applyFont="1" applyFill="1" applyBorder="1" applyAlignment="1">
      <alignment vertical="top" wrapText="1"/>
    </xf>
    <xf numFmtId="169" fontId="16" fillId="23" borderId="176" xfId="0" applyNumberFormat="1" applyFont="1" applyFill="1" applyBorder="1" applyAlignment="1">
      <alignment vertical="top" wrapText="1"/>
    </xf>
    <xf numFmtId="172" fontId="5" fillId="23" borderId="0" xfId="1" applyNumberFormat="1" applyFont="1" applyFill="1" applyBorder="1" applyAlignment="1">
      <alignment vertical="top" wrapText="1"/>
    </xf>
    <xf numFmtId="0" fontId="5" fillId="0" borderId="1" xfId="0" applyFont="1" applyFill="1" applyBorder="1"/>
    <xf numFmtId="0" fontId="5" fillId="0" borderId="2" xfId="0" applyFont="1" applyFill="1" applyBorder="1"/>
    <xf numFmtId="0" fontId="5" fillId="21" borderId="2" xfId="0" applyFont="1" applyFill="1" applyBorder="1"/>
    <xf numFmtId="0" fontId="0" fillId="0" borderId="2" xfId="0" applyBorder="1"/>
    <xf numFmtId="0" fontId="3" fillId="17" borderId="2" xfId="0" applyFont="1" applyFill="1" applyBorder="1"/>
    <xf numFmtId="0" fontId="0" fillId="17" borderId="2" xfId="0" applyFill="1" applyBorder="1"/>
    <xf numFmtId="0" fontId="0" fillId="17" borderId="3" xfId="0" applyFill="1" applyBorder="1"/>
    <xf numFmtId="0" fontId="5" fillId="0" borderId="58" xfId="0" applyFont="1" applyFill="1" applyBorder="1"/>
    <xf numFmtId="0" fontId="5" fillId="0" borderId="5" xfId="0" applyFont="1" applyFill="1" applyBorder="1"/>
    <xf numFmtId="0" fontId="0" fillId="0" borderId="143" xfId="0" applyFill="1" applyBorder="1"/>
    <xf numFmtId="0" fontId="0" fillId="0" borderId="3" xfId="0" applyFill="1" applyBorder="1"/>
    <xf numFmtId="0" fontId="5" fillId="0" borderId="4" xfId="0" applyFont="1" applyFill="1" applyBorder="1"/>
    <xf numFmtId="0" fontId="13" fillId="0" borderId="4" xfId="0" applyFont="1" applyFill="1" applyBorder="1" applyAlignment="1">
      <alignment horizontal="left"/>
    </xf>
    <xf numFmtId="0" fontId="13" fillId="0" borderId="58" xfId="0" applyFont="1" applyFill="1" applyBorder="1"/>
    <xf numFmtId="167" fontId="0" fillId="0" borderId="59" xfId="0" applyNumberFormat="1" applyFill="1" applyBorder="1"/>
    <xf numFmtId="0" fontId="13" fillId="21" borderId="58" xfId="0" applyFont="1" applyFill="1" applyBorder="1"/>
    <xf numFmtId="0" fontId="0" fillId="0" borderId="58" xfId="0" applyBorder="1"/>
    <xf numFmtId="0" fontId="20" fillId="0" borderId="59" xfId="0" applyFont="1" applyFill="1" applyBorder="1"/>
    <xf numFmtId="39" fontId="5" fillId="6" borderId="7" xfId="0" applyNumberFormat="1" applyFont="1" applyFill="1" applyBorder="1"/>
    <xf numFmtId="0" fontId="3" fillId="0" borderId="0" xfId="0" applyFont="1" applyFill="1" applyBorder="1"/>
    <xf numFmtId="0" fontId="0" fillId="24" borderId="0" xfId="0" applyFill="1" applyBorder="1"/>
    <xf numFmtId="0" fontId="5" fillId="24" borderId="0" xfId="0" applyFont="1" applyFill="1" applyBorder="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5" fillId="0" borderId="4" xfId="0" applyFont="1" applyBorder="1"/>
    <xf numFmtId="0" fontId="5" fillId="0" borderId="0" xfId="0" applyFont="1" applyBorder="1"/>
    <xf numFmtId="0" fontId="5" fillId="0" borderId="5" xfId="0" applyFont="1" applyBorder="1"/>
    <xf numFmtId="0" fontId="0" fillId="25" borderId="137" xfId="0" applyFill="1" applyBorder="1"/>
    <xf numFmtId="0" fontId="0" fillId="25" borderId="171" xfId="0" applyFill="1" applyBorder="1"/>
    <xf numFmtId="0" fontId="0" fillId="25" borderId="135" xfId="0" applyFill="1" applyBorder="1"/>
    <xf numFmtId="0" fontId="0" fillId="25" borderId="99" xfId="0" applyFill="1" applyBorder="1"/>
    <xf numFmtId="0" fontId="0" fillId="25" borderId="138" xfId="0" applyFill="1" applyBorder="1"/>
    <xf numFmtId="0" fontId="0" fillId="25" borderId="55" xfId="0" applyFill="1" applyBorder="1"/>
    <xf numFmtId="0" fontId="0" fillId="25" borderId="8" xfId="0" applyFill="1" applyBorder="1"/>
    <xf numFmtId="0" fontId="0" fillId="25" borderId="100" xfId="0" applyFill="1" applyBorder="1"/>
    <xf numFmtId="0" fontId="0" fillId="25" borderId="145" xfId="0" applyFill="1" applyBorder="1"/>
    <xf numFmtId="0" fontId="0" fillId="25" borderId="172" xfId="0" applyFill="1" applyBorder="1"/>
    <xf numFmtId="0" fontId="0" fillId="25" borderId="136" xfId="0" applyFill="1" applyBorder="1"/>
    <xf numFmtId="0" fontId="0" fillId="25" borderId="101" xfId="0" applyFill="1" applyBorder="1"/>
    <xf numFmtId="0" fontId="3" fillId="0" borderId="98" xfId="0" applyFont="1" applyBorder="1"/>
    <xf numFmtId="3" fontId="3" fillId="0" borderId="115" xfId="0" applyNumberFormat="1" applyFont="1" applyBorder="1"/>
    <xf numFmtId="3" fontId="3" fillId="0" borderId="98" xfId="0" applyNumberFormat="1" applyFont="1" applyBorder="1"/>
    <xf numFmtId="3" fontId="3" fillId="0" borderId="116" xfId="0" applyNumberFormat="1" applyFont="1" applyBorder="1"/>
    <xf numFmtId="165" fontId="3" fillId="0" borderId="98" xfId="0" applyNumberFormat="1" applyFont="1" applyBorder="1"/>
    <xf numFmtId="0" fontId="5" fillId="0" borderId="1" xfId="0" applyFont="1" applyBorder="1" applyAlignment="1">
      <alignment wrapText="1"/>
    </xf>
    <xf numFmtId="0" fontId="5" fillId="0" borderId="62" xfId="0" applyFont="1" applyBorder="1" applyAlignment="1">
      <alignment horizontal="center" vertical="center" wrapText="1"/>
    </xf>
    <xf numFmtId="0" fontId="5" fillId="0" borderId="89" xfId="0" applyFont="1" applyFill="1" applyBorder="1" applyProtection="1"/>
    <xf numFmtId="0" fontId="0" fillId="3" borderId="112" xfId="0" applyFill="1" applyBorder="1"/>
    <xf numFmtId="165" fontId="0" fillId="3" borderId="146" xfId="0" applyNumberFormat="1" applyFill="1" applyBorder="1"/>
    <xf numFmtId="0" fontId="0" fillId="3" borderId="115" xfId="0" applyFill="1" applyBorder="1"/>
    <xf numFmtId="165" fontId="0" fillId="3" borderId="141" xfId="0" applyNumberFormat="1" applyFill="1" applyBorder="1"/>
    <xf numFmtId="0" fontId="3" fillId="3" borderId="115" xfId="0" applyFont="1" applyFill="1" applyBorder="1"/>
    <xf numFmtId="165" fontId="3" fillId="3" borderId="141" xfId="0" applyNumberFormat="1" applyFont="1" applyFill="1" applyBorder="1"/>
    <xf numFmtId="0" fontId="0" fillId="3" borderId="117" xfId="0" applyFill="1" applyBorder="1"/>
    <xf numFmtId="0" fontId="0" fillId="0" borderId="119" xfId="0" applyBorder="1"/>
    <xf numFmtId="3" fontId="0" fillId="0" borderId="118" xfId="0" applyNumberFormat="1" applyBorder="1"/>
    <xf numFmtId="165" fontId="0" fillId="0" borderId="117" xfId="0" applyNumberFormat="1" applyBorder="1"/>
    <xf numFmtId="165" fontId="0" fillId="0" borderId="118" xfId="0" applyNumberFormat="1" applyBorder="1"/>
    <xf numFmtId="165" fontId="0" fillId="0" borderId="119" xfId="0" applyNumberFormat="1" applyBorder="1"/>
    <xf numFmtId="165" fontId="0" fillId="3" borderId="147" xfId="0" applyNumberFormat="1" applyFill="1" applyBorder="1"/>
    <xf numFmtId="0" fontId="7" fillId="0" borderId="143" xfId="0" applyFont="1" applyBorder="1" applyAlignment="1">
      <alignment horizontal="centerContinuous" wrapText="1"/>
    </xf>
    <xf numFmtId="0" fontId="7" fillId="0" borderId="79" xfId="0" applyFont="1" applyBorder="1" applyAlignment="1">
      <alignment horizontal="centerContinuous" wrapText="1"/>
    </xf>
    <xf numFmtId="0" fontId="7" fillId="0" borderId="64" xfId="0" applyFont="1" applyBorder="1" applyAlignment="1">
      <alignment horizontal="centerContinuous" wrapText="1"/>
    </xf>
    <xf numFmtId="10" fontId="3" fillId="5" borderId="62" xfId="0" applyNumberFormat="1" applyFont="1" applyFill="1" applyBorder="1" applyAlignment="1">
      <alignment vertical="top" wrapText="1"/>
    </xf>
    <xf numFmtId="15" fontId="3" fillId="0" borderId="0" xfId="0" applyNumberFormat="1" applyFont="1" applyFill="1" applyBorder="1" applyAlignment="1" applyProtection="1">
      <alignment horizontal="left" wrapText="1"/>
      <protection locked="0"/>
    </xf>
    <xf numFmtId="0" fontId="3" fillId="0" borderId="0" xfId="0" applyFont="1" applyFill="1" applyBorder="1" applyProtection="1">
      <protection locked="0"/>
    </xf>
    <xf numFmtId="3" fontId="3" fillId="6" borderId="16" xfId="0" applyNumberFormat="1" applyFont="1" applyFill="1" applyBorder="1" applyAlignment="1" applyProtection="1">
      <alignment horizontal="left" wrapText="1"/>
      <protection locked="0"/>
    </xf>
    <xf numFmtId="0" fontId="3" fillId="0" borderId="0" xfId="0" applyFont="1" applyProtection="1">
      <protection locked="0"/>
    </xf>
    <xf numFmtId="0" fontId="3" fillId="6" borderId="8" xfId="0" applyFont="1" applyFill="1" applyBorder="1" applyProtection="1">
      <protection locked="0"/>
    </xf>
    <xf numFmtId="0" fontId="5" fillId="0" borderId="138" xfId="0" applyFont="1" applyBorder="1" applyProtection="1">
      <protection locked="0"/>
    </xf>
    <xf numFmtId="0" fontId="5" fillId="0" borderId="100" xfId="0" applyFont="1" applyBorder="1" applyAlignment="1" applyProtection="1">
      <alignment wrapText="1"/>
      <protection locked="0"/>
    </xf>
    <xf numFmtId="0" fontId="3" fillId="6" borderId="100" xfId="0" applyFont="1" applyFill="1" applyBorder="1" applyProtection="1">
      <protection locked="0"/>
    </xf>
    <xf numFmtId="14" fontId="3" fillId="6" borderId="138" xfId="0" applyNumberFormat="1" applyFont="1" applyFill="1" applyBorder="1" applyAlignment="1" applyProtection="1">
      <alignment horizontal="right"/>
      <protection locked="0"/>
    </xf>
    <xf numFmtId="15" fontId="3" fillId="6" borderId="138" xfId="0" applyNumberFormat="1" applyFont="1" applyFill="1" applyBorder="1" applyAlignment="1" applyProtection="1">
      <alignment horizontal="right" wrapText="1"/>
      <protection locked="0"/>
    </xf>
    <xf numFmtId="15" fontId="3" fillId="6" borderId="138" xfId="0" applyNumberFormat="1" applyFont="1" applyFill="1" applyBorder="1" applyAlignment="1" applyProtection="1">
      <alignment wrapText="1"/>
      <protection locked="0"/>
    </xf>
    <xf numFmtId="15" fontId="5" fillId="6" borderId="138" xfId="0" applyNumberFormat="1" applyFont="1" applyFill="1" applyBorder="1" applyAlignment="1" applyProtection="1">
      <alignment horizontal="right" wrapText="1"/>
      <protection locked="0"/>
    </xf>
    <xf numFmtId="0" fontId="5" fillId="6" borderId="100" xfId="0" applyFont="1" applyFill="1" applyBorder="1" applyAlignment="1" applyProtection="1">
      <alignment wrapText="1"/>
      <protection locked="0"/>
    </xf>
    <xf numFmtId="15" fontId="3" fillId="6" borderId="145" xfId="0" applyNumberFormat="1" applyFont="1" applyFill="1" applyBorder="1" applyProtection="1">
      <protection locked="0"/>
    </xf>
    <xf numFmtId="14" fontId="3" fillId="6" borderId="136" xfId="0" applyNumberFormat="1" applyFont="1" applyFill="1" applyBorder="1" applyAlignment="1" applyProtection="1">
      <alignment wrapText="1"/>
      <protection locked="0"/>
    </xf>
    <xf numFmtId="0" fontId="3" fillId="6" borderId="101" xfId="0" applyFont="1" applyFill="1" applyBorder="1" applyAlignment="1" applyProtection="1">
      <alignment wrapText="1"/>
      <protection locked="0"/>
    </xf>
    <xf numFmtId="9" fontId="0" fillId="21" borderId="0" xfId="0" applyNumberFormat="1" applyFill="1"/>
    <xf numFmtId="9" fontId="0" fillId="21" borderId="0" xfId="0" quotePrefix="1" applyNumberFormat="1" applyFill="1"/>
    <xf numFmtId="0" fontId="3" fillId="22" borderId="8" xfId="0" applyFont="1" applyFill="1" applyBorder="1"/>
    <xf numFmtId="9" fontId="0" fillId="22" borderId="8" xfId="0" applyNumberFormat="1" applyFill="1" applyBorder="1"/>
    <xf numFmtId="0" fontId="0" fillId="22" borderId="8" xfId="0" applyFill="1" applyBorder="1"/>
    <xf numFmtId="9" fontId="3" fillId="20" borderId="8" xfId="17" applyFont="1" applyFill="1" applyBorder="1"/>
    <xf numFmtId="0" fontId="0" fillId="19" borderId="55" xfId="0" applyFill="1" applyBorder="1" applyAlignment="1">
      <alignment horizontal="center"/>
    </xf>
    <xf numFmtId="172" fontId="0" fillId="21" borderId="0" xfId="0" applyNumberFormat="1" applyFill="1"/>
    <xf numFmtId="172" fontId="0" fillId="21" borderId="0" xfId="1" applyNumberFormat="1" applyFont="1" applyFill="1"/>
    <xf numFmtId="10" fontId="0" fillId="21" borderId="0" xfId="0" applyNumberFormat="1" applyFill="1"/>
    <xf numFmtId="9" fontId="0" fillId="20" borderId="8" xfId="17" applyNumberFormat="1" applyFont="1" applyFill="1" applyBorder="1"/>
    <xf numFmtId="9" fontId="3" fillId="26" borderId="8" xfId="17" applyNumberFormat="1" applyFont="1" applyFill="1" applyBorder="1"/>
    <xf numFmtId="183" fontId="3" fillId="26" borderId="8" xfId="1" applyNumberFormat="1" applyFont="1" applyFill="1" applyBorder="1"/>
    <xf numFmtId="0" fontId="83" fillId="21" borderId="0" xfId="0" applyFont="1" applyFill="1"/>
    <xf numFmtId="0" fontId="5" fillId="6" borderId="138" xfId="0" applyFont="1" applyFill="1" applyBorder="1" applyProtection="1">
      <protection locked="0"/>
    </xf>
    <xf numFmtId="0" fontId="84" fillId="0" borderId="0" xfId="0" applyFont="1"/>
    <xf numFmtId="0" fontId="85" fillId="0" borderId="0" xfId="0" applyFont="1"/>
    <xf numFmtId="0" fontId="84" fillId="0" borderId="161" xfId="0" applyFont="1" applyBorder="1"/>
    <xf numFmtId="0" fontId="84" fillId="0" borderId="129" xfId="0" applyFont="1" applyBorder="1"/>
    <xf numFmtId="0" fontId="84" fillId="0" borderId="177" xfId="0" applyFont="1" applyBorder="1"/>
    <xf numFmtId="0" fontId="84" fillId="0" borderId="44" xfId="0" applyFont="1" applyBorder="1"/>
    <xf numFmtId="0" fontId="84" fillId="0" borderId="0" xfId="0" applyFont="1" applyBorder="1"/>
    <xf numFmtId="0" fontId="84" fillId="0" borderId="178" xfId="0" applyFont="1" applyBorder="1"/>
    <xf numFmtId="0" fontId="84" fillId="0" borderId="142" xfId="0" applyFont="1" applyBorder="1"/>
    <xf numFmtId="0" fontId="84" fillId="0" borderId="140" xfId="0" applyFont="1" applyBorder="1"/>
    <xf numFmtId="0" fontId="84" fillId="0" borderId="29" xfId="0" applyFont="1" applyBorder="1"/>
    <xf numFmtId="173" fontId="19" fillId="0" borderId="12" xfId="16" applyFont="1" applyBorder="1" applyAlignment="1" applyProtection="1"/>
    <xf numFmtId="0" fontId="0" fillId="18" borderId="0" xfId="0" applyFill="1"/>
    <xf numFmtId="188" fontId="3" fillId="5" borderId="62" xfId="0" applyNumberFormat="1" applyFont="1" applyFill="1" applyBorder="1" applyAlignment="1">
      <alignment vertical="top" wrapText="1"/>
    </xf>
    <xf numFmtId="173" fontId="3" fillId="3" borderId="18" xfId="16" applyFont="1" applyFill="1" applyBorder="1" applyProtection="1"/>
    <xf numFmtId="170" fontId="3" fillId="3" borderId="19" xfId="16" applyNumberFormat="1" applyFont="1" applyFill="1" applyBorder="1" applyProtection="1"/>
    <xf numFmtId="173" fontId="3" fillId="3" borderId="20" xfId="16" applyFont="1" applyFill="1" applyBorder="1" applyProtection="1"/>
    <xf numFmtId="173" fontId="3" fillId="3" borderId="21" xfId="16" applyFont="1" applyFill="1" applyBorder="1" applyProtection="1"/>
    <xf numFmtId="170" fontId="3" fillId="3" borderId="22" xfId="16" applyNumberFormat="1" applyFont="1" applyFill="1" applyBorder="1" applyProtection="1"/>
    <xf numFmtId="170" fontId="3" fillId="3" borderId="23" xfId="16" applyNumberFormat="1" applyFont="1" applyFill="1" applyBorder="1" applyProtection="1"/>
    <xf numFmtId="0" fontId="0" fillId="0" borderId="0" xfId="0" applyBorder="1"/>
    <xf numFmtId="0" fontId="0" fillId="6" borderId="0" xfId="0" quotePrefix="1" applyFill="1" applyBorder="1" applyAlignment="1">
      <alignment horizontal="left" vertical="top" wrapText="1"/>
    </xf>
    <xf numFmtId="0" fontId="2" fillId="21" borderId="0" xfId="21" applyFill="1"/>
    <xf numFmtId="0" fontId="2" fillId="23" borderId="8" xfId="21" applyFill="1" applyBorder="1"/>
    <xf numFmtId="172" fontId="0" fillId="27" borderId="8" xfId="22" applyNumberFormat="1" applyFont="1" applyFill="1" applyBorder="1"/>
    <xf numFmtId="172" fontId="2" fillId="20" borderId="8" xfId="1" applyNumberFormat="1" applyFont="1" applyFill="1" applyBorder="1"/>
    <xf numFmtId="183" fontId="2" fillId="20" borderId="8" xfId="1" applyNumberFormat="1" applyFont="1" applyFill="1" applyBorder="1"/>
    <xf numFmtId="0" fontId="2" fillId="27" borderId="8" xfId="21" applyFill="1" applyBorder="1"/>
    <xf numFmtId="172" fontId="2" fillId="20" borderId="170" xfId="1" applyNumberFormat="1" applyFont="1" applyFill="1" applyBorder="1"/>
    <xf numFmtId="172" fontId="2" fillId="20" borderId="30" xfId="1" applyNumberFormat="1" applyFont="1" applyFill="1" applyBorder="1"/>
    <xf numFmtId="0" fontId="86" fillId="21" borderId="0" xfId="21" applyFont="1" applyFill="1"/>
    <xf numFmtId="172" fontId="2" fillId="27" borderId="8" xfId="1" applyNumberFormat="1" applyFont="1" applyFill="1" applyBorder="1"/>
    <xf numFmtId="0" fontId="86" fillId="21" borderId="1" xfId="21" applyFont="1" applyFill="1" applyBorder="1"/>
    <xf numFmtId="0" fontId="2" fillId="21" borderId="2" xfId="21" applyFill="1" applyBorder="1"/>
    <xf numFmtId="0" fontId="2" fillId="0" borderId="2" xfId="21" applyBorder="1"/>
    <xf numFmtId="0" fontId="2" fillId="21" borderId="3" xfId="21" applyFill="1" applyBorder="1"/>
    <xf numFmtId="0" fontId="2" fillId="21" borderId="4" xfId="21" applyFill="1" applyBorder="1"/>
    <xf numFmtId="0" fontId="2" fillId="21" borderId="0" xfId="21" applyFill="1" applyBorder="1"/>
    <xf numFmtId="0" fontId="2" fillId="21" borderId="5" xfId="21" applyFill="1" applyBorder="1"/>
    <xf numFmtId="0" fontId="2" fillId="23" borderId="100" xfId="21" applyFill="1" applyBorder="1"/>
    <xf numFmtId="172" fontId="2" fillId="21" borderId="0" xfId="1" applyNumberFormat="1" applyFont="1" applyFill="1" applyBorder="1"/>
    <xf numFmtId="0" fontId="86" fillId="21" borderId="0" xfId="21" applyFont="1" applyFill="1" applyBorder="1"/>
    <xf numFmtId="0" fontId="2" fillId="21" borderId="0" xfId="21" applyFont="1" applyFill="1" applyBorder="1"/>
    <xf numFmtId="0" fontId="2" fillId="21" borderId="59" xfId="21" applyFill="1" applyBorder="1"/>
    <xf numFmtId="0" fontId="2" fillId="21" borderId="87" xfId="21" applyFill="1" applyBorder="1"/>
    <xf numFmtId="0" fontId="0" fillId="21" borderId="0" xfId="0" applyFill="1" applyBorder="1"/>
    <xf numFmtId="0" fontId="0" fillId="21" borderId="5" xfId="0" applyFill="1" applyBorder="1"/>
    <xf numFmtId="172" fontId="2" fillId="23" borderId="100" xfId="1" applyNumberFormat="1" applyFont="1" applyFill="1" applyBorder="1"/>
    <xf numFmtId="43" fontId="0" fillId="20" borderId="8" xfId="0" applyNumberFormat="1" applyFill="1" applyBorder="1"/>
    <xf numFmtId="0" fontId="2" fillId="21" borderId="8" xfId="21" applyFill="1" applyBorder="1"/>
    <xf numFmtId="0" fontId="2" fillId="21" borderId="8" xfId="21" applyFont="1" applyFill="1" applyBorder="1"/>
    <xf numFmtId="0" fontId="2" fillId="21" borderId="8" xfId="21" applyFill="1" applyBorder="1" applyAlignment="1">
      <alignment wrapText="1"/>
    </xf>
    <xf numFmtId="0" fontId="2" fillId="21" borderId="30" xfId="21" applyFont="1" applyFill="1" applyBorder="1"/>
    <xf numFmtId="0" fontId="2" fillId="21" borderId="170" xfId="21" applyFont="1" applyFill="1" applyBorder="1"/>
    <xf numFmtId="0" fontId="0" fillId="21" borderId="2" xfId="0" applyFill="1" applyBorder="1"/>
    <xf numFmtId="0" fontId="0" fillId="21" borderId="3" xfId="0" applyFill="1" applyBorder="1"/>
    <xf numFmtId="0" fontId="5" fillId="21" borderId="0" xfId="0" applyFont="1" applyFill="1" applyBorder="1"/>
    <xf numFmtId="0" fontId="0" fillId="21" borderId="58" xfId="0" applyFill="1" applyBorder="1"/>
    <xf numFmtId="0" fontId="0" fillId="21" borderId="59" xfId="0" applyFill="1" applyBorder="1"/>
    <xf numFmtId="0" fontId="0" fillId="21" borderId="87" xfId="0" applyFill="1" applyBorder="1"/>
    <xf numFmtId="0" fontId="5" fillId="21" borderId="1" xfId="0" applyFont="1" applyFill="1" applyBorder="1"/>
    <xf numFmtId="0" fontId="2" fillId="21" borderId="100" xfId="21" applyFill="1" applyBorder="1" applyAlignment="1">
      <alignment wrapText="1"/>
    </xf>
    <xf numFmtId="172" fontId="2" fillId="20" borderId="100" xfId="1" applyNumberFormat="1" applyFont="1" applyFill="1" applyBorder="1"/>
    <xf numFmtId="172" fontId="2" fillId="21" borderId="5" xfId="1" applyNumberFormat="1" applyFont="1" applyFill="1" applyBorder="1"/>
    <xf numFmtId="0" fontId="2" fillId="23" borderId="136" xfId="21" applyFill="1" applyBorder="1"/>
    <xf numFmtId="0" fontId="2" fillId="23" borderId="101" xfId="21" applyFill="1" applyBorder="1"/>
    <xf numFmtId="43" fontId="0" fillId="20" borderId="8" xfId="1" applyNumberFormat="1" applyFont="1" applyFill="1" applyBorder="1"/>
    <xf numFmtId="169" fontId="16" fillId="3" borderId="57" xfId="0" applyNumberFormat="1" applyFont="1" applyFill="1" applyBorder="1" applyAlignment="1">
      <alignment vertical="center" wrapText="1"/>
    </xf>
    <xf numFmtId="165" fontId="5" fillId="3" borderId="0" xfId="0" applyNumberFormat="1" applyFont="1" applyFill="1" applyBorder="1" applyAlignment="1">
      <alignment horizontal="center" vertical="top" wrapText="1"/>
    </xf>
    <xf numFmtId="172" fontId="0" fillId="27" borderId="8" xfId="0" applyNumberFormat="1" applyFill="1" applyBorder="1"/>
    <xf numFmtId="172" fontId="0" fillId="27" borderId="8" xfId="1" applyNumberFormat="1" applyFont="1" applyFill="1" applyBorder="1"/>
    <xf numFmtId="0" fontId="5" fillId="21" borderId="8" xfId="0" applyFont="1" applyFill="1" applyBorder="1" applyAlignment="1">
      <alignment wrapText="1"/>
    </xf>
    <xf numFmtId="0" fontId="0" fillId="21" borderId="8" xfId="0" applyFill="1" applyBorder="1" applyAlignment="1">
      <alignment wrapText="1"/>
    </xf>
    <xf numFmtId="0" fontId="3" fillId="21" borderId="8" xfId="0" applyFont="1" applyFill="1" applyBorder="1" applyAlignment="1">
      <alignment wrapText="1"/>
    </xf>
    <xf numFmtId="0" fontId="0" fillId="21" borderId="8" xfId="0" applyFont="1" applyFill="1" applyBorder="1" applyAlignment="1">
      <alignment wrapText="1"/>
    </xf>
    <xf numFmtId="43" fontId="16" fillId="5" borderId="89" xfId="0" applyNumberFormat="1" applyFont="1" applyFill="1" applyBorder="1" applyAlignment="1">
      <alignment horizontal="right" vertical="top" wrapText="1"/>
    </xf>
    <xf numFmtId="172" fontId="16" fillId="3" borderId="8" xfId="1" applyNumberFormat="1" applyFont="1" applyFill="1" applyBorder="1" applyAlignment="1">
      <alignment vertical="top" wrapText="1"/>
    </xf>
    <xf numFmtId="0" fontId="3" fillId="5" borderId="165" xfId="0" applyFont="1" applyFill="1" applyBorder="1" applyAlignment="1" applyProtection="1">
      <alignment horizontal="left" wrapText="1"/>
      <protection locked="0"/>
    </xf>
    <xf numFmtId="3" fontId="13" fillId="5" borderId="160" xfId="0" applyNumberFormat="1" applyFont="1" applyFill="1" applyBorder="1" applyAlignment="1" applyProtection="1">
      <alignment wrapText="1"/>
      <protection locked="0"/>
    </xf>
    <xf numFmtId="2" fontId="13" fillId="5" borderId="179" xfId="0" applyNumberFormat="1" applyFont="1" applyFill="1" applyBorder="1" applyAlignment="1" applyProtection="1">
      <alignment wrapText="1"/>
      <protection locked="0"/>
    </xf>
    <xf numFmtId="0" fontId="13" fillId="6" borderId="177" xfId="0" applyFont="1" applyFill="1" applyBorder="1" applyAlignment="1" applyProtection="1">
      <alignment wrapText="1"/>
      <protection locked="0"/>
    </xf>
    <xf numFmtId="0" fontId="13" fillId="6" borderId="38" xfId="0" applyFont="1" applyFill="1" applyBorder="1" applyAlignment="1" applyProtection="1">
      <alignment wrapText="1"/>
      <protection locked="0"/>
    </xf>
    <xf numFmtId="169" fontId="0" fillId="6" borderId="0" xfId="0" quotePrefix="1" applyNumberFormat="1" applyFill="1" applyBorder="1" applyAlignment="1">
      <alignment horizontal="left" vertical="top" wrapText="1"/>
    </xf>
    <xf numFmtId="170" fontId="0" fillId="6" borderId="5" xfId="0" quotePrefix="1" applyNumberFormat="1" applyFill="1" applyBorder="1" applyAlignment="1">
      <alignment horizontal="left" vertical="top" wrapText="1"/>
    </xf>
    <xf numFmtId="43" fontId="0" fillId="0" borderId="0" xfId="0" applyNumberFormat="1"/>
    <xf numFmtId="0" fontId="13" fillId="6" borderId="37" xfId="0" applyFont="1" applyFill="1" applyBorder="1" applyAlignment="1" applyProtection="1">
      <alignment wrapText="1"/>
      <protection locked="0"/>
    </xf>
    <xf numFmtId="0" fontId="13" fillId="6" borderId="160" xfId="0" applyFont="1" applyFill="1" applyBorder="1" applyAlignment="1" applyProtection="1">
      <alignment wrapText="1"/>
      <protection locked="0"/>
    </xf>
    <xf numFmtId="0" fontId="5" fillId="5" borderId="137" xfId="0" applyNumberFormat="1" applyFont="1" applyFill="1" applyBorder="1" applyAlignment="1">
      <alignment vertical="top" wrapText="1"/>
    </xf>
    <xf numFmtId="10" fontId="16" fillId="5" borderId="8" xfId="0" applyNumberFormat="1" applyFont="1" applyFill="1" applyBorder="1" applyAlignment="1">
      <alignment vertical="top" wrapText="1"/>
    </xf>
    <xf numFmtId="3" fontId="0" fillId="0" borderId="0" xfId="0" applyNumberFormat="1" applyAlignment="1">
      <alignment vertical="top" wrapText="1"/>
    </xf>
    <xf numFmtId="3" fontId="0" fillId="4" borderId="0" xfId="0" applyNumberFormat="1" applyFill="1" applyBorder="1" applyAlignment="1">
      <alignment vertical="top" wrapText="1"/>
    </xf>
    <xf numFmtId="0" fontId="0" fillId="21" borderId="161" xfId="0" applyFill="1" applyBorder="1"/>
    <xf numFmtId="0" fontId="0" fillId="21" borderId="129" xfId="0" applyFill="1" applyBorder="1"/>
    <xf numFmtId="0" fontId="2" fillId="21" borderId="129" xfId="21" applyFill="1" applyBorder="1"/>
    <xf numFmtId="0" fontId="2" fillId="21" borderId="177" xfId="21" applyFill="1" applyBorder="1"/>
    <xf numFmtId="0" fontId="2" fillId="21" borderId="44" xfId="21" applyFill="1" applyBorder="1"/>
    <xf numFmtId="0" fontId="2" fillId="21" borderId="142" xfId="21" applyFill="1" applyBorder="1"/>
    <xf numFmtId="0" fontId="2" fillId="21" borderId="140" xfId="21" applyFill="1" applyBorder="1"/>
    <xf numFmtId="0" fontId="2" fillId="21" borderId="29" xfId="21" applyFill="1" applyBorder="1"/>
    <xf numFmtId="43" fontId="2" fillId="27" borderId="8" xfId="1" applyNumberFormat="1" applyFont="1" applyFill="1" applyBorder="1"/>
    <xf numFmtId="169" fontId="0" fillId="5" borderId="137" xfId="0" applyNumberFormat="1" applyFill="1" applyBorder="1" applyAlignment="1">
      <alignment vertical="top" wrapText="1"/>
    </xf>
    <xf numFmtId="172" fontId="13" fillId="6" borderId="0" xfId="1" applyNumberFormat="1" applyFont="1" applyFill="1" applyBorder="1" applyAlignment="1">
      <alignment vertical="top" wrapText="1"/>
    </xf>
    <xf numFmtId="0" fontId="0" fillId="6" borderId="0" xfId="0" quotePrefix="1" applyFill="1" applyBorder="1" applyAlignment="1">
      <alignment horizontal="left" vertical="top"/>
    </xf>
    <xf numFmtId="5" fontId="13" fillId="3" borderId="62" xfId="0" applyNumberFormat="1" applyFont="1" applyFill="1" applyBorder="1" applyAlignment="1">
      <alignment vertical="top" wrapText="1"/>
    </xf>
    <xf numFmtId="0" fontId="1" fillId="21" borderId="8" xfId="21" applyFont="1" applyFill="1" applyBorder="1"/>
    <xf numFmtId="43" fontId="16" fillId="5" borderId="89" xfId="0" applyNumberFormat="1" applyFont="1" applyFill="1" applyBorder="1"/>
    <xf numFmtId="0" fontId="3" fillId="6" borderId="0" xfId="0" applyFont="1" applyFill="1" applyBorder="1" applyAlignment="1">
      <alignment vertical="top" wrapText="1"/>
    </xf>
    <xf numFmtId="178" fontId="16" fillId="28" borderId="98" xfId="0" applyNumberFormat="1" applyFont="1" applyFill="1" applyBorder="1" applyAlignment="1">
      <alignment vertical="top" wrapText="1"/>
    </xf>
    <xf numFmtId="0" fontId="3" fillId="5" borderId="138" xfId="1" applyNumberFormat="1" applyFont="1" applyFill="1" applyBorder="1" applyAlignment="1">
      <alignment vertical="top" wrapText="1"/>
    </xf>
    <xf numFmtId="172" fontId="3" fillId="5" borderId="62" xfId="1" applyNumberFormat="1" applyFill="1" applyBorder="1" applyAlignment="1">
      <alignment vertical="top" wrapText="1"/>
    </xf>
    <xf numFmtId="0" fontId="15" fillId="0" borderId="137" xfId="0" applyFont="1" applyBorder="1" applyAlignment="1" applyProtection="1">
      <alignment horizontal="left"/>
      <protection locked="0"/>
    </xf>
    <xf numFmtId="0" fontId="0" fillId="0" borderId="135" xfId="0" applyBorder="1" applyAlignment="1" applyProtection="1">
      <protection locked="0"/>
    </xf>
    <xf numFmtId="0" fontId="0" fillId="0" borderId="99" xfId="0" applyBorder="1" applyAlignment="1" applyProtection="1">
      <protection locked="0"/>
    </xf>
    <xf numFmtId="0" fontId="3" fillId="6" borderId="5" xfId="0" applyFont="1" applyFill="1" applyBorder="1" applyAlignment="1">
      <alignment horizontal="left" vertical="top" wrapText="1"/>
    </xf>
    <xf numFmtId="0" fontId="3" fillId="6" borderId="87" xfId="0" applyFont="1" applyFill="1" applyBorder="1" applyAlignment="1">
      <alignment horizontal="left" vertical="top" wrapText="1"/>
    </xf>
    <xf numFmtId="7" fontId="29" fillId="3" borderId="62" xfId="0" applyNumberFormat="1" applyFont="1" applyFill="1" applyBorder="1" applyAlignment="1">
      <alignment horizontal="left" vertical="top" wrapText="1"/>
    </xf>
    <xf numFmtId="0" fontId="29" fillId="3" borderId="57" xfId="0" applyFont="1" applyFill="1" applyBorder="1" applyAlignment="1">
      <alignment horizontal="left" vertical="top" wrapText="1"/>
    </xf>
    <xf numFmtId="0" fontId="0" fillId="6" borderId="0" xfId="0" quotePrefix="1" applyFill="1" applyAlignment="1">
      <alignment horizontal="left"/>
    </xf>
    <xf numFmtId="0" fontId="0" fillId="6" borderId="5" xfId="0" quotePrefix="1" applyFill="1" applyBorder="1" applyAlignment="1">
      <alignment horizontal="left"/>
    </xf>
    <xf numFmtId="0" fontId="5" fillId="0" borderId="0" xfId="0" applyFont="1" applyAlignment="1">
      <alignment horizontal="center" wrapText="1"/>
    </xf>
    <xf numFmtId="0" fontId="5" fillId="0" borderId="59" xfId="0" applyFont="1" applyBorder="1" applyAlignment="1">
      <alignment horizontal="center" wrapText="1"/>
    </xf>
    <xf numFmtId="0" fontId="5" fillId="6" borderId="0" xfId="0" applyFont="1" applyFill="1" applyBorder="1" applyAlignment="1">
      <alignment horizontal="left" vertical="top" wrapText="1"/>
    </xf>
    <xf numFmtId="0" fontId="5" fillId="6" borderId="5" xfId="0" applyFont="1" applyFill="1" applyBorder="1" applyAlignment="1">
      <alignment horizontal="left" vertical="top" wrapText="1"/>
    </xf>
    <xf numFmtId="0" fontId="3" fillId="6" borderId="0" xfId="0" applyFont="1" applyFill="1" applyAlignment="1">
      <alignment horizontal="left" vertical="top" wrapText="1"/>
    </xf>
    <xf numFmtId="0" fontId="5" fillId="6" borderId="0" xfId="0" applyFont="1" applyFill="1" applyBorder="1" applyAlignment="1">
      <alignment horizontal="right" vertical="top" wrapText="1"/>
    </xf>
    <xf numFmtId="0" fontId="5" fillId="6" borderId="5" xfId="0" applyFont="1" applyFill="1" applyBorder="1" applyAlignment="1">
      <alignment horizontal="right" vertical="top" wrapText="1"/>
    </xf>
    <xf numFmtId="0" fontId="3" fillId="6" borderId="4" xfId="0" applyFont="1" applyFill="1" applyBorder="1" applyAlignment="1">
      <alignment horizontal="left" vertical="top" wrapText="1"/>
    </xf>
    <xf numFmtId="0" fontId="13" fillId="6" borderId="5" xfId="0" applyFont="1" applyFill="1" applyBorder="1" applyAlignment="1">
      <alignment horizontal="left" vertical="top" wrapText="1"/>
    </xf>
    <xf numFmtId="0" fontId="0" fillId="6" borderId="0" xfId="0" quotePrefix="1" applyFill="1" applyAlignment="1">
      <alignment horizontal="left" vertical="top" wrapText="1"/>
    </xf>
    <xf numFmtId="0" fontId="0" fillId="6" borderId="5" xfId="0" quotePrefix="1" applyFill="1" applyBorder="1" applyAlignment="1">
      <alignment horizontal="left" vertical="top" wrapText="1"/>
    </xf>
    <xf numFmtId="0" fontId="46" fillId="2" borderId="1" xfId="0" applyFont="1" applyFill="1" applyBorder="1" applyAlignment="1">
      <alignment horizontal="center" vertical="top" wrapText="1"/>
    </xf>
    <xf numFmtId="0" fontId="45" fillId="2" borderId="2" xfId="0" applyFont="1" applyFill="1" applyBorder="1" applyAlignment="1">
      <alignment horizontal="center" vertical="top" wrapText="1"/>
    </xf>
    <xf numFmtId="0" fontId="45" fillId="2" borderId="79" xfId="0" applyFont="1" applyFill="1" applyBorder="1" applyAlignment="1">
      <alignment horizontal="center" vertical="top" wrapText="1"/>
    </xf>
    <xf numFmtId="0" fontId="45" fillId="2" borderId="64" xfId="0" applyFont="1" applyFill="1" applyBorder="1" applyAlignment="1">
      <alignment horizontal="center" vertical="top" wrapText="1"/>
    </xf>
    <xf numFmtId="0" fontId="14" fillId="5" borderId="143" xfId="0" applyFont="1" applyFill="1" applyBorder="1" applyAlignment="1">
      <alignment horizontal="left" vertical="center" wrapText="1"/>
    </xf>
    <xf numFmtId="0" fontId="14" fillId="5" borderId="79" xfId="0" applyFont="1" applyFill="1" applyBorder="1" applyAlignment="1">
      <alignment horizontal="left" vertical="center" wrapText="1"/>
    </xf>
    <xf numFmtId="0" fontId="14" fillId="5" borderId="64" xfId="0" applyFont="1" applyFill="1" applyBorder="1" applyAlignment="1">
      <alignment horizontal="left" vertical="center" wrapText="1"/>
    </xf>
    <xf numFmtId="0" fontId="45" fillId="2" borderId="0" xfId="0" applyFont="1" applyFill="1" applyBorder="1" applyAlignment="1">
      <alignment horizontal="right" vertical="center" wrapText="1"/>
    </xf>
    <xf numFmtId="0" fontId="13" fillId="6" borderId="0" xfId="0" applyFont="1" applyFill="1" applyBorder="1" applyAlignment="1">
      <alignment horizontal="left" vertical="top" wrapText="1"/>
    </xf>
    <xf numFmtId="0" fontId="13" fillId="4" borderId="4" xfId="0" applyFont="1" applyFill="1" applyBorder="1" applyAlignment="1">
      <alignment horizontal="left" vertical="top" wrapText="1"/>
    </xf>
    <xf numFmtId="0" fontId="3" fillId="6" borderId="0" xfId="0" applyFont="1" applyFill="1" applyBorder="1" applyAlignment="1">
      <alignment horizontal="left" vertical="top" wrapText="1"/>
    </xf>
    <xf numFmtId="0" fontId="42" fillId="2" borderId="95" xfId="0" applyFont="1" applyFill="1" applyBorder="1" applyAlignment="1">
      <alignment horizontal="left" vertical="top" wrapText="1"/>
    </xf>
    <xf numFmtId="0" fontId="42" fillId="2" borderId="96" xfId="0" applyFont="1" applyFill="1" applyBorder="1" applyAlignment="1">
      <alignment horizontal="left" vertical="top" wrapText="1"/>
    </xf>
    <xf numFmtId="0" fontId="0" fillId="6" borderId="0" xfId="0" applyFill="1" applyBorder="1" applyAlignment="1">
      <alignment horizontal="left" vertical="top" wrapText="1"/>
    </xf>
    <xf numFmtId="0" fontId="0" fillId="6" borderId="5" xfId="0" applyFill="1" applyBorder="1" applyAlignment="1">
      <alignment horizontal="left" vertical="top" wrapText="1"/>
    </xf>
    <xf numFmtId="0" fontId="0" fillId="6" borderId="0" xfId="0" quotePrefix="1" applyFill="1" applyBorder="1" applyAlignment="1">
      <alignment horizontal="left" vertical="top" wrapText="1"/>
    </xf>
    <xf numFmtId="0" fontId="37" fillId="6" borderId="0" xfId="0" applyFont="1" applyFill="1" applyBorder="1" applyAlignment="1">
      <alignment horizontal="left" vertical="top" wrapText="1"/>
    </xf>
    <xf numFmtId="0" fontId="37" fillId="6" borderId="5" xfId="0" applyFont="1" applyFill="1" applyBorder="1" applyAlignment="1">
      <alignment horizontal="left" vertical="top" wrapText="1"/>
    </xf>
    <xf numFmtId="0" fontId="13" fillId="0" borderId="0" xfId="0" applyFont="1" applyFill="1" applyBorder="1" applyAlignment="1">
      <alignment horizontal="left" vertical="center" wrapText="1"/>
    </xf>
    <xf numFmtId="0" fontId="13" fillId="6" borderId="0" xfId="0" quotePrefix="1" applyFont="1" applyFill="1" applyBorder="1" applyAlignment="1">
      <alignment horizontal="left" vertical="top" wrapText="1"/>
    </xf>
    <xf numFmtId="0" fontId="0" fillId="6" borderId="155" xfId="0" applyFill="1" applyBorder="1" applyAlignment="1">
      <alignment horizontal="left" vertical="top" wrapText="1"/>
    </xf>
    <xf numFmtId="0" fontId="0" fillId="6" borderId="156" xfId="0" applyFill="1" applyBorder="1" applyAlignment="1">
      <alignment horizontal="left" vertical="top" wrapText="1"/>
    </xf>
    <xf numFmtId="0" fontId="13" fillId="6" borderId="44" xfId="0" applyFont="1" applyFill="1" applyBorder="1" applyAlignment="1" applyProtection="1">
      <alignment wrapText="1"/>
      <protection locked="0"/>
    </xf>
    <xf numFmtId="0" fontId="0" fillId="0" borderId="0" xfId="0" applyBorder="1" applyAlignment="1"/>
    <xf numFmtId="0" fontId="0" fillId="0" borderId="5" xfId="0" applyBorder="1" applyAlignment="1"/>
    <xf numFmtId="0" fontId="13" fillId="6" borderId="157" xfId="0" applyFont="1" applyFill="1" applyBorder="1" applyAlignment="1" applyProtection="1">
      <alignment wrapText="1"/>
      <protection locked="0"/>
    </xf>
    <xf numFmtId="0" fontId="0" fillId="0" borderId="59" xfId="0" applyBorder="1" applyAlignment="1"/>
    <xf numFmtId="0" fontId="0" fillId="0" borderId="87" xfId="0" applyBorder="1" applyAlignment="1"/>
    <xf numFmtId="0" fontId="12" fillId="2" borderId="59" xfId="0" applyFont="1" applyFill="1" applyBorder="1" applyAlignment="1" applyProtection="1">
      <alignment horizontal="center" wrapText="1"/>
      <protection locked="0"/>
    </xf>
    <xf numFmtId="0" fontId="0" fillId="0" borderId="0" xfId="0" applyAlignment="1">
      <alignment horizontal="left" wrapText="1"/>
    </xf>
    <xf numFmtId="0" fontId="13" fillId="6" borderId="149" xfId="0" applyFont="1" applyFill="1" applyBorder="1" applyAlignment="1" applyProtection="1">
      <alignment wrapText="1"/>
      <protection locked="0"/>
    </xf>
    <xf numFmtId="0" fontId="0" fillId="0" borderId="149" xfId="0" applyBorder="1" applyAlignment="1"/>
    <xf numFmtId="0" fontId="0" fillId="0" borderId="153" xfId="0" applyBorder="1" applyAlignment="1"/>
    <xf numFmtId="0" fontId="13" fillId="6" borderId="158" xfId="0" applyFont="1" applyFill="1" applyBorder="1" applyAlignment="1" applyProtection="1">
      <alignment wrapText="1"/>
      <protection locked="0"/>
    </xf>
    <xf numFmtId="0" fontId="0" fillId="0" borderId="2" xfId="0" applyBorder="1" applyAlignment="1"/>
    <xf numFmtId="0" fontId="0" fillId="0" borderId="3" xfId="0" applyBorder="1" applyAlignment="1"/>
    <xf numFmtId="2" fontId="6" fillId="2" borderId="4" xfId="5" applyNumberFormat="1" applyFill="1" applyBorder="1" applyAlignment="1" applyProtection="1">
      <alignment horizontal="left" vertical="top" wrapText="1"/>
      <protection locked="0"/>
    </xf>
    <xf numFmtId="2" fontId="6" fillId="2" borderId="0" xfId="5" applyNumberFormat="1" applyFill="1" applyBorder="1" applyAlignment="1" applyProtection="1">
      <alignment horizontal="left" vertical="top" wrapText="1"/>
      <protection locked="0"/>
    </xf>
    <xf numFmtId="0" fontId="13" fillId="2" borderId="0" xfId="0" applyFont="1" applyFill="1" applyBorder="1" applyAlignment="1" applyProtection="1">
      <alignment horizontal="left" vertical="top" wrapText="1"/>
      <protection locked="0"/>
    </xf>
    <xf numFmtId="2" fontId="13" fillId="2" borderId="0" xfId="0" applyNumberFormat="1" applyFont="1" applyFill="1" applyBorder="1" applyAlignment="1" applyProtection="1">
      <alignment horizontal="left" vertical="top" wrapText="1"/>
      <protection locked="0"/>
    </xf>
    <xf numFmtId="2" fontId="6" fillId="0" borderId="4" xfId="5" applyNumberFormat="1" applyFill="1" applyBorder="1" applyAlignment="1" applyProtection="1">
      <alignment horizontal="left" vertical="top" wrapText="1"/>
      <protection locked="0"/>
    </xf>
    <xf numFmtId="2" fontId="13" fillId="0" borderId="0" xfId="0" applyNumberFormat="1" applyFont="1" applyFill="1" applyBorder="1" applyAlignment="1" applyProtection="1">
      <alignment horizontal="left" vertical="top" wrapText="1"/>
      <protection locked="0"/>
    </xf>
    <xf numFmtId="0" fontId="16" fillId="23" borderId="63" xfId="0" applyFont="1" applyFill="1" applyBorder="1" applyAlignment="1">
      <alignment horizontal="left" vertical="top" wrapText="1"/>
    </xf>
    <xf numFmtId="0" fontId="16" fillId="23" borderId="98" xfId="0" applyFont="1" applyFill="1" applyBorder="1" applyAlignment="1">
      <alignment horizontal="left" vertical="top" wrapText="1"/>
    </xf>
    <xf numFmtId="0" fontId="3" fillId="6" borderId="55" xfId="0" applyFont="1" applyFill="1" applyBorder="1" applyAlignment="1">
      <alignment horizontal="left" vertical="top" wrapText="1"/>
    </xf>
    <xf numFmtId="0" fontId="0" fillId="6" borderId="108" xfId="0" applyFill="1" applyBorder="1" applyAlignment="1">
      <alignment horizontal="left" vertical="top" wrapText="1"/>
    </xf>
    <xf numFmtId="0" fontId="3" fillId="6" borderId="108" xfId="0" applyFont="1" applyFill="1" applyBorder="1" applyAlignment="1">
      <alignment horizontal="left" vertical="top" wrapText="1"/>
    </xf>
    <xf numFmtId="0" fontId="7" fillId="22" borderId="127" xfId="0" applyFont="1" applyFill="1" applyBorder="1" applyAlignment="1">
      <alignment horizontal="left" vertical="top" wrapText="1"/>
    </xf>
    <xf numFmtId="0" fontId="7" fillId="22" borderId="113" xfId="0" applyFont="1" applyFill="1" applyBorder="1" applyAlignment="1">
      <alignment horizontal="left" vertical="top" wrapText="1"/>
    </xf>
    <xf numFmtId="0" fontId="7" fillId="22" borderId="128" xfId="0" applyFont="1" applyFill="1" applyBorder="1" applyAlignment="1">
      <alignment horizontal="left" vertical="top" wrapText="1"/>
    </xf>
    <xf numFmtId="0" fontId="3" fillId="6" borderId="172" xfId="0" applyFont="1" applyFill="1" applyBorder="1" applyAlignment="1">
      <alignment horizontal="left" vertical="top" wrapText="1"/>
    </xf>
    <xf numFmtId="0" fontId="3" fillId="6" borderId="132" xfId="0" applyFont="1" applyFill="1" applyBorder="1" applyAlignment="1">
      <alignment horizontal="left" vertical="top" wrapText="1"/>
    </xf>
    <xf numFmtId="0" fontId="3" fillId="6" borderId="8" xfId="0" applyFont="1" applyFill="1" applyBorder="1" applyAlignment="1">
      <alignment horizontal="left" vertical="top" wrapText="1"/>
    </xf>
    <xf numFmtId="0" fontId="0" fillId="6" borderId="19" xfId="0" applyFill="1" applyBorder="1" applyAlignment="1">
      <alignment horizontal="left" vertical="top" wrapText="1"/>
    </xf>
    <xf numFmtId="0" fontId="16" fillId="23" borderId="63" xfId="0" applyFont="1" applyFill="1" applyBorder="1" applyAlignment="1">
      <alignment horizontal="left" vertical="top"/>
    </xf>
    <xf numFmtId="0" fontId="16" fillId="23" borderId="98" xfId="0" applyFont="1" applyFill="1" applyBorder="1" applyAlignment="1">
      <alignment horizontal="left" vertical="top"/>
    </xf>
    <xf numFmtId="0" fontId="7" fillId="21" borderId="63" xfId="0" applyFont="1" applyFill="1" applyBorder="1" applyAlignment="1">
      <alignment horizontal="left" vertical="top" wrapText="1"/>
    </xf>
    <xf numFmtId="0" fontId="7" fillId="21" borderId="98" xfId="0" applyFont="1" applyFill="1" applyBorder="1" applyAlignment="1">
      <alignment horizontal="left" vertical="top" wrapText="1"/>
    </xf>
    <xf numFmtId="0" fontId="16" fillId="21" borderId="63" xfId="0" applyFont="1" applyFill="1" applyBorder="1" applyAlignment="1">
      <alignment horizontal="left" vertical="top" wrapText="1"/>
    </xf>
    <xf numFmtId="0" fontId="16" fillId="21" borderId="98" xfId="0" applyFont="1" applyFill="1" applyBorder="1" applyAlignment="1">
      <alignment horizontal="left" vertical="top" wrapText="1"/>
    </xf>
    <xf numFmtId="0" fontId="16" fillId="0" borderId="0" xfId="0" applyFont="1" applyAlignment="1">
      <alignment horizontal="left" vertical="top" wrapText="1"/>
    </xf>
    <xf numFmtId="0" fontId="3" fillId="0" borderId="0" xfId="0" applyFont="1" applyAlignment="1">
      <alignment horizontal="left" vertical="top" wrapText="1"/>
    </xf>
    <xf numFmtId="0" fontId="0" fillId="0" borderId="0" xfId="0" applyAlignment="1">
      <alignment horizontal="left" vertical="top" wrapText="1"/>
    </xf>
    <xf numFmtId="0" fontId="0" fillId="0" borderId="120" xfId="0" applyBorder="1" applyAlignment="1">
      <alignment horizontal="left" vertical="top" wrapText="1"/>
    </xf>
    <xf numFmtId="0" fontId="0" fillId="0" borderId="111" xfId="0" applyBorder="1" applyAlignment="1">
      <alignment horizontal="left" vertical="top" wrapText="1"/>
    </xf>
    <xf numFmtId="0" fontId="40" fillId="21" borderId="40" xfId="0" applyFont="1" applyFill="1" applyBorder="1" applyAlignment="1">
      <alignment horizontal="left" vertical="top" wrapText="1"/>
    </xf>
    <xf numFmtId="0" fontId="40" fillId="21" borderId="106" xfId="0" applyFont="1" applyFill="1" applyBorder="1" applyAlignment="1">
      <alignment horizontal="left" vertical="top" wrapText="1"/>
    </xf>
    <xf numFmtId="0" fontId="0" fillId="21" borderId="107" xfId="0" applyFill="1" applyBorder="1" applyAlignment="1">
      <alignment vertical="top" wrapText="1"/>
    </xf>
    <xf numFmtId="0" fontId="0" fillId="0" borderId="98" xfId="0" applyBorder="1" applyAlignment="1">
      <alignment horizontal="left" vertical="top" wrapText="1"/>
    </xf>
    <xf numFmtId="0" fontId="0" fillId="0" borderId="108" xfId="0" applyBorder="1" applyAlignment="1">
      <alignment horizontal="left" vertical="top" wrapText="1"/>
    </xf>
    <xf numFmtId="0" fontId="0" fillId="0" borderId="129" xfId="0" applyBorder="1" applyAlignment="1">
      <alignment horizontal="left" vertical="top" wrapText="1"/>
    </xf>
    <xf numFmtId="0" fontId="0" fillId="0" borderId="130" xfId="0" applyBorder="1" applyAlignment="1">
      <alignment horizontal="left" vertical="top" wrapText="1"/>
    </xf>
    <xf numFmtId="0" fontId="7" fillId="23" borderId="63" xfId="0" applyFont="1" applyFill="1" applyBorder="1" applyAlignment="1">
      <alignment horizontal="left" vertical="top" wrapText="1"/>
    </xf>
    <xf numFmtId="0" fontId="7" fillId="23" borderId="98" xfId="0" applyFont="1" applyFill="1" applyBorder="1" applyAlignment="1">
      <alignment horizontal="left" vertical="top" wrapText="1"/>
    </xf>
    <xf numFmtId="0" fontId="7" fillId="21" borderId="67" xfId="0" applyFont="1" applyFill="1" applyBorder="1" applyAlignment="1">
      <alignment horizontal="left" vertical="top" wrapText="1"/>
    </xf>
    <xf numFmtId="0" fontId="7" fillId="21" borderId="90" xfId="0" applyFont="1" applyFill="1" applyBorder="1" applyAlignment="1">
      <alignment horizontal="left" vertical="top" wrapText="1"/>
    </xf>
    <xf numFmtId="0" fontId="16" fillId="23" borderId="127" xfId="0" applyFont="1" applyFill="1" applyBorder="1" applyAlignment="1">
      <alignment horizontal="left" vertical="top" wrapText="1"/>
    </xf>
    <xf numFmtId="0" fontId="16" fillId="23" borderId="113" xfId="0" applyFont="1" applyFill="1" applyBorder="1" applyAlignment="1">
      <alignment horizontal="left" vertical="top" wrapText="1"/>
    </xf>
    <xf numFmtId="0" fontId="3" fillId="6" borderId="61" xfId="0" applyFont="1" applyFill="1" applyBorder="1" applyAlignment="1">
      <alignment horizontal="left" vertical="top" wrapText="1"/>
    </xf>
    <xf numFmtId="0" fontId="3" fillId="6" borderId="111" xfId="0" applyFont="1" applyFill="1" applyBorder="1" applyAlignment="1">
      <alignment horizontal="left" vertical="top" wrapText="1"/>
    </xf>
    <xf numFmtId="0" fontId="16" fillId="23" borderId="174" xfId="0" applyFont="1" applyFill="1" applyBorder="1" applyAlignment="1">
      <alignment horizontal="left" vertical="top" wrapText="1"/>
    </xf>
    <xf numFmtId="0" fontId="16" fillId="23" borderId="175" xfId="0" applyFont="1" applyFill="1" applyBorder="1" applyAlignment="1">
      <alignment horizontal="left" vertical="top" wrapText="1"/>
    </xf>
    <xf numFmtId="0" fontId="3" fillId="6" borderId="136" xfId="0" applyFont="1" applyFill="1" applyBorder="1" applyAlignment="1">
      <alignment horizontal="left" vertical="top" wrapText="1"/>
    </xf>
    <xf numFmtId="0" fontId="0" fillId="6" borderId="134" xfId="0" applyFill="1" applyBorder="1" applyAlignment="1">
      <alignment horizontal="left" vertical="top" wrapText="1"/>
    </xf>
    <xf numFmtId="0" fontId="0" fillId="6" borderId="136" xfId="0" applyFill="1" applyBorder="1" applyAlignment="1">
      <alignment horizontal="left" vertical="top" wrapText="1"/>
    </xf>
    <xf numFmtId="0" fontId="0" fillId="0" borderId="134" xfId="0" applyBorder="1" applyAlignment="1">
      <alignment horizontal="left" vertical="top" wrapText="1"/>
    </xf>
    <xf numFmtId="173" fontId="19" fillId="2" borderId="40" xfId="16" applyFont="1" applyFill="1" applyBorder="1" applyAlignment="1" applyProtection="1">
      <alignment horizontal="left"/>
    </xf>
    <xf numFmtId="173" fontId="19" fillId="2" borderId="106" xfId="16" applyFont="1" applyFill="1" applyBorder="1" applyAlignment="1" applyProtection="1">
      <alignment horizontal="left"/>
    </xf>
    <xf numFmtId="173" fontId="19" fillId="2" borderId="107" xfId="16" applyFont="1" applyFill="1" applyBorder="1" applyAlignment="1" applyProtection="1">
      <alignment horizontal="left"/>
    </xf>
    <xf numFmtId="0" fontId="0" fillId="0" borderId="65" xfId="0" applyBorder="1" applyAlignment="1">
      <alignment horizontal="left" wrapText="1"/>
    </xf>
    <xf numFmtId="173" fontId="19" fillId="0" borderId="75" xfId="16" applyFont="1" applyBorder="1" applyAlignment="1" applyProtection="1">
      <alignment horizontal="left"/>
    </xf>
    <xf numFmtId="173" fontId="19" fillId="0" borderId="76" xfId="16" applyFont="1" applyBorder="1" applyAlignment="1" applyProtection="1">
      <alignment horizontal="left"/>
    </xf>
    <xf numFmtId="173" fontId="19" fillId="0" borderId="143" xfId="16" applyFont="1" applyBorder="1" applyAlignment="1" applyProtection="1">
      <alignment horizontal="left"/>
    </xf>
    <xf numFmtId="173" fontId="19" fillId="0" borderId="79" xfId="16" applyFont="1" applyBorder="1" applyAlignment="1" applyProtection="1">
      <alignment horizontal="left"/>
    </xf>
    <xf numFmtId="173" fontId="13" fillId="0" borderId="63" xfId="16" applyFont="1" applyBorder="1" applyAlignment="1" applyProtection="1">
      <alignment horizontal="left" vertical="center" wrapText="1"/>
    </xf>
    <xf numFmtId="173" fontId="13" fillId="0" borderId="98" xfId="16" applyFont="1" applyBorder="1" applyAlignment="1" applyProtection="1">
      <alignment horizontal="left" vertical="center" wrapText="1"/>
    </xf>
    <xf numFmtId="173" fontId="13" fillId="0" borderId="127" xfId="16" applyFont="1" applyBorder="1" applyAlignment="1" applyProtection="1">
      <alignment horizontal="left" vertical="center" wrapText="1"/>
    </xf>
    <xf numFmtId="173" fontId="13" fillId="0" borderId="113" xfId="16" applyFont="1" applyBorder="1" applyAlignment="1" applyProtection="1">
      <alignment horizontal="left" vertical="center" wrapText="1"/>
    </xf>
    <xf numFmtId="173" fontId="13" fillId="0" borderId="109" xfId="16" applyFont="1" applyBorder="1" applyAlignment="1" applyProtection="1">
      <alignment horizontal="left" vertical="center" wrapText="1"/>
    </xf>
    <xf numFmtId="173" fontId="13" fillId="0" borderId="120" xfId="16" applyFont="1" applyBorder="1" applyAlignment="1" applyProtection="1">
      <alignment horizontal="left" vertical="center" wrapText="1"/>
    </xf>
    <xf numFmtId="0" fontId="3" fillId="20" borderId="8" xfId="0" applyFont="1" applyFill="1" applyBorder="1" applyAlignment="1">
      <alignment horizontal="left"/>
    </xf>
    <xf numFmtId="9" fontId="0" fillId="5" borderId="8" xfId="17" applyFont="1" applyFill="1" applyBorder="1" applyAlignment="1">
      <alignment horizontal="center" vertical="top" wrapText="1"/>
    </xf>
    <xf numFmtId="173" fontId="19" fillId="0" borderId="9" xfId="16" applyFont="1" applyBorder="1" applyAlignment="1" applyProtection="1">
      <alignment wrapText="1"/>
    </xf>
    <xf numFmtId="173" fontId="19" fillId="0" borderId="168" xfId="16" applyFont="1" applyBorder="1" applyAlignment="1" applyProtection="1">
      <alignment wrapText="1"/>
    </xf>
    <xf numFmtId="173" fontId="19" fillId="21" borderId="46" xfId="16" applyFont="1" applyFill="1" applyBorder="1" applyAlignment="1" applyProtection="1">
      <alignment wrapText="1"/>
    </xf>
    <xf numFmtId="0" fontId="0" fillId="21" borderId="47" xfId="0" applyFill="1" applyBorder="1" applyAlignment="1" applyProtection="1">
      <alignment wrapText="1"/>
    </xf>
    <xf numFmtId="0" fontId="5" fillId="0" borderId="2" xfId="0" applyFont="1" applyFill="1" applyBorder="1" applyAlignment="1">
      <alignment horizontal="left" vertical="center" wrapText="1"/>
    </xf>
    <xf numFmtId="0" fontId="5" fillId="0" borderId="3" xfId="0" applyFont="1" applyFill="1" applyBorder="1" applyAlignment="1">
      <alignment horizontal="left" vertical="center" wrapText="1"/>
    </xf>
    <xf numFmtId="0" fontId="5" fillId="0" borderId="0" xfId="0" applyFont="1" applyFill="1" applyBorder="1" applyAlignment="1">
      <alignment horizontal="center"/>
    </xf>
    <xf numFmtId="0" fontId="5" fillId="0" borderId="5" xfId="0" applyFont="1" applyFill="1" applyBorder="1" applyAlignment="1">
      <alignment horizontal="center"/>
    </xf>
    <xf numFmtId="0" fontId="59" fillId="0" borderId="4" xfId="0" applyFont="1" applyFill="1" applyBorder="1" applyAlignment="1">
      <alignment horizontal="center"/>
    </xf>
    <xf numFmtId="0" fontId="59" fillId="0" borderId="0" xfId="0" applyFont="1" applyFill="1" applyBorder="1" applyAlignment="1">
      <alignment horizontal="center"/>
    </xf>
    <xf numFmtId="0" fontId="6" fillId="0" borderId="58" xfId="5" applyBorder="1" applyAlignment="1" applyProtection="1">
      <alignment horizontal="left"/>
    </xf>
    <xf numFmtId="0" fontId="6" fillId="0" borderId="59" xfId="5" applyBorder="1" applyAlignment="1" applyProtection="1">
      <alignment horizontal="left"/>
    </xf>
    <xf numFmtId="0" fontId="6" fillId="0" borderId="87" xfId="5" applyBorder="1" applyAlignment="1" applyProtection="1">
      <alignment horizontal="left"/>
    </xf>
    <xf numFmtId="0" fontId="5" fillId="3" borderId="4" xfId="0" applyFont="1" applyFill="1" applyBorder="1" applyAlignment="1">
      <alignment horizontal="center"/>
    </xf>
    <xf numFmtId="0" fontId="5" fillId="3" borderId="0" xfId="0" applyFont="1" applyFill="1" applyBorder="1" applyAlignment="1">
      <alignment horizontal="center"/>
    </xf>
    <xf numFmtId="0" fontId="5" fillId="0" borderId="0" xfId="0" applyFont="1" applyFill="1" applyBorder="1" applyAlignment="1">
      <alignment horizontal="center" vertical="center" wrapText="1"/>
    </xf>
    <xf numFmtId="0" fontId="5" fillId="0" borderId="5" xfId="0" applyFont="1" applyFill="1" applyBorder="1" applyAlignment="1">
      <alignment horizontal="center" vertical="center" wrapText="1"/>
    </xf>
    <xf numFmtId="0" fontId="59" fillId="0" borderId="4" xfId="0" applyFont="1" applyFill="1" applyBorder="1" applyAlignment="1">
      <alignment horizontal="left" wrapText="1"/>
    </xf>
    <xf numFmtId="0" fontId="59" fillId="0" borderId="0" xfId="0" applyFont="1" applyFill="1" applyBorder="1" applyAlignment="1">
      <alignment horizontal="left" wrapText="1"/>
    </xf>
    <xf numFmtId="0" fontId="59" fillId="0" borderId="5" xfId="0" applyFont="1" applyFill="1" applyBorder="1" applyAlignment="1">
      <alignment horizontal="left" wrapText="1"/>
    </xf>
    <xf numFmtId="0" fontId="59" fillId="0" borderId="4" xfId="0" applyFont="1" applyFill="1" applyBorder="1" applyAlignment="1">
      <alignment horizontal="left"/>
    </xf>
    <xf numFmtId="0" fontId="59" fillId="0" borderId="0" xfId="0" applyFont="1" applyFill="1" applyBorder="1" applyAlignment="1">
      <alignment horizontal="left"/>
    </xf>
    <xf numFmtId="0" fontId="59" fillId="0" borderId="5" xfId="0" applyFont="1" applyFill="1" applyBorder="1" applyAlignment="1">
      <alignment horizontal="left"/>
    </xf>
    <xf numFmtId="0" fontId="56" fillId="13" borderId="0" xfId="0" applyFont="1" applyFill="1" applyAlignment="1">
      <alignment horizontal="left"/>
    </xf>
    <xf numFmtId="0" fontId="57" fillId="0" borderId="0" xfId="0" applyFont="1" applyFill="1" applyBorder="1" applyAlignment="1" applyProtection="1">
      <alignment horizontal="left"/>
    </xf>
    <xf numFmtId="0" fontId="57" fillId="0" borderId="59" xfId="0" applyFont="1" applyFill="1" applyBorder="1" applyAlignment="1" applyProtection="1">
      <alignment horizontal="left"/>
    </xf>
    <xf numFmtId="0" fontId="57" fillId="3" borderId="4" xfId="0" applyFont="1" applyFill="1" applyBorder="1" applyAlignment="1">
      <alignment horizontal="left"/>
    </xf>
    <xf numFmtId="0" fontId="57" fillId="3" borderId="0" xfId="0" applyFont="1" applyFill="1" applyBorder="1" applyAlignment="1">
      <alignment horizontal="left"/>
    </xf>
    <xf numFmtId="0" fontId="57" fillId="3" borderId="5" xfId="0" applyFont="1" applyFill="1" applyBorder="1" applyAlignment="1">
      <alignment horizontal="left"/>
    </xf>
    <xf numFmtId="0" fontId="0" fillId="8" borderId="8" xfId="0" applyFill="1" applyBorder="1" applyAlignment="1">
      <alignment horizontal="center"/>
    </xf>
    <xf numFmtId="0" fontId="31" fillId="4" borderId="90" xfId="0" applyFont="1" applyFill="1" applyBorder="1" applyAlignment="1">
      <alignment wrapText="1"/>
    </xf>
    <xf numFmtId="0" fontId="0" fillId="0" borderId="90" xfId="0" applyBorder="1" applyAlignment="1">
      <alignment wrapText="1"/>
    </xf>
    <xf numFmtId="0" fontId="0" fillId="7" borderId="2" xfId="0" applyFill="1" applyBorder="1" applyAlignment="1">
      <alignment horizontal="left" vertical="top" wrapText="1"/>
    </xf>
    <xf numFmtId="0" fontId="0" fillId="7" borderId="0" xfId="0" applyNumberFormat="1" applyFill="1" applyBorder="1" applyAlignment="1">
      <alignment horizontal="left" wrapText="1"/>
    </xf>
    <xf numFmtId="0" fontId="13" fillId="0" borderId="2" xfId="0" applyFont="1" applyFill="1" applyBorder="1" applyAlignment="1">
      <alignment horizontal="left" wrapText="1"/>
    </xf>
    <xf numFmtId="0" fontId="59" fillId="0" borderId="2" xfId="0" applyFont="1" applyFill="1" applyBorder="1" applyAlignment="1">
      <alignment horizontal="left" wrapText="1"/>
    </xf>
    <xf numFmtId="0" fontId="56" fillId="13" borderId="0" xfId="0" applyFont="1" applyFill="1" applyBorder="1" applyAlignment="1">
      <alignment horizontal="left" wrapText="1"/>
    </xf>
    <xf numFmtId="0" fontId="0" fillId="0" borderId="59" xfId="0" applyBorder="1" applyAlignment="1">
      <alignment horizontal="left"/>
    </xf>
    <xf numFmtId="0" fontId="5" fillId="0" borderId="2" xfId="0" applyFont="1" applyFill="1" applyBorder="1" applyAlignment="1">
      <alignment horizontal="center"/>
    </xf>
    <xf numFmtId="0" fontId="9" fillId="0" borderId="4" xfId="0" applyFont="1" applyFill="1" applyBorder="1" applyAlignment="1">
      <alignment wrapText="1"/>
    </xf>
    <xf numFmtId="0" fontId="9" fillId="0" borderId="0" xfId="0" applyFont="1" applyFill="1" applyBorder="1" applyAlignment="1">
      <alignment wrapText="1"/>
    </xf>
    <xf numFmtId="0" fontId="9" fillId="0" borderId="5" xfId="0" applyFont="1" applyFill="1" applyBorder="1" applyAlignment="1">
      <alignment wrapText="1"/>
    </xf>
    <xf numFmtId="0" fontId="10" fillId="3" borderId="4" xfId="0" applyFont="1" applyFill="1" applyBorder="1" applyAlignment="1">
      <alignment horizontal="left" vertical="center" wrapText="1"/>
    </xf>
    <xf numFmtId="0" fontId="10" fillId="3" borderId="0" xfId="0" applyFont="1" applyFill="1" applyBorder="1" applyAlignment="1">
      <alignment horizontal="left" vertical="center" wrapText="1"/>
    </xf>
    <xf numFmtId="0" fontId="10" fillId="3" borderId="5" xfId="0" applyFont="1" applyFill="1" applyBorder="1" applyAlignment="1">
      <alignment horizontal="left" vertical="center" wrapText="1"/>
    </xf>
    <xf numFmtId="0" fontId="7" fillId="0" borderId="24" xfId="0" applyFont="1" applyBorder="1" applyAlignment="1">
      <alignment horizontal="left"/>
    </xf>
    <xf numFmtId="0" fontId="7" fillId="0" borderId="66" xfId="0" applyFont="1" applyBorder="1" applyAlignment="1">
      <alignment horizontal="left"/>
    </xf>
    <xf numFmtId="0" fontId="9" fillId="2" borderId="4" xfId="0" applyFont="1" applyFill="1" applyBorder="1" applyAlignment="1">
      <alignment horizontal="left" wrapText="1"/>
    </xf>
    <xf numFmtId="0" fontId="9" fillId="2" borderId="0" xfId="0" applyFont="1" applyFill="1" applyBorder="1" applyAlignment="1">
      <alignment horizontal="left" wrapText="1"/>
    </xf>
    <xf numFmtId="0" fontId="9" fillId="2" borderId="5" xfId="0" applyFont="1" applyFill="1" applyBorder="1" applyAlignment="1">
      <alignment horizontal="left" wrapText="1"/>
    </xf>
    <xf numFmtId="0" fontId="8" fillId="13" borderId="0" xfId="0" applyFont="1" applyFill="1" applyBorder="1" applyAlignment="1">
      <alignment wrapText="1"/>
    </xf>
    <xf numFmtId="0" fontId="0" fillId="0" borderId="0" xfId="0" applyBorder="1"/>
    <xf numFmtId="0" fontId="9" fillId="0" borderId="59" xfId="0" applyFont="1" applyFill="1" applyBorder="1" applyAlignment="1">
      <alignment horizontal="left" wrapText="1"/>
    </xf>
    <xf numFmtId="0" fontId="10" fillId="2" borderId="2" xfId="0" applyFont="1" applyFill="1" applyBorder="1" applyAlignment="1">
      <alignment horizontal="center" vertical="center" wrapText="1"/>
    </xf>
    <xf numFmtId="0" fontId="9" fillId="2" borderId="4" xfId="0" applyFont="1" applyFill="1" applyBorder="1" applyAlignment="1">
      <alignment wrapText="1"/>
    </xf>
    <xf numFmtId="0" fontId="9" fillId="2" borderId="0" xfId="0" applyFont="1" applyFill="1" applyBorder="1" applyAlignment="1">
      <alignment wrapText="1"/>
    </xf>
    <xf numFmtId="0" fontId="9" fillId="2" borderId="5" xfId="0" applyFont="1" applyFill="1" applyBorder="1" applyAlignment="1">
      <alignment wrapText="1"/>
    </xf>
    <xf numFmtId="0" fontId="3" fillId="0" borderId="126" xfId="0" applyFont="1" applyBorder="1" applyAlignment="1">
      <alignment horizontal="left" vertical="top" wrapText="1"/>
    </xf>
    <xf numFmtId="0" fontId="0" fillId="0" borderId="154" xfId="0" applyBorder="1" applyAlignment="1">
      <alignment horizontal="left" vertical="top" wrapText="1"/>
    </xf>
    <xf numFmtId="0" fontId="5" fillId="0" borderId="2" xfId="0" applyFont="1" applyBorder="1" applyAlignment="1">
      <alignment horizontal="center" vertical="center" wrapText="1"/>
    </xf>
    <xf numFmtId="0" fontId="5" fillId="0" borderId="1" xfId="0" applyFont="1" applyBorder="1" applyAlignment="1">
      <alignment horizontal="center" vertical="center" wrapText="1"/>
    </xf>
    <xf numFmtId="0" fontId="5" fillId="0" borderId="3" xfId="0" applyFont="1" applyBorder="1" applyAlignment="1">
      <alignment horizontal="center" vertical="center" wrapText="1"/>
    </xf>
    <xf numFmtId="0" fontId="48" fillId="2" borderId="58" xfId="5" applyFont="1" applyFill="1" applyBorder="1" applyAlignment="1" applyProtection="1">
      <alignment horizontal="left" wrapText="1"/>
    </xf>
    <xf numFmtId="0" fontId="48" fillId="2" borderId="59" xfId="5" applyFont="1" applyFill="1" applyBorder="1" applyAlignment="1" applyProtection="1">
      <alignment horizontal="left" wrapText="1"/>
    </xf>
    <xf numFmtId="0" fontId="48" fillId="2" borderId="87" xfId="5" applyFont="1" applyFill="1" applyBorder="1" applyAlignment="1" applyProtection="1">
      <alignment horizontal="left" wrapText="1"/>
    </xf>
    <xf numFmtId="0" fontId="7" fillId="0" borderId="24" xfId="0" applyFont="1" applyBorder="1" applyAlignment="1">
      <alignment horizontal="left" wrapText="1"/>
    </xf>
    <xf numFmtId="0" fontId="7" fillId="0" borderId="66" xfId="0" applyFont="1" applyBorder="1" applyAlignment="1">
      <alignment horizontal="left" wrapText="1"/>
    </xf>
    <xf numFmtId="173" fontId="19" fillId="0" borderId="12" xfId="16" applyFont="1" applyBorder="1" applyAlignment="1" applyProtection="1"/>
    <xf numFmtId="0" fontId="0" fillId="0" borderId="12" xfId="0" applyBorder="1" applyAlignment="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19" fillId="3" borderId="13" xfId="0" applyFont="1" applyFill="1" applyBorder="1" applyAlignment="1" applyProtection="1">
      <alignment wrapText="1"/>
    </xf>
    <xf numFmtId="0" fontId="20" fillId="3" borderId="16" xfId="0" applyFont="1" applyFill="1" applyBorder="1" applyAlignment="1" applyProtection="1">
      <alignment wrapText="1"/>
    </xf>
    <xf numFmtId="0" fontId="15" fillId="0" borderId="13" xfId="0" applyFont="1" applyBorder="1" applyAlignment="1" applyProtection="1">
      <alignment horizontal="left"/>
      <protection locked="0"/>
    </xf>
    <xf numFmtId="0" fontId="0" fillId="0" borderId="15" xfId="0" applyBorder="1" applyAlignment="1" applyProtection="1">
      <protection locked="0"/>
    </xf>
    <xf numFmtId="0" fontId="0" fillId="0" borderId="16" xfId="0" applyBorder="1" applyAlignment="1" applyProtection="1">
      <protection locked="0"/>
    </xf>
  </cellXfs>
  <cellStyles count="23">
    <cellStyle name="Comma" xfId="1" builtinId="3"/>
    <cellStyle name="Comma 2" xfId="2" xr:uid="{00000000-0005-0000-0000-000001000000}"/>
    <cellStyle name="Comma 3" xfId="22" xr:uid="{00000000-0005-0000-0000-000002000000}"/>
    <cellStyle name="Currency" xfId="3" builtinId="4"/>
    <cellStyle name="Currency 2" xfId="4" xr:uid="{00000000-0005-0000-0000-000004000000}"/>
    <cellStyle name="Hyperlink" xfId="5" builtinId="8"/>
    <cellStyle name="Hyperlink 2" xfId="6" xr:uid="{00000000-0005-0000-0000-000006000000}"/>
    <cellStyle name="Normal" xfId="0" builtinId="0"/>
    <cellStyle name="Normal 2" xfId="20" xr:uid="{00000000-0005-0000-0000-000008000000}"/>
    <cellStyle name="Normal 2 19" xfId="7" xr:uid="{00000000-0005-0000-0000-000009000000}"/>
    <cellStyle name="Normal 23" xfId="8" xr:uid="{00000000-0005-0000-0000-00000A000000}"/>
    <cellStyle name="Normal 23 3" xfId="9" xr:uid="{00000000-0005-0000-0000-00000B000000}"/>
    <cellStyle name="Normal 24" xfId="10" xr:uid="{00000000-0005-0000-0000-00000C000000}"/>
    <cellStyle name="Normal 26" xfId="11" xr:uid="{00000000-0005-0000-0000-00000D000000}"/>
    <cellStyle name="Normal 3" xfId="21" xr:uid="{00000000-0005-0000-0000-00000E000000}"/>
    <cellStyle name="Normal 33" xfId="12" xr:uid="{00000000-0005-0000-0000-00000F000000}"/>
    <cellStyle name="Normal 33 2" xfId="13" xr:uid="{00000000-0005-0000-0000-000010000000}"/>
    <cellStyle name="Normal 34" xfId="14" xr:uid="{00000000-0005-0000-0000-000011000000}"/>
    <cellStyle name="Normal 34 2" xfId="15" xr:uid="{00000000-0005-0000-0000-000012000000}"/>
    <cellStyle name="Normal_DCFROR for large plant" xfId="16" xr:uid="{00000000-0005-0000-0000-000013000000}"/>
    <cellStyle name="Percent" xfId="17" builtinId="5"/>
    <cellStyle name="Percent 2" xfId="18" xr:uid="{00000000-0005-0000-0000-000015000000}"/>
    <cellStyle name="Percent 3" xfId="19" xr:uid="{00000000-0005-0000-0000-000016000000}"/>
  </cellStyles>
  <dxfs count="3">
    <dxf>
      <font>
        <strike val="0"/>
        <condense val="0"/>
        <extend val="0"/>
        <color indexed="22"/>
      </font>
    </dxf>
    <dxf>
      <font>
        <b/>
        <i val="0"/>
        <strike val="0"/>
        <condense val="0"/>
        <extend val="0"/>
        <color auto="1"/>
      </font>
    </dxf>
    <dxf>
      <font>
        <b/>
        <i val="0"/>
        <color rgb="FFFFFF00"/>
      </font>
      <fill>
        <patternFill>
          <bgColor rgb="FFFF0000"/>
        </patternFill>
      </fill>
    </dxf>
  </dxfs>
  <tableStyles count="0" defaultTableStyle="TableStyleMedium9" defaultPivotStyle="PivotStyleLight16"/>
  <colors>
    <mruColors>
      <color rgb="FFFFFFCC"/>
      <color rgb="FFFFCC99"/>
      <color rgb="FF97B757"/>
      <color rgb="FFB54E4B"/>
      <color rgb="FFF5FFE6"/>
      <color rgb="FFE4FDC2"/>
      <color rgb="FFDAFDA7"/>
      <color rgb="FFFFA2A1"/>
      <color rgb="FFFFBEBD"/>
      <color rgb="FFFFE5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xmlns:c16="http://schemas.microsoft.com/office/drawing/2014/char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AFA-458C-B8E5-ABC7134934EC}"/>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xmlns:c16="http://schemas.microsoft.com/office/drawing/2014/char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AFA-458C-B8E5-ABC7134934EC}"/>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xmlns:c16="http://schemas.microsoft.com/office/drawing/2014/char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AFA-458C-B8E5-ABC7134934EC}"/>
            </c:ext>
          </c:extLst>
        </c:ser>
        <c:dLbls>
          <c:showLegendKey val="0"/>
          <c:showVal val="0"/>
          <c:showCatName val="0"/>
          <c:showSerName val="0"/>
          <c:showPercent val="0"/>
          <c:showBubbleSize val="0"/>
        </c:dLbls>
        <c:gapWidth val="150"/>
        <c:overlap val="100"/>
        <c:axId val="590988368"/>
        <c:axId val="590987584"/>
      </c:barChart>
      <c:catAx>
        <c:axId val="590988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590987584"/>
        <c:crosses val="autoZero"/>
        <c:auto val="1"/>
        <c:lblAlgn val="ctr"/>
        <c:lblOffset val="100"/>
        <c:tickLblSkip val="1"/>
        <c:tickMarkSkip val="1"/>
        <c:noMultiLvlLbl val="0"/>
      </c:catAx>
      <c:valAx>
        <c:axId val="590987584"/>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59098836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xmlns:c16="http://schemas.microsoft.com/office/drawing/2014/char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C6B9-4F9C-BAE3-F7AAC4D071FA}"/>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xmlns:c16="http://schemas.microsoft.com/office/drawing/2014/char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C6B9-4F9C-BAE3-F7AAC4D071FA}"/>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xmlns:c16="http://schemas.microsoft.com/office/drawing/2014/char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C6B9-4F9C-BAE3-F7AAC4D071FA}"/>
            </c:ext>
          </c:extLst>
        </c:ser>
        <c:dLbls>
          <c:showLegendKey val="0"/>
          <c:showVal val="0"/>
          <c:showCatName val="0"/>
          <c:showSerName val="0"/>
          <c:showPercent val="0"/>
          <c:showBubbleSize val="0"/>
        </c:dLbls>
        <c:gapWidth val="150"/>
        <c:overlap val="100"/>
        <c:axId val="517340000"/>
        <c:axId val="517340392"/>
      </c:barChart>
      <c:catAx>
        <c:axId val="5173400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517340392"/>
        <c:crosses val="autoZero"/>
        <c:auto val="1"/>
        <c:lblAlgn val="ctr"/>
        <c:lblOffset val="100"/>
        <c:tickLblSkip val="1"/>
        <c:tickMarkSkip val="1"/>
        <c:noMultiLvlLbl val="0"/>
      </c:catAx>
      <c:valAx>
        <c:axId val="517340392"/>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517340000"/>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xmlns:c16="http://schemas.microsoft.com/office/drawing/2014/char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636C-421C-A164-D787DAEF9993}"/>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xmlns:c16="http://schemas.microsoft.com/office/drawing/2014/char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636C-421C-A164-D787DAEF9993}"/>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xmlns:c16="http://schemas.microsoft.com/office/drawing/2014/char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636C-421C-A164-D787DAEF9993}"/>
            </c:ext>
          </c:extLst>
        </c:ser>
        <c:dLbls>
          <c:showLegendKey val="0"/>
          <c:showVal val="0"/>
          <c:showCatName val="0"/>
          <c:showSerName val="0"/>
          <c:showPercent val="0"/>
          <c:showBubbleSize val="0"/>
        </c:dLbls>
        <c:gapWidth val="150"/>
        <c:overlap val="100"/>
        <c:axId val="517341176"/>
        <c:axId val="245033992"/>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xmlns:c16="http://schemas.microsoft.com/office/drawing/2014/char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636C-421C-A164-D787DAEF9993}"/>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xmlns:c16="http://schemas.microsoft.com/office/drawing/2014/char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636C-421C-A164-D787DAEF9993}"/>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xmlns:c16="http://schemas.microsoft.com/office/drawing/2014/char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636C-421C-A164-D787DAEF9993}"/>
            </c:ext>
          </c:extLst>
        </c:ser>
        <c:dLbls>
          <c:showLegendKey val="0"/>
          <c:showVal val="0"/>
          <c:showCatName val="0"/>
          <c:showSerName val="0"/>
          <c:showPercent val="0"/>
          <c:showBubbleSize val="0"/>
        </c:dLbls>
        <c:gapWidth val="150"/>
        <c:overlap val="100"/>
        <c:axId val="245034384"/>
        <c:axId val="245034776"/>
      </c:barChart>
      <c:catAx>
        <c:axId val="5173411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5033992"/>
        <c:crosses val="autoZero"/>
        <c:auto val="1"/>
        <c:lblAlgn val="ctr"/>
        <c:lblOffset val="100"/>
        <c:tickLblSkip val="1"/>
        <c:tickMarkSkip val="1"/>
        <c:noMultiLvlLbl val="0"/>
      </c:catAx>
      <c:valAx>
        <c:axId val="245033992"/>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517341176"/>
        <c:crosses val="autoZero"/>
        <c:crossBetween val="between"/>
      </c:valAx>
      <c:catAx>
        <c:axId val="245034384"/>
        <c:scaling>
          <c:orientation val="minMax"/>
        </c:scaling>
        <c:delete val="1"/>
        <c:axPos val="b"/>
        <c:majorTickMark val="out"/>
        <c:minorTickMark val="none"/>
        <c:tickLblPos val="nextTo"/>
        <c:crossAx val="245034776"/>
        <c:crossesAt val="0"/>
        <c:auto val="1"/>
        <c:lblAlgn val="ctr"/>
        <c:lblOffset val="100"/>
        <c:noMultiLvlLbl val="0"/>
      </c:catAx>
      <c:valAx>
        <c:axId val="245034776"/>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5034384"/>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clustered"/>
        <c:varyColors val="0"/>
        <c:ser>
          <c:idx val="0"/>
          <c:order val="0"/>
          <c:tx>
            <c:strRef>
              <c:f>'Tornado Charts &amp; Risk Analysis'!$I$154</c:f>
              <c:strCache>
                <c:ptCount val="1"/>
                <c:pt idx="0">
                  <c:v>Sorted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accent3">
                    <a:lumMod val="50000"/>
                  </a:schemeClr>
                </a:solidFill>
                <a:round/>
              </a:ln>
              <a:effectLst/>
            </c:spPr>
            <c:extLst>
              <c:ext xmlns:c16="http://schemas.microsoft.com/office/drawing/2014/chart" uri="{C3380CC4-5D6E-409C-BE32-E72D297353CC}">
                <c16:uniqueId val="{00000001-719D-44D2-BA2B-89782D674259}"/>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3-719D-44D2-BA2B-89782D674259}"/>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5-719D-44D2-BA2B-89782D674259}"/>
              </c:ext>
            </c:extLst>
          </c:dPt>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'Tornado Charts &amp; Risk Analysis'!$H$155:$H$170</c:f>
              <c:strCache>
                <c:ptCount val="16"/>
                <c:pt idx="0">
                  <c:v>Cost of Hydrogen</c:v>
                </c:pt>
                <c:pt idx="1">
                  <c:v>Salvage Value</c:v>
                </c:pt>
                <c:pt idx="2">
                  <c:v>Byproduct Sales</c:v>
                </c:pt>
                <c:pt idx="4">
                  <c:v>Feedstock Cost</c:v>
                </c:pt>
                <c:pt idx="5">
                  <c:v>Fixed Operating Cost</c:v>
                </c:pt>
                <c:pt idx="6">
                  <c:v>Initial Equity Depreciable Capital</c:v>
                </c:pt>
                <c:pt idx="7">
                  <c:v>Other Variable Operating Costs</c:v>
                </c:pt>
                <c:pt idx="8">
                  <c:v>Debt Interest</c:v>
                </c:pt>
                <c:pt idx="9">
                  <c:v>Yearly Replacement Costs</c:v>
                </c:pt>
                <c:pt idx="10">
                  <c:v>Taxes</c:v>
                </c:pt>
                <c:pt idx="11">
                  <c:v>Principal Payment</c:v>
                </c:pt>
                <c:pt idx="12">
                  <c:v>Cash for Working Capital Reserve</c:v>
                </c:pt>
                <c:pt idx="13">
                  <c:v>Other Raw Material Cost</c:v>
                </c:pt>
                <c:pt idx="14">
                  <c:v>Decommissioning Costs</c:v>
                </c:pt>
                <c:pt idx="15">
                  <c:v>Other Non-Depreciable Capital Costs</c:v>
                </c:pt>
              </c:strCache>
            </c:strRef>
          </c:cat>
          <c:val>
            <c:numRef>
              <c:f>'Tornado Charts &amp; Risk Analysis'!$I$155:$I$170</c:f>
              <c:numCache>
                <c:formatCode>_("$"* #,##0.00_);_("$"* \(#,##0.00\);_("$"* "-"??_);_(@_)</c:formatCode>
                <c:ptCount val="16"/>
                <c:pt idx="0">
                  <c:v>2.096272488534916</c:v>
                </c:pt>
                <c:pt idx="1">
                  <c:v>7.833954497661123E-3</c:v>
                </c:pt>
                <c:pt idx="2">
                  <c:v>0</c:v>
                </c:pt>
                <c:pt idx="4">
                  <c:v>0.48092254303115112</c:v>
                </c:pt>
                <c:pt idx="5">
                  <c:v>0.45559227155166604</c:v>
                </c:pt>
                <c:pt idx="6">
                  <c:v>0.34493720750075096</c:v>
                </c:pt>
                <c:pt idx="7">
                  <c:v>0.28680615426802791</c:v>
                </c:pt>
                <c:pt idx="8">
                  <c:v>0.21388232359907813</c:v>
                </c:pt>
                <c:pt idx="9">
                  <c:v>0.2102763660312999</c:v>
                </c:pt>
                <c:pt idx="10">
                  <c:v>5.2879312798845259E-2</c:v>
                </c:pt>
                <c:pt idx="11">
                  <c:v>2.5722026202317508E-2</c:v>
                </c:pt>
                <c:pt idx="12">
                  <c:v>1.6716247250263983E-2</c:v>
                </c:pt>
                <c:pt idx="13">
                  <c:v>8.0066254969842487E-3</c:v>
                </c:pt>
                <c:pt idx="14">
                  <c:v>7.8293879683621684E-3</c:v>
                </c:pt>
                <c:pt idx="15">
                  <c:v>5.3597733382844371E-4</c:v>
                </c:pt>
              </c:numCache>
            </c:numRef>
          </c:val>
          <c:extLst>
            <c:ext xmlns:c16="http://schemas.microsoft.com/office/drawing/2014/chart" uri="{C3380CC4-5D6E-409C-BE32-E72D297353CC}">
              <c16:uniqueId val="{00000006-719D-44D2-BA2B-89782D674259}"/>
            </c:ext>
          </c:extLst>
        </c:ser>
        <c:dLbls>
          <c:showLegendKey val="0"/>
          <c:showVal val="0"/>
          <c:showCatName val="0"/>
          <c:showSerName val="0"/>
          <c:showPercent val="0"/>
          <c:showBubbleSize val="0"/>
        </c:dLbls>
        <c:gapWidth val="15"/>
        <c:axId val="245035560"/>
        <c:axId val="834361280"/>
      </c:barChart>
      <c:catAx>
        <c:axId val="245035560"/>
        <c:scaling>
          <c:orientation val="maxMin"/>
        </c:scaling>
        <c:delete val="1"/>
        <c:axPos val="l"/>
        <c:numFmt formatCode="0.000;;" sourceLinked="0"/>
        <c:majorTickMark val="none"/>
        <c:minorTickMark val="none"/>
        <c:tickLblPos val="nextTo"/>
        <c:crossAx val="834361280"/>
        <c:crosses val="autoZero"/>
        <c:auto val="1"/>
        <c:lblAlgn val="ctr"/>
        <c:lblOffset val="100"/>
        <c:noMultiLvlLbl val="0"/>
      </c:catAx>
      <c:valAx>
        <c:axId val="834361280"/>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45035560"/>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1473718427289"/>
          <c:y val="9.391989230914588E-2"/>
          <c:w val="0.78497440944881891"/>
          <c:h val="0.31475063124231972"/>
        </c:manualLayout>
      </c:layout>
      <c:barChart>
        <c:barDir val="bar"/>
        <c:grouping val="stacked"/>
        <c:varyColors val="0"/>
        <c:ser>
          <c:idx val="0"/>
          <c:order val="0"/>
          <c:tx>
            <c:strRef>
              <c:f>'Tornado Charts &amp; Risk Analysis'!$K$155</c:f>
              <c:strCache>
                <c:ptCount val="1"/>
                <c:pt idx="0">
                  <c:v>Cost of Hydrogen</c:v>
                </c:pt>
              </c:strCache>
            </c:strRef>
          </c:tx>
          <c:spPr>
            <a:solidFill>
              <a:srgbClr val="303C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Analysis'!$L$154:$M$154</c:f>
              <c:strCache>
                <c:ptCount val="2"/>
                <c:pt idx="0">
                  <c:v>Revenues
 $/kg H2</c:v>
                </c:pt>
                <c:pt idx="1">
                  <c:v>Expenses
 $/kg H2</c:v>
                </c:pt>
              </c:strCache>
            </c:strRef>
          </c:cat>
          <c:val>
            <c:numRef>
              <c:f>'Tornado Charts &amp; Risk Analysis'!$L$155:$M$155</c:f>
              <c:numCache>
                <c:formatCode>General</c:formatCode>
                <c:ptCount val="2"/>
                <c:pt idx="0" formatCode="_(&quot;$&quot;* #,##0.00_);_(&quot;$&quot;* \(#,##0.00\);_(&quot;$&quot;* &quot;-&quot;??_);_(@_)">
                  <c:v>2.096272488534916</c:v>
                </c:pt>
              </c:numCache>
            </c:numRef>
          </c:val>
          <c:extLst>
            <c:ext xmlns:c16="http://schemas.microsoft.com/office/drawing/2014/chart" uri="{C3380CC4-5D6E-409C-BE32-E72D297353CC}">
              <c16:uniqueId val="{00000000-8F09-4F3E-8E88-9B9B44EDCDF1}"/>
            </c:ext>
          </c:extLst>
        </c:ser>
        <c:ser>
          <c:idx val="1"/>
          <c:order val="1"/>
          <c:tx>
            <c:strRef>
              <c:f>'Tornado Charts &amp; Risk Analysis'!$K$156</c:f>
              <c:strCache>
                <c:ptCount val="1"/>
                <c:pt idx="0">
                  <c:v>Salvage Value</c:v>
                </c:pt>
              </c:strCache>
            </c:strRef>
          </c:tx>
          <c:spPr>
            <a:solidFill>
              <a:srgbClr val="586D2D"/>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Analysis'!$L$156:$M$156</c:f>
              <c:numCache>
                <c:formatCode>General</c:formatCode>
                <c:ptCount val="2"/>
                <c:pt idx="0" formatCode="_(&quot;$&quot;* #,##0.00_);_(&quot;$&quot;* \(#,##0.00\);_(&quot;$&quot;* &quot;-&quot;??_);_(@_)">
                  <c:v>7.833954497661123E-3</c:v>
                </c:pt>
              </c:numCache>
            </c:numRef>
          </c:val>
          <c:extLst>
            <c:ext xmlns:c16="http://schemas.microsoft.com/office/drawing/2014/chart" uri="{C3380CC4-5D6E-409C-BE32-E72D297353CC}">
              <c16:uniqueId val="{00000001-8F09-4F3E-8E88-9B9B44EDCDF1}"/>
            </c:ext>
          </c:extLst>
        </c:ser>
        <c:ser>
          <c:idx val="2"/>
          <c:order val="2"/>
          <c:tx>
            <c:strRef>
              <c:f>'Tornado Charts &amp; Risk Analysis'!$K$157</c:f>
              <c:strCache>
                <c:ptCount val="1"/>
                <c:pt idx="0">
                  <c:v>Byproduct Sales</c:v>
                </c:pt>
              </c:strCache>
            </c:strRef>
          </c:tx>
          <c:spPr>
            <a:solidFill>
              <a:srgbClr val="A0BF6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Analysis'!$L$157:$M$157</c:f>
              <c:numCache>
                <c:formatCode>General</c:formatCode>
                <c:ptCount val="2"/>
                <c:pt idx="0" formatCode="_(&quot;$&quot;* #,##0.00_);_(&quot;$&quot;* \(#,##0.00\);_(&quot;$&quot;* &quot;-&quot;??_);_(@_)">
                  <c:v>0</c:v>
                </c:pt>
              </c:numCache>
            </c:numRef>
          </c:val>
          <c:extLst>
            <c:ext xmlns:c16="http://schemas.microsoft.com/office/drawing/2014/chart" uri="{C3380CC4-5D6E-409C-BE32-E72D297353CC}">
              <c16:uniqueId val="{00000002-8F09-4F3E-8E88-9B9B44EDCDF1}"/>
            </c:ext>
          </c:extLst>
        </c:ser>
        <c:ser>
          <c:idx val="3"/>
          <c:order val="3"/>
          <c:tx>
            <c:strRef>
              <c:f>'Tornado Charts &amp; Risk Analysis'!$K$158</c:f>
              <c:strCache>
                <c:ptCount val="1"/>
              </c:strCache>
            </c:strRef>
          </c:tx>
          <c:spPr>
            <a:solidFill>
              <a:schemeClr val="accent4"/>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Analysis'!$L$158:$M$158</c:f>
              <c:numCache>
                <c:formatCode>_("$"* #,##0.00_);_("$"* \(#,##0.00\);_("$"* "-"??_);_(@_)</c:formatCode>
                <c:ptCount val="2"/>
              </c:numCache>
            </c:numRef>
          </c:val>
          <c:extLst>
            <c:ext xmlns:c16="http://schemas.microsoft.com/office/drawing/2014/chart" uri="{C3380CC4-5D6E-409C-BE32-E72D297353CC}">
              <c16:uniqueId val="{00000003-8F09-4F3E-8E88-9B9B44EDCDF1}"/>
            </c:ext>
          </c:extLst>
        </c:ser>
        <c:ser>
          <c:idx val="4"/>
          <c:order val="4"/>
          <c:tx>
            <c:strRef>
              <c:f>'Tornado Charts &amp; Risk Analysis'!$K$159</c:f>
              <c:strCache>
                <c:ptCount val="1"/>
                <c:pt idx="0">
                  <c:v>Feedstock Cost</c:v>
                </c:pt>
              </c:strCache>
            </c:strRef>
          </c:tx>
          <c:spPr>
            <a:solidFill>
              <a:srgbClr val="0000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Analysis'!$L$159:$M$159</c:f>
              <c:numCache>
                <c:formatCode>_("$"* #,##0.00_);_("$"* \(#,##0.00\);_("$"* "-"??_);_(@_)</c:formatCode>
                <c:ptCount val="2"/>
                <c:pt idx="1">
                  <c:v>0.48092254303115112</c:v>
                </c:pt>
              </c:numCache>
            </c:numRef>
          </c:val>
          <c:extLst>
            <c:ext xmlns:c16="http://schemas.microsoft.com/office/drawing/2014/chart" uri="{C3380CC4-5D6E-409C-BE32-E72D297353CC}">
              <c16:uniqueId val="{00000004-8F09-4F3E-8E88-9B9B44EDCDF1}"/>
            </c:ext>
          </c:extLst>
        </c:ser>
        <c:ser>
          <c:idx val="5"/>
          <c:order val="5"/>
          <c:tx>
            <c:strRef>
              <c:f>'Tornado Charts &amp; Risk Analysis'!$K$160</c:f>
              <c:strCache>
                <c:ptCount val="1"/>
                <c:pt idx="0">
                  <c:v>Fixed Operating Cost</c:v>
                </c:pt>
              </c:strCache>
            </c:strRef>
          </c:tx>
          <c:spPr>
            <a:solidFill>
              <a:srgbClr val="D600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Analysis'!$L$160:$M$160</c:f>
              <c:numCache>
                <c:formatCode>_("$"* #,##0.00_);_("$"* \(#,##0.00\);_("$"* "-"??_);_(@_)</c:formatCode>
                <c:ptCount val="2"/>
                <c:pt idx="1">
                  <c:v>0.45559227155166604</c:v>
                </c:pt>
              </c:numCache>
            </c:numRef>
          </c:val>
          <c:extLst>
            <c:ext xmlns:c16="http://schemas.microsoft.com/office/drawing/2014/chart" uri="{C3380CC4-5D6E-409C-BE32-E72D297353CC}">
              <c16:uniqueId val="{00000005-8F09-4F3E-8E88-9B9B44EDCDF1}"/>
            </c:ext>
          </c:extLst>
        </c:ser>
        <c:ser>
          <c:idx val="6"/>
          <c:order val="6"/>
          <c:tx>
            <c:strRef>
              <c:f>'Tornado Charts &amp; Risk Analysis'!$K$161</c:f>
              <c:strCache>
                <c:ptCount val="1"/>
                <c:pt idx="0">
                  <c:v>Initial Equity Depreciable Capital</c:v>
                </c:pt>
              </c:strCache>
            </c:strRef>
          </c:tx>
          <c:spPr>
            <a:solidFill>
              <a:srgbClr val="00AC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Analysis'!$L$161:$M$161</c:f>
              <c:numCache>
                <c:formatCode>_("$"* #,##0.00_);_("$"* \(#,##0.00\);_("$"* "-"??_);_(@_)</c:formatCode>
                <c:ptCount val="2"/>
                <c:pt idx="1">
                  <c:v>0.34493720750075096</c:v>
                </c:pt>
              </c:numCache>
            </c:numRef>
          </c:val>
          <c:extLst>
            <c:ext xmlns:c16="http://schemas.microsoft.com/office/drawing/2014/chart" uri="{C3380CC4-5D6E-409C-BE32-E72D297353CC}">
              <c16:uniqueId val="{00000006-8F09-4F3E-8E88-9B9B44EDCDF1}"/>
            </c:ext>
          </c:extLst>
        </c:ser>
        <c:ser>
          <c:idx val="7"/>
          <c:order val="7"/>
          <c:tx>
            <c:strRef>
              <c:f>'Tornado Charts &amp; Risk Analysis'!$K$162</c:f>
              <c:strCache>
                <c:ptCount val="1"/>
                <c:pt idx="0">
                  <c:v>Other Variable Operating Costs</c:v>
                </c:pt>
              </c:strCache>
            </c:strRef>
          </c:tx>
          <c:spPr>
            <a:solidFill>
              <a:srgbClr val="00009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Analysis'!$L$162:$M$162</c:f>
              <c:numCache>
                <c:formatCode>_("$"* #,##0.00_);_("$"* \(#,##0.00\);_("$"* "-"??_);_(@_)</c:formatCode>
                <c:ptCount val="2"/>
                <c:pt idx="1">
                  <c:v>0.28680615426802791</c:v>
                </c:pt>
              </c:numCache>
            </c:numRef>
          </c:val>
          <c:extLst>
            <c:ext xmlns:c16="http://schemas.microsoft.com/office/drawing/2014/chart" uri="{C3380CC4-5D6E-409C-BE32-E72D297353CC}">
              <c16:uniqueId val="{00000007-8F09-4F3E-8E88-9B9B44EDCDF1}"/>
            </c:ext>
          </c:extLst>
        </c:ser>
        <c:ser>
          <c:idx val="8"/>
          <c:order val="8"/>
          <c:tx>
            <c:strRef>
              <c:f>'Tornado Charts &amp; Risk Analysis'!$K$163</c:f>
              <c:strCache>
                <c:ptCount val="1"/>
                <c:pt idx="0">
                  <c:v>Debt Interest</c:v>
                </c:pt>
              </c:strCache>
            </c:strRef>
          </c:tx>
          <c:spPr>
            <a:solidFill>
              <a:srgbClr val="E6009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Analysis'!$L$163:$M$163</c:f>
              <c:numCache>
                <c:formatCode>_("$"* #,##0.00_);_("$"* \(#,##0.00\);_("$"* "-"??_);_(@_)</c:formatCode>
                <c:ptCount val="2"/>
                <c:pt idx="1">
                  <c:v>0.21388232359907813</c:v>
                </c:pt>
              </c:numCache>
            </c:numRef>
          </c:val>
          <c:extLst>
            <c:ext xmlns:c16="http://schemas.microsoft.com/office/drawing/2014/chart" uri="{C3380CC4-5D6E-409C-BE32-E72D297353CC}">
              <c16:uniqueId val="{00000008-8F09-4F3E-8E88-9B9B44EDCDF1}"/>
            </c:ext>
          </c:extLst>
        </c:ser>
        <c:ser>
          <c:idx val="9"/>
          <c:order val="9"/>
          <c:tx>
            <c:strRef>
              <c:f>'Tornado Charts &amp; Risk Analysis'!$K$164</c:f>
              <c:strCache>
                <c:ptCount val="1"/>
                <c:pt idx="0">
                  <c:v>Yearly Replacement Costs</c:v>
                </c:pt>
              </c:strCache>
            </c:strRef>
          </c:tx>
          <c:spPr>
            <a:solidFill>
              <a:srgbClr val="B7AB1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Analysis'!$L$164:$M$164</c:f>
              <c:numCache>
                <c:formatCode>_("$"* #,##0.00_);_("$"* \(#,##0.00\);_("$"* "-"??_);_(@_)</c:formatCode>
                <c:ptCount val="2"/>
                <c:pt idx="1">
                  <c:v>0.2102763660312999</c:v>
                </c:pt>
              </c:numCache>
            </c:numRef>
          </c:val>
          <c:extLst>
            <c:ext xmlns:c16="http://schemas.microsoft.com/office/drawing/2014/chart" uri="{C3380CC4-5D6E-409C-BE32-E72D297353CC}">
              <c16:uniqueId val="{00000009-8F09-4F3E-8E88-9B9B44EDCDF1}"/>
            </c:ext>
          </c:extLst>
        </c:ser>
        <c:ser>
          <c:idx val="10"/>
          <c:order val="10"/>
          <c:tx>
            <c:strRef>
              <c:f>'Tornado Charts &amp; Risk Analysis'!$K$165</c:f>
              <c:strCache>
                <c:ptCount val="1"/>
                <c:pt idx="0">
                  <c:v>Taxes</c:v>
                </c:pt>
              </c:strCache>
            </c:strRef>
          </c:tx>
          <c:spPr>
            <a:solidFill>
              <a:srgbClr val="A800D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Analysis'!$L$165:$M$165</c:f>
              <c:numCache>
                <c:formatCode>_("$"* #,##0.00_);_("$"* \(#,##0.00\);_("$"* "-"??_);_(@_)</c:formatCode>
                <c:ptCount val="2"/>
                <c:pt idx="1">
                  <c:v>5.2879312798845259E-2</c:v>
                </c:pt>
              </c:numCache>
            </c:numRef>
          </c:val>
          <c:extLst>
            <c:ext xmlns:c16="http://schemas.microsoft.com/office/drawing/2014/chart" uri="{C3380CC4-5D6E-409C-BE32-E72D297353CC}">
              <c16:uniqueId val="{0000000A-8F09-4F3E-8E88-9B9B44EDCDF1}"/>
            </c:ext>
          </c:extLst>
        </c:ser>
        <c:ser>
          <c:idx val="11"/>
          <c:order val="11"/>
          <c:tx>
            <c:strRef>
              <c:f>'Tornado Charts &amp; Risk Analysis'!$K$166</c:f>
              <c:strCache>
                <c:ptCount val="1"/>
                <c:pt idx="0">
                  <c:v>Principal Payment</c:v>
                </c:pt>
              </c:strCache>
            </c:strRef>
          </c:tx>
          <c:spPr>
            <a:solidFill>
              <a:srgbClr val="8484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Analysis'!$L$166:$M$166</c:f>
              <c:numCache>
                <c:formatCode>_("$"* #,##0.00_);_("$"* \(#,##0.00\);_("$"* "-"??_);_(@_)</c:formatCode>
                <c:ptCount val="2"/>
                <c:pt idx="1">
                  <c:v>2.5722026202317508E-2</c:v>
                </c:pt>
              </c:numCache>
            </c:numRef>
          </c:val>
          <c:extLst>
            <c:ext xmlns:c16="http://schemas.microsoft.com/office/drawing/2014/chart" uri="{C3380CC4-5D6E-409C-BE32-E72D297353CC}">
              <c16:uniqueId val="{0000000B-8F09-4F3E-8E88-9B9B44EDCDF1}"/>
            </c:ext>
          </c:extLst>
        </c:ser>
        <c:ser>
          <c:idx val="12"/>
          <c:order val="12"/>
          <c:tx>
            <c:strRef>
              <c:f>'Tornado Charts &amp; Risk Analysis'!$K$167</c:f>
              <c:strCache>
                <c:ptCount val="1"/>
                <c:pt idx="0">
                  <c:v>Cash for Working Capital Reserve</c:v>
                </c:pt>
              </c:strCache>
            </c:strRef>
          </c:tx>
          <c:spPr>
            <a:solidFill>
              <a:srgbClr val="82413A"/>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Analysis'!$L$167:$M$167</c:f>
              <c:numCache>
                <c:formatCode>_("$"* #,##0.00_);_("$"* \(#,##0.00\);_("$"* "-"??_);_(@_)</c:formatCode>
                <c:ptCount val="2"/>
                <c:pt idx="1">
                  <c:v>1.6716247250263983E-2</c:v>
                </c:pt>
              </c:numCache>
            </c:numRef>
          </c:val>
          <c:extLst>
            <c:ext xmlns:c16="http://schemas.microsoft.com/office/drawing/2014/chart" uri="{C3380CC4-5D6E-409C-BE32-E72D297353CC}">
              <c16:uniqueId val="{0000000C-8F09-4F3E-8E88-9B9B44EDCDF1}"/>
            </c:ext>
          </c:extLst>
        </c:ser>
        <c:ser>
          <c:idx val="13"/>
          <c:order val="13"/>
          <c:tx>
            <c:strRef>
              <c:f>'Tornado Charts &amp; Risk Analysis'!$K$168</c:f>
              <c:strCache>
                <c:ptCount val="1"/>
                <c:pt idx="0">
                  <c:v>Other Raw Material Cost</c:v>
                </c:pt>
              </c:strCache>
            </c:strRef>
          </c:tx>
          <c:spPr>
            <a:solidFill>
              <a:srgbClr val="00C898"/>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Analysis'!$L$168:$M$168</c:f>
              <c:numCache>
                <c:formatCode>_("$"* #,##0.00_);_("$"* \(#,##0.00\);_("$"* "-"??_);_(@_)</c:formatCode>
                <c:ptCount val="2"/>
                <c:pt idx="1">
                  <c:v>8.0066254969842487E-3</c:v>
                </c:pt>
              </c:numCache>
            </c:numRef>
          </c:val>
          <c:extLst>
            <c:ext xmlns:c16="http://schemas.microsoft.com/office/drawing/2014/chart" uri="{C3380CC4-5D6E-409C-BE32-E72D297353CC}">
              <c16:uniqueId val="{0000000D-8F09-4F3E-8E88-9B9B44EDCDF1}"/>
            </c:ext>
          </c:extLst>
        </c:ser>
        <c:ser>
          <c:idx val="14"/>
          <c:order val="14"/>
          <c:tx>
            <c:strRef>
              <c:f>'Tornado Charts &amp; Risk Analysis'!$K$169</c:f>
              <c:strCache>
                <c:ptCount val="1"/>
                <c:pt idx="0">
                  <c:v>Decommissioning Costs</c:v>
                </c:pt>
              </c:strCache>
            </c:strRef>
          </c:tx>
          <c:spPr>
            <a:solidFill>
              <a:srgbClr val="00687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Analysis'!$L$169:$M$169</c:f>
              <c:numCache>
                <c:formatCode>_("$"* #,##0.00_);_("$"* \(#,##0.00\);_("$"* "-"??_);_(@_)</c:formatCode>
                <c:ptCount val="2"/>
                <c:pt idx="1">
                  <c:v>7.8293879683621684E-3</c:v>
                </c:pt>
              </c:numCache>
            </c:numRef>
          </c:val>
          <c:extLst>
            <c:ext xmlns:c16="http://schemas.microsoft.com/office/drawing/2014/chart" uri="{C3380CC4-5D6E-409C-BE32-E72D297353CC}">
              <c16:uniqueId val="{0000000E-8F09-4F3E-8E88-9B9B44EDCDF1}"/>
            </c:ext>
          </c:extLst>
        </c:ser>
        <c:ser>
          <c:idx val="15"/>
          <c:order val="15"/>
          <c:tx>
            <c:strRef>
              <c:f>'Tornado Charts &amp; Risk Analysis'!$K$170</c:f>
              <c:strCache>
                <c:ptCount val="1"/>
                <c:pt idx="0">
                  <c:v>Other Non-Depreciable Capital Costs</c:v>
                </c:pt>
              </c:strCache>
            </c:strRef>
          </c:tx>
          <c:spPr>
            <a:solidFill>
              <a:srgbClr val="A2BF37"/>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Analysis'!$L$170:$M$170</c:f>
              <c:numCache>
                <c:formatCode>_("$"* #,##0.00_);_("$"* \(#,##0.00\);_("$"* "-"??_);_(@_)</c:formatCode>
                <c:ptCount val="2"/>
                <c:pt idx="1">
                  <c:v>5.3597733382844371E-4</c:v>
                </c:pt>
              </c:numCache>
            </c:numRef>
          </c:val>
          <c:extLst>
            <c:ext xmlns:c16="http://schemas.microsoft.com/office/drawing/2014/chart" uri="{C3380CC4-5D6E-409C-BE32-E72D297353CC}">
              <c16:uniqueId val="{0000000F-8F09-4F3E-8E88-9B9B44EDCDF1}"/>
            </c:ext>
          </c:extLst>
        </c:ser>
        <c:dLbls>
          <c:showLegendKey val="0"/>
          <c:showVal val="0"/>
          <c:showCatName val="0"/>
          <c:showSerName val="0"/>
          <c:showPercent val="0"/>
          <c:showBubbleSize val="0"/>
        </c:dLbls>
        <c:gapWidth val="20"/>
        <c:overlap val="100"/>
        <c:axId val="834362848"/>
        <c:axId val="240552944"/>
      </c:barChart>
      <c:scatterChart>
        <c:scatterStyle val="lineMarker"/>
        <c:varyColors val="0"/>
        <c:ser>
          <c:idx val="16"/>
          <c:order val="16"/>
          <c:tx>
            <c:v>Totals</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 &amp; Risk Analysis'!$L$171:$M$171</c:f>
              <c:numCache>
                <c:formatCode>_("$"* #,##0.00_);_("$"* \(#,##0.00\);_("$"* "-"??_);_(@_)</c:formatCode>
                <c:ptCount val="2"/>
                <c:pt idx="0">
                  <c:v>2.1041064430325771</c:v>
                </c:pt>
                <c:pt idx="1">
                  <c:v>2.1041064430325758</c:v>
                </c:pt>
              </c:numCache>
            </c:numRef>
          </c:xVal>
          <c:yVal>
            <c:numLit>
              <c:formatCode>General</c:formatCode>
              <c:ptCount val="2"/>
              <c:pt idx="0">
                <c:v>1</c:v>
              </c:pt>
              <c:pt idx="1">
                <c:v>2</c:v>
              </c:pt>
            </c:numLit>
          </c:yVal>
          <c:smooth val="0"/>
          <c:extLst>
            <c:ext xmlns:c16="http://schemas.microsoft.com/office/drawing/2014/chart" uri="{C3380CC4-5D6E-409C-BE32-E72D297353CC}">
              <c16:uniqueId val="{00000010-8F09-4F3E-8E88-9B9B44EDCDF1}"/>
            </c:ext>
          </c:extLst>
        </c:ser>
        <c:dLbls>
          <c:showLegendKey val="0"/>
          <c:showVal val="0"/>
          <c:showCatName val="0"/>
          <c:showSerName val="0"/>
          <c:showPercent val="0"/>
          <c:showBubbleSize val="0"/>
        </c:dLbls>
        <c:axId val="240553728"/>
        <c:axId val="240553336"/>
      </c:scatterChart>
      <c:catAx>
        <c:axId val="83436284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40552944"/>
        <c:crosses val="autoZero"/>
        <c:auto val="1"/>
        <c:lblAlgn val="ctr"/>
        <c:lblOffset val="100"/>
        <c:noMultiLvlLbl val="0"/>
      </c:catAx>
      <c:valAx>
        <c:axId val="240552944"/>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34362848"/>
        <c:crosses val="max"/>
        <c:crossBetween val="between"/>
      </c:valAx>
      <c:valAx>
        <c:axId val="240553336"/>
        <c:scaling>
          <c:orientation val="maxMin"/>
          <c:max val="2.5"/>
          <c:min val="0.5"/>
        </c:scaling>
        <c:delete val="1"/>
        <c:axPos val="r"/>
        <c:numFmt formatCode="General" sourceLinked="1"/>
        <c:majorTickMark val="out"/>
        <c:minorTickMark val="none"/>
        <c:tickLblPos val="nextTo"/>
        <c:crossAx val="240553728"/>
        <c:crosses val="max"/>
        <c:crossBetween val="midCat"/>
      </c:valAx>
      <c:valAx>
        <c:axId val="240553728"/>
        <c:scaling>
          <c:orientation val="minMax"/>
        </c:scaling>
        <c:delete val="1"/>
        <c:axPos val="t"/>
        <c:numFmt formatCode="_(&quot;$&quot;* #,##0.00_);_(&quot;$&quot;* \(#,##0.00\);_(&quot;$&quot;* &quot;-&quot;??_);_(@_)" sourceLinked="1"/>
        <c:majorTickMark val="out"/>
        <c:minorTickMark val="none"/>
        <c:tickLblPos val="nextTo"/>
        <c:crossAx val="240553336"/>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 &amp; Risk Analysis'!$H$100</c:f>
              <c:strCache>
                <c:ptCount val="1"/>
                <c:pt idx="0">
                  <c:v>dL0</c:v>
                </c:pt>
              </c:strCache>
            </c:strRef>
          </c:tx>
          <c:spPr>
            <a:noFill/>
            <a:ln w="9525" cap="flat" cmpd="sng" algn="ctr">
              <a:noFill/>
              <a:round/>
            </a:ln>
            <a:effectLst/>
          </c:spPr>
          <c:invertIfNegative val="0"/>
          <c:cat>
            <c:strRef>
              <c:f>'Tornado Charts &amp; Risk Analysis'!$D$101:$D$107</c:f>
              <c:strCache>
                <c:ptCount val="7"/>
                <c:pt idx="0">
                  <c:v>Operating Capacity Factor
(95%, 90%, 86%)</c:v>
                </c:pt>
                <c:pt idx="1">
                  <c:v>Total Capital Investment
($1,678,913K, $1,767,277K, $1,855,641K) </c:v>
                </c:pt>
                <c:pt idx="2">
                  <c:v>Plant Design Capacity (kg of H2/day)
(649,883, 618,936, 587,989) </c:v>
                </c:pt>
                <c:pt idx="3">
                  <c:v>Feedstock Consumption (% of baseline)
(95%, 100%, 105%)</c:v>
                </c:pt>
                <c:pt idx="4">
                  <c:v>After-tax Real IRR
(8%, 8%, 8%)</c:v>
                </c:pt>
                <c:pt idx="5">
                  <c:v>Total Fixed Operating Cost
($87,086K, $91,669K, $96,252K) </c:v>
                </c:pt>
                <c:pt idx="6">
                  <c:v>Utilities Consumption (% of baseline)
(95%, 100%, 105%)</c:v>
                </c:pt>
              </c:strCache>
            </c:strRef>
          </c:cat>
          <c:val>
            <c:numRef>
              <c:f>'Tornado Charts &amp; Risk Analysis'!$H$101:$H$107</c:f>
              <c:numCache>
                <c:formatCode>General</c:formatCode>
                <c:ptCount val="7"/>
                <c:pt idx="0">
                  <c:v>1.7912603889642307</c:v>
                </c:pt>
                <c:pt idx="1">
                  <c:v>1.8108135720598462</c:v>
                </c:pt>
                <c:pt idx="2">
                  <c:v>1.8156618367626984</c:v>
                </c:pt>
                <c:pt idx="3">
                  <c:v>1.8169845479284283</c:v>
                </c:pt>
                <c:pt idx="4">
                  <c:v>1.8218064218176202</c:v>
                </c:pt>
                <c:pt idx="5">
                  <c:v>1.8305798360815821</c:v>
                </c:pt>
                <c:pt idx="6">
                  <c:v>1.8491740829657206</c:v>
                </c:pt>
              </c:numCache>
            </c:numRef>
          </c:val>
          <c:extLst>
            <c:ext xmlns:c16="http://schemas.microsoft.com/office/drawing/2014/chart" uri="{C3380CC4-5D6E-409C-BE32-E72D297353CC}">
              <c16:uniqueId val="{00000000-FD9E-48E0-BDF2-1E9EFCB1BA06}"/>
            </c:ext>
          </c:extLst>
        </c:ser>
        <c:ser>
          <c:idx val="1"/>
          <c:order val="1"/>
          <c:tx>
            <c:strRef>
              <c:f>'Tornado Charts &amp; Risk Analysis'!$I$100</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Operating Capacity Factor
(95%, 90%, 86%)</c:v>
                </c:pt>
                <c:pt idx="1">
                  <c:v>Total Capital Investment
($1,678,913K, $1,767,277K, $1,855,641K) </c:v>
                </c:pt>
                <c:pt idx="2">
                  <c:v>Plant Design Capacity (kg of H2/day)
(649,883, 618,936, 587,989) </c:v>
                </c:pt>
                <c:pt idx="3">
                  <c:v>Feedstock Consumption (% of baseline)
(95%, 100%, 105%)</c:v>
                </c:pt>
                <c:pt idx="4">
                  <c:v>After-tax Real IRR
(8%, 8%, 8%)</c:v>
                </c:pt>
                <c:pt idx="5">
                  <c:v>Total Fixed Operating Cost
($87,086K, $91,669K, $96,252K) </c:v>
                </c:pt>
                <c:pt idx="6">
                  <c:v>Utilities Consumption (% of baseline)
(95%, 100%, 105%)</c:v>
                </c:pt>
              </c:strCache>
            </c:strRef>
          </c:cat>
          <c:val>
            <c:numRef>
              <c:f>'Tornado Charts &amp; Risk Analysis'!$I$101:$I$107</c:f>
              <c:numCache>
                <c:formatCode>General</c:formatCode>
                <c:ptCount val="7"/>
                <c:pt idx="0">
                  <c:v>5.7913694001489935E-2</c:v>
                </c:pt>
                <c:pt idx="1">
                  <c:v>3.8360510905874445E-2</c:v>
                </c:pt>
                <c:pt idx="2">
                  <c:v>3.3512246203022178E-2</c:v>
                </c:pt>
                <c:pt idx="3">
                  <c:v>3.2189535037292272E-2</c:v>
                </c:pt>
                <c:pt idx="4">
                  <c:v>2.7367661148100408E-2</c:v>
                </c:pt>
                <c:pt idx="5">
                  <c:v>1.8594246884138466E-2</c:v>
                </c:pt>
                <c:pt idx="6">
                  <c:v>0</c:v>
                </c:pt>
              </c:numCache>
            </c:numRef>
          </c:val>
          <c:extLst>
            <c:ext xmlns:c16="http://schemas.microsoft.com/office/drawing/2014/chart" uri="{C3380CC4-5D6E-409C-BE32-E72D297353CC}">
              <c16:uniqueId val="{00000001-FD9E-48E0-BDF2-1E9EFCB1BA06}"/>
            </c:ext>
          </c:extLst>
        </c:ser>
        <c:ser>
          <c:idx val="2"/>
          <c:order val="2"/>
          <c:tx>
            <c:strRef>
              <c:f>'Tornado Charts &amp; Risk Analysis'!$J$100</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Operating Capacity Factor
(95%, 90%, 86%)</c:v>
                </c:pt>
                <c:pt idx="1">
                  <c:v>Total Capital Investment
($1,678,913K, $1,767,277K, $1,855,641K) </c:v>
                </c:pt>
                <c:pt idx="2">
                  <c:v>Plant Design Capacity (kg of H2/day)
(649,883, 618,936, 587,989) </c:v>
                </c:pt>
                <c:pt idx="3">
                  <c:v>Feedstock Consumption (% of baseline)
(95%, 100%, 105%)</c:v>
                </c:pt>
                <c:pt idx="4">
                  <c:v>After-tax Real IRR
(8%, 8%, 8%)</c:v>
                </c:pt>
                <c:pt idx="5">
                  <c:v>Total Fixed Operating Cost
($87,086K, $91,669K, $96,252K) </c:v>
                </c:pt>
                <c:pt idx="6">
                  <c:v>Utilities Consumption (% of baseline)
(95%, 100%, 105%)</c:v>
                </c:pt>
              </c:strCache>
            </c:strRef>
          </c:cat>
          <c:val>
            <c:numRef>
              <c:f>'Tornado Charts &amp; Risk Analysis'!$J$101:$J$107</c:f>
              <c:numCache>
                <c:formatCode>General</c:formatCode>
                <c:ptCount val="7"/>
                <c:pt idx="0">
                  <c:v>6.3214732399516693E-2</c:v>
                </c:pt>
                <c:pt idx="1">
                  <c:v>3.8360510905874001E-2</c:v>
                </c:pt>
                <c:pt idx="2">
                  <c:v>3.5794642129720833E-2</c:v>
                </c:pt>
                <c:pt idx="3">
                  <c:v>3.1434150072224831E-2</c:v>
                </c:pt>
                <c:pt idx="4">
                  <c:v>2.8125597248580325E-2</c:v>
                </c:pt>
                <c:pt idx="5">
                  <c:v>1.8594246884137577E-2</c:v>
                </c:pt>
                <c:pt idx="6">
                  <c:v>0</c:v>
                </c:pt>
              </c:numCache>
            </c:numRef>
          </c:val>
          <c:extLst>
            <c:ext xmlns:c16="http://schemas.microsoft.com/office/drawing/2014/chart" uri="{C3380CC4-5D6E-409C-BE32-E72D297353CC}">
              <c16:uniqueId val="{00000002-FD9E-48E0-BDF2-1E9EFCB1BA06}"/>
            </c:ext>
          </c:extLst>
        </c:ser>
        <c:dLbls>
          <c:showLegendKey val="0"/>
          <c:showVal val="0"/>
          <c:showCatName val="0"/>
          <c:showSerName val="0"/>
          <c:showPercent val="0"/>
          <c:showBubbleSize val="0"/>
        </c:dLbls>
        <c:gapWidth val="50"/>
        <c:overlap val="100"/>
        <c:axId val="240554512"/>
        <c:axId val="243089520"/>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Analysis'!$E$101:$E$107</c:f>
              <c:numCache>
                <c:formatCode>0.000</c:formatCode>
                <c:ptCount val="7"/>
                <c:pt idx="0">
                  <c:v>1.7912603889642307</c:v>
                </c:pt>
                <c:pt idx="1">
                  <c:v>1.8108135720598462</c:v>
                </c:pt>
                <c:pt idx="2">
                  <c:v>1.8156618367626984</c:v>
                </c:pt>
                <c:pt idx="3">
                  <c:v>1.8169845479284283</c:v>
                </c:pt>
                <c:pt idx="4">
                  <c:v>1.8218064218176202</c:v>
                </c:pt>
                <c:pt idx="5">
                  <c:v>1.8305798360815821</c:v>
                </c:pt>
                <c:pt idx="6">
                  <c:v>1.8491740829657206</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FD9E-48E0-BDF2-1E9EFCB1BA06}"/>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Analysis'!$G$101:$G$107</c:f>
              <c:numCache>
                <c:formatCode>0.000</c:formatCode>
                <c:ptCount val="7"/>
                <c:pt idx="0">
                  <c:v>1.9123888153652373</c:v>
                </c:pt>
                <c:pt idx="1">
                  <c:v>1.8875345938715946</c:v>
                </c:pt>
                <c:pt idx="2">
                  <c:v>1.8849687250954414</c:v>
                </c:pt>
                <c:pt idx="3">
                  <c:v>1.8806082330379454</c:v>
                </c:pt>
                <c:pt idx="4">
                  <c:v>1.8772996802143009</c:v>
                </c:pt>
                <c:pt idx="5">
                  <c:v>1.8677683298498582</c:v>
                </c:pt>
                <c:pt idx="6">
                  <c:v>1.8491740829657206</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FD9E-48E0-BDF2-1E9EFCB1BA06}"/>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Analysis'!$F$101</c:f>
              <c:numCache>
                <c:formatCode>0.000</c:formatCode>
                <c:ptCount val="1"/>
                <c:pt idx="0">
                  <c:v>1.8491740829657206</c:v>
                </c:pt>
              </c:numCache>
            </c:numRef>
          </c:xVal>
          <c:yVal>
            <c:numRef>
              <c:f>'Tornado Charts &amp; Risk Analysis'!$C$101</c:f>
              <c:numCache>
                <c:formatCode>General</c:formatCode>
                <c:ptCount val="1"/>
                <c:pt idx="0">
                  <c:v>1</c:v>
                </c:pt>
              </c:numCache>
            </c:numRef>
          </c:yVal>
          <c:smooth val="0"/>
          <c:extLst>
            <c:ext xmlns:c16="http://schemas.microsoft.com/office/drawing/2014/chart" uri="{C3380CC4-5D6E-409C-BE32-E72D297353CC}">
              <c16:uniqueId val="{00000005-FD9E-48E0-BDF2-1E9EFCB1BA06}"/>
            </c:ext>
          </c:extLst>
        </c:ser>
        <c:dLbls>
          <c:showLegendKey val="0"/>
          <c:showVal val="0"/>
          <c:showCatName val="0"/>
          <c:showSerName val="0"/>
          <c:showPercent val="0"/>
          <c:showBubbleSize val="0"/>
        </c:dLbls>
        <c:axId val="243090304"/>
        <c:axId val="243089912"/>
      </c:scatterChart>
      <c:catAx>
        <c:axId val="240554512"/>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43089520"/>
        <c:crosses val="autoZero"/>
        <c:auto val="1"/>
        <c:lblAlgn val="ctr"/>
        <c:lblOffset val="100"/>
        <c:noMultiLvlLbl val="0"/>
      </c:catAx>
      <c:valAx>
        <c:axId val="243089520"/>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40554512"/>
        <c:crosses val="max"/>
        <c:crossBetween val="between"/>
      </c:valAx>
      <c:valAx>
        <c:axId val="243089912"/>
        <c:scaling>
          <c:orientation val="maxMin"/>
          <c:min val="0.5"/>
        </c:scaling>
        <c:delete val="1"/>
        <c:axPos val="r"/>
        <c:numFmt formatCode="General" sourceLinked="1"/>
        <c:majorTickMark val="out"/>
        <c:minorTickMark val="none"/>
        <c:tickLblPos val="nextTo"/>
        <c:crossAx val="243090304"/>
        <c:crosses val="max"/>
        <c:crossBetween val="midCat"/>
      </c:valAx>
      <c:valAx>
        <c:axId val="243090304"/>
        <c:scaling>
          <c:orientation val="minMax"/>
        </c:scaling>
        <c:delete val="1"/>
        <c:axPos val="t"/>
        <c:numFmt formatCode="0.000" sourceLinked="1"/>
        <c:majorTickMark val="out"/>
        <c:minorTickMark val="none"/>
        <c:tickLblPos val="nextTo"/>
        <c:crossAx val="243089912"/>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 &amp; Risk Analysis'!$E$174</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C08B-4218-8268-DEA2742113BE}"/>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C08B-4218-8268-DEA2742113BE}"/>
              </c:ext>
            </c:extLst>
          </c:dPt>
          <c:dLbls>
            <c:dLbl>
              <c:idx val="1"/>
              <c:delete val="1"/>
              <c:extLst>
                <c:ext xmlns:c15="http://schemas.microsoft.com/office/drawing/2012/chart" uri="{CE6537A1-D6FC-4f65-9D91-7224C49458BB}"/>
                <c:ext xmlns:c16="http://schemas.microsoft.com/office/drawing/2014/chart" uri="{C3380CC4-5D6E-409C-BE32-E72D297353CC}">
                  <c16:uniqueId val="{00000004-C08B-4218-8268-DEA2742113BE}"/>
                </c:ext>
              </c:extLst>
            </c:dLbl>
            <c:dLbl>
              <c:idx val="2"/>
              <c:delete val="1"/>
              <c:extLst>
                <c:ext xmlns:c15="http://schemas.microsoft.com/office/drawing/2012/chart" uri="{CE6537A1-D6FC-4f65-9D91-7224C49458BB}"/>
                <c:ext xmlns:c16="http://schemas.microsoft.com/office/drawing/2014/chart" uri="{C3380CC4-5D6E-409C-BE32-E72D297353CC}">
                  <c16:uniqueId val="{00000005-C08B-4218-8268-DEA2742113BE}"/>
                </c:ext>
              </c:extLst>
            </c:dLbl>
            <c:dLbl>
              <c:idx val="3"/>
              <c:delete val="1"/>
              <c:extLst>
                <c:ext xmlns:c15="http://schemas.microsoft.com/office/drawing/2012/chart" uri="{CE6537A1-D6FC-4f65-9D91-7224C49458BB}"/>
                <c:ext xmlns:c16="http://schemas.microsoft.com/office/drawing/2014/chart" uri="{C3380CC4-5D6E-409C-BE32-E72D297353CC}">
                  <c16:uniqueId val="{00000006-C08B-4218-8268-DEA2742113BE}"/>
                </c:ext>
              </c:extLst>
            </c:dLbl>
            <c:dLbl>
              <c:idx val="4"/>
              <c:delete val="1"/>
              <c:extLst>
                <c:ext xmlns:c15="http://schemas.microsoft.com/office/drawing/2012/chart" uri="{CE6537A1-D6FC-4f65-9D91-7224C49458BB}"/>
                <c:ext xmlns:c16="http://schemas.microsoft.com/office/drawing/2014/chart" uri="{C3380CC4-5D6E-409C-BE32-E72D297353CC}">
                  <c16:uniqueId val="{00000007-C08B-4218-8268-DEA2742113BE}"/>
                </c:ext>
              </c:extLst>
            </c:dLbl>
            <c:dLbl>
              <c:idx val="5"/>
              <c:delete val="1"/>
              <c:extLst>
                <c:ext xmlns:c15="http://schemas.microsoft.com/office/drawing/2012/chart" uri="{CE6537A1-D6FC-4f65-9D91-7224C49458BB}"/>
                <c:ext xmlns:c16="http://schemas.microsoft.com/office/drawing/2014/chart" uri="{C3380CC4-5D6E-409C-BE32-E72D297353CC}">
                  <c16:uniqueId val="{00000008-C08B-4218-8268-DEA2742113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Operating capacity factor
= +5%</c:v>
                </c:pt>
                <c:pt idx="2">
                  <c:v>Total capital investment ($)
= -5%</c:v>
                </c:pt>
                <c:pt idx="3">
                  <c:v>Feedstock consumption (% of most likely value)
= -5%</c:v>
                </c:pt>
                <c:pt idx="4">
                  <c:v>Total fixed operating cost ($/year)
= -5%</c:v>
                </c:pt>
                <c:pt idx="5">
                  <c:v>Utilities consumption (% of most likely value)
= -5%</c:v>
                </c:pt>
                <c:pt idx="6">
                  <c:v>Adjusted</c:v>
                </c:pt>
              </c:strCache>
            </c:strRef>
          </c:cat>
          <c:val>
            <c:numRef>
              <c:f>'Tornado Charts &amp; Risk Analysis'!$E$175:$E$181</c:f>
              <c:numCache>
                <c:formatCode>_("$"* #,##0.00_);_("$"* \(#,##0.00\);_("$"* "-"??_);_(@_)</c:formatCode>
                <c:ptCount val="7"/>
                <c:pt idx="0">
                  <c:v>1.8491740829657206</c:v>
                </c:pt>
                <c:pt idx="1">
                  <c:v>1.7912603889642307</c:v>
                </c:pt>
                <c:pt idx="2">
                  <c:v>1.754739155954625</c:v>
                </c:pt>
                <c:pt idx="3">
                  <c:v>1.7232893797906057</c:v>
                </c:pt>
                <c:pt idx="4">
                  <c:v>1.7060215263743672</c:v>
                </c:pt>
                <c:pt idx="5">
                  <c:v>1.7060215263743672</c:v>
                </c:pt>
                <c:pt idx="6">
                  <c:v>1.7060215263743672</c:v>
                </c:pt>
              </c:numCache>
            </c:numRef>
          </c:val>
          <c:extLst>
            <c:ext xmlns:c16="http://schemas.microsoft.com/office/drawing/2014/chart" uri="{C3380CC4-5D6E-409C-BE32-E72D297353CC}">
              <c16:uniqueId val="{00000009-C08B-4218-8268-DEA2742113BE}"/>
            </c:ext>
          </c:extLst>
        </c:ser>
        <c:ser>
          <c:idx val="1"/>
          <c:order val="1"/>
          <c:tx>
            <c:strRef>
              <c:f>'Tornado Charts &amp; Risk Analysis'!$F$174</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Operating capacity factor
= +5%</c:v>
                </c:pt>
                <c:pt idx="2">
                  <c:v>Total capital investment ($)
= -5%</c:v>
                </c:pt>
                <c:pt idx="3">
                  <c:v>Feedstock consumption (% of most likely value)
= -5%</c:v>
                </c:pt>
                <c:pt idx="4">
                  <c:v>Total fixed operating cost ($/year)
= -5%</c:v>
                </c:pt>
                <c:pt idx="5">
                  <c:v>Utilities consumption (% of most likely value)
= -5%</c:v>
                </c:pt>
                <c:pt idx="6">
                  <c:v>Adjusted</c:v>
                </c:pt>
              </c:strCache>
            </c:strRef>
          </c:cat>
          <c:val>
            <c:numRef>
              <c:f>'Tornado Charts &amp; Risk Analysis'!$F$175:$F$181</c:f>
              <c:numCache>
                <c:formatCode>_("$"* #,##0.00_);_("$"* \(#,##0.00\);_("$"* "-"??_);_(@_)</c:formatCode>
                <c:ptCount val="7"/>
                <c:pt idx="1">
                  <c:v>5.7913694001489935E-2</c:v>
                </c:pt>
                <c:pt idx="2">
                  <c:v>3.6521233009605636E-2</c:v>
                </c:pt>
                <c:pt idx="3">
                  <c:v>3.1449776164019339E-2</c:v>
                </c:pt>
                <c:pt idx="4">
                  <c:v>1.7267853416238488E-2</c:v>
                </c:pt>
                <c:pt idx="5">
                  <c:v>0</c:v>
                </c:pt>
              </c:numCache>
            </c:numRef>
          </c:val>
          <c:extLst>
            <c:ext xmlns:c16="http://schemas.microsoft.com/office/drawing/2014/chart" uri="{C3380CC4-5D6E-409C-BE32-E72D297353CC}">
              <c16:uniqueId val="{0000000A-C08B-4218-8268-DEA2742113BE}"/>
            </c:ext>
          </c:extLst>
        </c:ser>
        <c:ser>
          <c:idx val="2"/>
          <c:order val="2"/>
          <c:tx>
            <c:strRef>
              <c:f>'Tornado Charts &amp; Risk Analysis'!$G$174</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Operating capacity factor
= +5%</c:v>
                </c:pt>
                <c:pt idx="2">
                  <c:v>Total capital investment ($)
= -5%</c:v>
                </c:pt>
                <c:pt idx="3">
                  <c:v>Feedstock consumption (% of most likely value)
= -5%</c:v>
                </c:pt>
                <c:pt idx="4">
                  <c:v>Total fixed operating cost ($/year)
= -5%</c:v>
                </c:pt>
                <c:pt idx="5">
                  <c:v>Utilities consumption (% of most likely value)
= -5%</c:v>
                </c:pt>
                <c:pt idx="6">
                  <c:v>Adjusted</c:v>
                </c:pt>
              </c:strCache>
            </c:strRef>
          </c:cat>
          <c:val>
            <c:numRef>
              <c:f>'Tornado Charts &amp; Risk Analysis'!$G$175:$G$181</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C08B-4218-8268-DEA2742113BE}"/>
            </c:ext>
          </c:extLst>
        </c:ser>
        <c:dLbls>
          <c:showLegendKey val="0"/>
          <c:showVal val="0"/>
          <c:showCatName val="0"/>
          <c:showSerName val="0"/>
          <c:showPercent val="0"/>
          <c:showBubbleSize val="0"/>
        </c:dLbls>
        <c:gapWidth val="5"/>
        <c:overlap val="100"/>
        <c:axId val="243091088"/>
        <c:axId val="240605976"/>
      </c:barChart>
      <c:catAx>
        <c:axId val="243091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240605976"/>
        <c:crosses val="autoZero"/>
        <c:auto val="1"/>
        <c:lblAlgn val="ctr"/>
        <c:lblOffset val="100"/>
        <c:noMultiLvlLbl val="0"/>
      </c:catAx>
      <c:valAx>
        <c:axId val="240605976"/>
        <c:scaling>
          <c:orientation val="minMax"/>
        </c:scaling>
        <c:delete val="0"/>
        <c:axPos val="l"/>
        <c:majorGridlines>
          <c:spPr>
            <a:ln w="9525" cap="flat" cmpd="sng" algn="ctr">
              <a:solidFill>
                <a:schemeClr val="bg1">
                  <a:lumMod val="95000"/>
                </a:schemeClr>
              </a:solidFill>
              <a:round/>
            </a:ln>
            <a:effectLst>
              <a:outerShdw blurRad="50800" dist="50800" dir="5400000" algn="ctr" rotWithShape="0">
                <a:schemeClr val="bg1">
                  <a:lumMod val="95000"/>
                </a:schemeClr>
              </a:outerShdw>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24309108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021523921218"/>
          <c:y val="4.7928894869667373E-2"/>
          <c:w val="0.77171885593131795"/>
          <c:h val="0.69950877377025256"/>
        </c:manualLayout>
      </c:layout>
      <c:scatterChart>
        <c:scatterStyle val="lineMarker"/>
        <c:varyColors val="0"/>
        <c:ser>
          <c:idx val="1"/>
          <c:order val="1"/>
          <c:tx>
            <c:strRef>
              <c:f>'Tornado Charts &amp; Risk Analysis'!$I$201</c:f>
              <c:strCache>
                <c:ptCount val="1"/>
                <c:pt idx="0">
                  <c:v>Cumulative probability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'Tornado Charts &amp; Risk Analysis'!$G$202:$G$221</c:f>
              <c:numCache>
                <c:formatCode>_(* #,##0_);_(* \(#,##0\);_(* "-"??_);_(@_)</c:formatCode>
                <c:ptCount val="20"/>
                <c:pt idx="0">
                  <c:v>1.7340275264546992</c:v>
                </c:pt>
                <c:pt idx="1">
                  <c:v>1.7470490329573751</c:v>
                </c:pt>
                <c:pt idx="2">
                  <c:v>1.7600705394600507</c:v>
                </c:pt>
                <c:pt idx="3">
                  <c:v>1.7730920459627266</c:v>
                </c:pt>
                <c:pt idx="4">
                  <c:v>1.7861135524654022</c:v>
                </c:pt>
                <c:pt idx="5">
                  <c:v>1.7991350589680781</c:v>
                </c:pt>
                <c:pt idx="6">
                  <c:v>1.8121565654707537</c:v>
                </c:pt>
                <c:pt idx="7">
                  <c:v>1.8251780719734296</c:v>
                </c:pt>
                <c:pt idx="8">
                  <c:v>1.8381995784761052</c:v>
                </c:pt>
                <c:pt idx="9">
                  <c:v>1.8512210849787811</c:v>
                </c:pt>
                <c:pt idx="10">
                  <c:v>1.8642425914814567</c:v>
                </c:pt>
                <c:pt idx="11">
                  <c:v>1.8772640979841326</c:v>
                </c:pt>
                <c:pt idx="12">
                  <c:v>1.8902856044868082</c:v>
                </c:pt>
                <c:pt idx="13">
                  <c:v>1.9033071109894841</c:v>
                </c:pt>
                <c:pt idx="14">
                  <c:v>1.9163286174921597</c:v>
                </c:pt>
                <c:pt idx="15">
                  <c:v>1.9293501239948356</c:v>
                </c:pt>
                <c:pt idx="16">
                  <c:v>1.9423716304975112</c:v>
                </c:pt>
                <c:pt idx="17">
                  <c:v>1.9553931370001871</c:v>
                </c:pt>
                <c:pt idx="18">
                  <c:v>1.9684146435028627</c:v>
                </c:pt>
                <c:pt idx="19">
                  <c:v>1.9814366500055385</c:v>
                </c:pt>
              </c:numCache>
            </c:numRef>
          </c:xVal>
          <c:yVal>
            <c:numRef>
              <c:f>'Tornado Charts &amp; Risk Analysis'!$I$202:$I$221</c:f>
              <c:numCache>
                <c:formatCode>General</c:formatCode>
                <c:ptCount val="20"/>
                <c:pt idx="0">
                  <c:v>1E-3</c:v>
                </c:pt>
                <c:pt idx="1">
                  <c:v>2E-3</c:v>
                </c:pt>
                <c:pt idx="2">
                  <c:v>1.2E-2</c:v>
                </c:pt>
                <c:pt idx="3">
                  <c:v>2.9500000000000002E-2</c:v>
                </c:pt>
                <c:pt idx="4">
                  <c:v>6.25E-2</c:v>
                </c:pt>
                <c:pt idx="5">
                  <c:v>0.11499999999999999</c:v>
                </c:pt>
                <c:pt idx="6">
                  <c:v>0.20349999999999999</c:v>
                </c:pt>
                <c:pt idx="7">
                  <c:v>0.32450000000000001</c:v>
                </c:pt>
                <c:pt idx="8">
                  <c:v>0.46</c:v>
                </c:pt>
                <c:pt idx="9">
                  <c:v>0.60000000000000009</c:v>
                </c:pt>
                <c:pt idx="10">
                  <c:v>0.73000000000000009</c:v>
                </c:pt>
                <c:pt idx="11">
                  <c:v>0.83050000000000013</c:v>
                </c:pt>
                <c:pt idx="12">
                  <c:v>0.90100000000000013</c:v>
                </c:pt>
                <c:pt idx="13">
                  <c:v>0.94750000000000012</c:v>
                </c:pt>
                <c:pt idx="14">
                  <c:v>0.98000000000000009</c:v>
                </c:pt>
                <c:pt idx="15">
                  <c:v>0.99350000000000005</c:v>
                </c:pt>
                <c:pt idx="16">
                  <c:v>0.997</c:v>
                </c:pt>
                <c:pt idx="17">
                  <c:v>0.998</c:v>
                </c:pt>
                <c:pt idx="18">
                  <c:v>0.99949999999999994</c:v>
                </c:pt>
                <c:pt idx="19">
                  <c:v>0.99999999999999989</c:v>
                </c:pt>
              </c:numCache>
            </c:numRef>
          </c:yVal>
          <c:smooth val="0"/>
          <c:extLst>
            <c:ext xmlns:c16="http://schemas.microsoft.com/office/drawing/2014/chart" uri="{C3380CC4-5D6E-409C-BE32-E72D297353CC}">
              <c16:uniqueId val="{00000002-4B22-4F8D-99CE-30F97D5C7E97}"/>
            </c:ext>
          </c:extLst>
        </c:ser>
        <c:dLbls>
          <c:showLegendKey val="0"/>
          <c:showVal val="0"/>
          <c:showCatName val="0"/>
          <c:showSerName val="0"/>
          <c:showPercent val="0"/>
          <c:showBubbleSize val="0"/>
        </c:dLbls>
        <c:axId val="240606760"/>
        <c:axId val="240607152"/>
      </c:scatterChart>
      <c:scatterChart>
        <c:scatterStyle val="lineMarker"/>
        <c:varyColors val="0"/>
        <c:ser>
          <c:idx val="0"/>
          <c:order val="0"/>
          <c:tx>
            <c:strRef>
              <c:f>'Tornado Charts &amp; Risk Analysis'!$H$201</c:f>
              <c:strCache>
                <c:ptCount val="1"/>
                <c:pt idx="0">
                  <c:v>Probability</c:v>
                </c:pt>
              </c:strCache>
            </c:strRef>
          </c:tx>
          <c:spPr>
            <a:ln w="19050" cap="rnd">
              <a:noFill/>
              <a:round/>
            </a:ln>
            <a:effectLst/>
          </c:spPr>
          <c:marker>
            <c:symbol val="diamond"/>
            <c:size val="5"/>
            <c:spPr>
              <a:solidFill>
                <a:schemeClr val="accent1">
                  <a:lumMod val="50000"/>
                </a:schemeClr>
              </a:solidFill>
              <a:ln w="9525">
                <a:solidFill>
                  <a:schemeClr val="tx1"/>
                </a:solidFill>
              </a:ln>
              <a:effectLst/>
            </c:spPr>
          </c:marker>
          <c:errBars>
            <c:errDir val="y"/>
            <c:errBarType val="minus"/>
            <c:errValType val="percentage"/>
            <c:noEndCap val="0"/>
            <c:val val="100"/>
            <c:spPr>
              <a:noFill/>
              <a:ln w="120650" cap="flat" cmpd="sng" algn="ctr">
                <a:solidFill>
                  <a:schemeClr val="tx2">
                    <a:lumMod val="60000"/>
                    <a:lumOff val="40000"/>
                    <a:alpha val="30000"/>
                  </a:schemeClr>
                </a:solidFill>
                <a:round/>
              </a:ln>
              <a:effectLst/>
            </c:spPr>
          </c:errBars>
          <c:xVal>
            <c:numRef>
              <c:f>'Tornado Charts &amp; Risk Analysis'!$G$202:$G$221</c:f>
              <c:numCache>
                <c:formatCode>_(* #,##0_);_(* \(#,##0\);_(* "-"??_);_(@_)</c:formatCode>
                <c:ptCount val="20"/>
                <c:pt idx="0">
                  <c:v>1.7340275264546992</c:v>
                </c:pt>
                <c:pt idx="1">
                  <c:v>1.7470490329573751</c:v>
                </c:pt>
                <c:pt idx="2">
                  <c:v>1.7600705394600507</c:v>
                </c:pt>
                <c:pt idx="3">
                  <c:v>1.7730920459627266</c:v>
                </c:pt>
                <c:pt idx="4">
                  <c:v>1.7861135524654022</c:v>
                </c:pt>
                <c:pt idx="5">
                  <c:v>1.7991350589680781</c:v>
                </c:pt>
                <c:pt idx="6">
                  <c:v>1.8121565654707537</c:v>
                </c:pt>
                <c:pt idx="7">
                  <c:v>1.8251780719734296</c:v>
                </c:pt>
                <c:pt idx="8">
                  <c:v>1.8381995784761052</c:v>
                </c:pt>
                <c:pt idx="9">
                  <c:v>1.8512210849787811</c:v>
                </c:pt>
                <c:pt idx="10">
                  <c:v>1.8642425914814567</c:v>
                </c:pt>
                <c:pt idx="11">
                  <c:v>1.8772640979841326</c:v>
                </c:pt>
                <c:pt idx="12">
                  <c:v>1.8902856044868082</c:v>
                </c:pt>
                <c:pt idx="13">
                  <c:v>1.9033071109894841</c:v>
                </c:pt>
                <c:pt idx="14">
                  <c:v>1.9163286174921597</c:v>
                </c:pt>
                <c:pt idx="15">
                  <c:v>1.9293501239948356</c:v>
                </c:pt>
                <c:pt idx="16">
                  <c:v>1.9423716304975112</c:v>
                </c:pt>
                <c:pt idx="17">
                  <c:v>1.9553931370001871</c:v>
                </c:pt>
                <c:pt idx="18">
                  <c:v>1.9684146435028627</c:v>
                </c:pt>
                <c:pt idx="19">
                  <c:v>1.9814366500055385</c:v>
                </c:pt>
              </c:numCache>
            </c:numRef>
          </c:xVal>
          <c:yVal>
            <c:numRef>
              <c:f>'Tornado Charts &amp; Risk Analysis'!$H$202:$H$221</c:f>
              <c:numCache>
                <c:formatCode>General</c:formatCode>
                <c:ptCount val="20"/>
                <c:pt idx="0">
                  <c:v>1E-3</c:v>
                </c:pt>
                <c:pt idx="1">
                  <c:v>1E-3</c:v>
                </c:pt>
                <c:pt idx="2">
                  <c:v>0.01</c:v>
                </c:pt>
                <c:pt idx="3">
                  <c:v>1.7500000000000002E-2</c:v>
                </c:pt>
                <c:pt idx="4">
                  <c:v>3.3000000000000002E-2</c:v>
                </c:pt>
                <c:pt idx="5">
                  <c:v>5.2499999999999998E-2</c:v>
                </c:pt>
                <c:pt idx="6">
                  <c:v>8.8499999999999995E-2</c:v>
                </c:pt>
                <c:pt idx="7">
                  <c:v>0.121</c:v>
                </c:pt>
                <c:pt idx="8">
                  <c:v>0.13550000000000001</c:v>
                </c:pt>
                <c:pt idx="9">
                  <c:v>0.14000000000000001</c:v>
                </c:pt>
                <c:pt idx="10">
                  <c:v>0.13</c:v>
                </c:pt>
                <c:pt idx="11">
                  <c:v>0.10050000000000001</c:v>
                </c:pt>
                <c:pt idx="12">
                  <c:v>7.0499999999999993E-2</c:v>
                </c:pt>
                <c:pt idx="13">
                  <c:v>4.65E-2</c:v>
                </c:pt>
                <c:pt idx="14">
                  <c:v>3.2500000000000001E-2</c:v>
                </c:pt>
                <c:pt idx="15">
                  <c:v>1.35E-2</c:v>
                </c:pt>
                <c:pt idx="16">
                  <c:v>3.5000000000000001E-3</c:v>
                </c:pt>
                <c:pt idx="17">
                  <c:v>1E-3</c:v>
                </c:pt>
                <c:pt idx="18">
                  <c:v>1.5E-3</c:v>
                </c:pt>
                <c:pt idx="19">
                  <c:v>5.0000000000000001E-4</c:v>
                </c:pt>
              </c:numCache>
            </c:numRef>
          </c:yVal>
          <c:smooth val="0"/>
          <c:extLst>
            <c:ext xmlns:c16="http://schemas.microsoft.com/office/drawing/2014/chart" uri="{C3380CC4-5D6E-409C-BE32-E72D297353CC}">
              <c16:uniqueId val="{00000000-4B22-4F8D-99CE-30F97D5C7E97}"/>
            </c:ext>
          </c:extLst>
        </c:ser>
        <c:dLbls>
          <c:showLegendKey val="0"/>
          <c:showVal val="0"/>
          <c:showCatName val="0"/>
          <c:showSerName val="0"/>
          <c:showPercent val="0"/>
          <c:showBubbleSize val="0"/>
        </c:dLbls>
        <c:axId val="242779160"/>
        <c:axId val="240607544"/>
      </c:scatterChart>
      <c:valAx>
        <c:axId val="2406067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0607152"/>
        <c:crosses val="autoZero"/>
        <c:crossBetween val="midCat"/>
      </c:valAx>
      <c:valAx>
        <c:axId val="240607152"/>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240606760"/>
        <c:crosses val="autoZero"/>
        <c:crossBetween val="midCat"/>
      </c:valAx>
      <c:valAx>
        <c:axId val="240607544"/>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242779160"/>
        <c:crosses val="max"/>
        <c:crossBetween val="midCat"/>
      </c:valAx>
      <c:valAx>
        <c:axId val="242779160"/>
        <c:scaling>
          <c:orientation val="minMax"/>
        </c:scaling>
        <c:delete val="1"/>
        <c:axPos val="b"/>
        <c:numFmt formatCode="_(* #,##0_);_(* \(#,##0\);_(* &quot;-&quot;??_);_(@_)" sourceLinked="1"/>
        <c:majorTickMark val="out"/>
        <c:minorTickMark val="none"/>
        <c:tickLblPos val="nextTo"/>
        <c:crossAx val="2406075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8.emf"/><Relationship Id="rId13" Type="http://schemas.openxmlformats.org/officeDocument/2006/relationships/image" Target="../media/image13.emf"/><Relationship Id="rId18" Type="http://schemas.openxmlformats.org/officeDocument/2006/relationships/image" Target="../media/image8.emf"/><Relationship Id="rId3" Type="http://schemas.openxmlformats.org/officeDocument/2006/relationships/image" Target="../media/image23.emf"/><Relationship Id="rId21" Type="http://schemas.openxmlformats.org/officeDocument/2006/relationships/image" Target="../media/image5.emf"/><Relationship Id="rId7" Type="http://schemas.openxmlformats.org/officeDocument/2006/relationships/image" Target="../media/image19.emf"/><Relationship Id="rId12" Type="http://schemas.openxmlformats.org/officeDocument/2006/relationships/image" Target="../media/image14.emf"/><Relationship Id="rId17" Type="http://schemas.openxmlformats.org/officeDocument/2006/relationships/image" Target="../media/image9.emf"/><Relationship Id="rId2" Type="http://schemas.openxmlformats.org/officeDocument/2006/relationships/image" Target="../media/image24.emf"/><Relationship Id="rId16" Type="http://schemas.openxmlformats.org/officeDocument/2006/relationships/image" Target="../media/image10.emf"/><Relationship Id="rId20" Type="http://schemas.openxmlformats.org/officeDocument/2006/relationships/image" Target="../media/image6.emf"/><Relationship Id="rId1" Type="http://schemas.openxmlformats.org/officeDocument/2006/relationships/image" Target="../media/image25.emf"/><Relationship Id="rId6" Type="http://schemas.openxmlformats.org/officeDocument/2006/relationships/image" Target="../media/image20.emf"/><Relationship Id="rId11" Type="http://schemas.openxmlformats.org/officeDocument/2006/relationships/image" Target="../media/image15.emf"/><Relationship Id="rId5" Type="http://schemas.openxmlformats.org/officeDocument/2006/relationships/image" Target="../media/image21.emf"/><Relationship Id="rId15" Type="http://schemas.openxmlformats.org/officeDocument/2006/relationships/image" Target="../media/image11.emf"/><Relationship Id="rId10" Type="http://schemas.openxmlformats.org/officeDocument/2006/relationships/image" Target="../media/image16.emf"/><Relationship Id="rId19" Type="http://schemas.openxmlformats.org/officeDocument/2006/relationships/image" Target="../media/image7.emf"/><Relationship Id="rId4" Type="http://schemas.openxmlformats.org/officeDocument/2006/relationships/image" Target="../media/image22.emf"/><Relationship Id="rId9" Type="http://schemas.openxmlformats.org/officeDocument/2006/relationships/image" Target="../media/image17.emf"/><Relationship Id="rId14" Type="http://schemas.openxmlformats.org/officeDocument/2006/relationships/image" Target="../media/image12.emf"/><Relationship Id="rId22"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3.emf"/><Relationship Id="rId3" Type="http://schemas.openxmlformats.org/officeDocument/2006/relationships/image" Target="../media/image27.emf"/><Relationship Id="rId7" Type="http://schemas.openxmlformats.org/officeDocument/2006/relationships/image" Target="../media/image32.emf"/><Relationship Id="rId2" Type="http://schemas.openxmlformats.org/officeDocument/2006/relationships/image" Target="../media/image28.emf"/><Relationship Id="rId1" Type="http://schemas.openxmlformats.org/officeDocument/2006/relationships/image" Target="../media/image29.emf"/><Relationship Id="rId6" Type="http://schemas.openxmlformats.org/officeDocument/2006/relationships/image" Target="../media/image31.emf"/><Relationship Id="rId11" Type="http://schemas.openxmlformats.org/officeDocument/2006/relationships/image" Target="../media/image36.emf"/><Relationship Id="rId5" Type="http://schemas.openxmlformats.org/officeDocument/2006/relationships/image" Target="../media/image30.emf"/><Relationship Id="rId10" Type="http://schemas.openxmlformats.org/officeDocument/2006/relationships/image" Target="../media/image35.emf"/><Relationship Id="rId4" Type="http://schemas.openxmlformats.org/officeDocument/2006/relationships/image" Target="../media/image26.emf"/><Relationship Id="rId9" Type="http://schemas.openxmlformats.org/officeDocument/2006/relationships/image" Target="../media/image3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3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9.emf"/></Relationships>
</file>

<file path=xl/drawings/drawing1.xml><?xml version="1.0" encoding="utf-8"?>
<xdr:wsDr xmlns:xdr="http://schemas.openxmlformats.org/drawingml/2006/spreadsheetDrawing" xmlns:a="http://schemas.openxmlformats.org/drawingml/2006/main">
  <xdr:twoCellAnchor>
    <xdr:from>
      <xdr:col>3</xdr:col>
      <xdr:colOff>167640</xdr:colOff>
      <xdr:row>1</xdr:row>
      <xdr:rowOff>60960</xdr:rowOff>
    </xdr:from>
    <xdr:to>
      <xdr:col>3</xdr:col>
      <xdr:colOff>1569720</xdr:colOff>
      <xdr:row>1</xdr:row>
      <xdr:rowOff>419100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370320" y="22860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6522720</xdr:colOff>
      <xdr:row>0</xdr:row>
      <xdr:rowOff>160020</xdr:rowOff>
    </xdr:from>
    <xdr:to>
      <xdr:col>1</xdr:col>
      <xdr:colOff>7924800</xdr:colOff>
      <xdr:row>2</xdr:row>
      <xdr:rowOff>83820</xdr:rowOff>
    </xdr:to>
    <xdr:sp macro="[0]!InputSheet" textlink="">
      <xdr:nvSpPr>
        <xdr:cNvPr id="5" name="Rounded Rectangle 4">
          <a:extLst>
            <a:ext uri="{FF2B5EF4-FFF2-40B4-BE49-F238E27FC236}">
              <a16:creationId xmlns:a16="http://schemas.microsoft.com/office/drawing/2014/main" id="{00000000-0008-0000-0100-000005000000}"/>
            </a:ext>
          </a:extLst>
        </xdr:cNvPr>
        <xdr:cNvSpPr/>
      </xdr:nvSpPr>
      <xdr:spPr>
        <a:xfrm>
          <a:off x="7132320" y="16002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6436178</xdr:colOff>
      <xdr:row>0</xdr:row>
      <xdr:rowOff>158635</xdr:rowOff>
    </xdr:from>
    <xdr:to>
      <xdr:col>1</xdr:col>
      <xdr:colOff>7567650</xdr:colOff>
      <xdr:row>2</xdr:row>
      <xdr:rowOff>82435</xdr:rowOff>
    </xdr:to>
    <xdr:sp macro="[0]!InputSheet" textlink="">
      <xdr:nvSpPr>
        <xdr:cNvPr id="5" name="Rounded Rectangle 4">
          <a:extLst>
            <a:ext uri="{FF2B5EF4-FFF2-40B4-BE49-F238E27FC236}">
              <a16:creationId xmlns:a16="http://schemas.microsoft.com/office/drawing/2014/main" id="{00000000-0008-0000-0200-000005000000}"/>
            </a:ext>
          </a:extLst>
        </xdr:cNvPr>
        <xdr:cNvSpPr/>
      </xdr:nvSpPr>
      <xdr:spPr>
        <a:xfrm>
          <a:off x="7048499" y="158635"/>
          <a:ext cx="1131472" cy="372836"/>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editAs="oneCell">
    <xdr:from>
      <xdr:col>1</xdr:col>
      <xdr:colOff>33620</xdr:colOff>
      <xdr:row>6</xdr:row>
      <xdr:rowOff>33059</xdr:rowOff>
    </xdr:from>
    <xdr:to>
      <xdr:col>1</xdr:col>
      <xdr:colOff>8091738</xdr:colOff>
      <xdr:row>35</xdr:row>
      <xdr:rowOff>104775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643220" y="1195109"/>
          <a:ext cx="8058118" cy="5596216"/>
        </a:xfrm>
        <a:prstGeom prst="rect">
          <a:avLst/>
        </a:prstGeom>
      </xdr:spPr>
    </xdr:pic>
    <xdr:clientData/>
  </xdr:twoCellAnchor>
  <xdr:twoCellAnchor editAs="oneCell">
    <xdr:from>
      <xdr:col>1</xdr:col>
      <xdr:colOff>0</xdr:colOff>
      <xdr:row>38</xdr:row>
      <xdr:rowOff>28574</xdr:rowOff>
    </xdr:from>
    <xdr:to>
      <xdr:col>1</xdr:col>
      <xdr:colOff>8128320</xdr:colOff>
      <xdr:row>69</xdr:row>
      <xdr:rowOff>9525</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609600" y="7286624"/>
          <a:ext cx="8128320" cy="5915026"/>
        </a:xfrm>
        <a:prstGeom prst="rect">
          <a:avLst/>
        </a:prstGeom>
      </xdr:spPr>
    </xdr:pic>
    <xdr:clientData/>
  </xdr:twoCellAnchor>
  <xdr:twoCellAnchor editAs="oneCell">
    <xdr:from>
      <xdr:col>1</xdr:col>
      <xdr:colOff>1</xdr:colOff>
      <xdr:row>69</xdr:row>
      <xdr:rowOff>145678</xdr:rowOff>
    </xdr:from>
    <xdr:to>
      <xdr:col>1</xdr:col>
      <xdr:colOff>8127873</xdr:colOff>
      <xdr:row>106</xdr:row>
      <xdr:rowOff>78443</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3"/>
        <a:stretch>
          <a:fillRect/>
        </a:stretch>
      </xdr:blipFill>
      <xdr:spPr>
        <a:xfrm>
          <a:off x="605119" y="13267766"/>
          <a:ext cx="8127872" cy="593911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51</xdr:row>
      <xdr:rowOff>0</xdr:rowOff>
    </xdr:from>
    <xdr:to>
      <xdr:col>4</xdr:col>
      <xdr:colOff>0</xdr:colOff>
      <xdr:row>51</xdr:row>
      <xdr:rowOff>0</xdr:rowOff>
    </xdr:to>
    <xdr:graphicFrame macro="">
      <xdr:nvGraphicFramePr>
        <xdr:cNvPr id="1261975" name="Chart 7">
          <a:extLst>
            <a:ext uri="{FF2B5EF4-FFF2-40B4-BE49-F238E27FC236}">
              <a16:creationId xmlns:a16="http://schemas.microsoft.com/office/drawing/2014/main" id="{00000000-0008-0000-0300-000097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6" name="Chart 8">
          <a:extLst>
            <a:ext uri="{FF2B5EF4-FFF2-40B4-BE49-F238E27FC236}">
              <a16:creationId xmlns:a16="http://schemas.microsoft.com/office/drawing/2014/main" id="{00000000-0008-0000-0300-000098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7" name="Chart 13">
          <a:extLst>
            <a:ext uri="{FF2B5EF4-FFF2-40B4-BE49-F238E27FC236}">
              <a16:creationId xmlns:a16="http://schemas.microsoft.com/office/drawing/2014/main" id="{00000000-0008-0000-0300-000099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223</xdr:row>
      <xdr:rowOff>0</xdr:rowOff>
    </xdr:from>
    <xdr:to>
      <xdr:col>2</xdr:col>
      <xdr:colOff>76200</xdr:colOff>
      <xdr:row>224</xdr:row>
      <xdr:rowOff>36440</xdr:rowOff>
    </xdr:to>
    <xdr:sp macro="" textlink="">
      <xdr:nvSpPr>
        <xdr:cNvPr id="1261978" name="Text Box 14">
          <a:extLst>
            <a:ext uri="{FF2B5EF4-FFF2-40B4-BE49-F238E27FC236}">
              <a16:creationId xmlns:a16="http://schemas.microsoft.com/office/drawing/2014/main" id="{00000000-0008-0000-0300-00009A411300}"/>
            </a:ext>
          </a:extLst>
        </xdr:cNvPr>
        <xdr:cNvSpPr txBox="1">
          <a:spLocks noChangeArrowheads="1"/>
        </xdr:cNvSpPr>
      </xdr:nvSpPr>
      <xdr:spPr bwMode="auto">
        <a:xfrm>
          <a:off x="4617720" y="5262372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798195</xdr:colOff>
      <xdr:row>56</xdr:row>
      <xdr:rowOff>114300</xdr:rowOff>
    </xdr:from>
    <xdr:to>
      <xdr:col>4</xdr:col>
      <xdr:colOff>1557721</xdr:colOff>
      <xdr:row>71</xdr:row>
      <xdr:rowOff>161925</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7524750" y="12639675"/>
          <a:ext cx="733425" cy="3829050"/>
        </a:xfrm>
        <a:prstGeom prst="rightBrace">
          <a:avLst>
            <a:gd name="adj1" fmla="val 8333"/>
            <a:gd name="adj2" fmla="val 49735"/>
          </a:avLst>
        </a:prstGeom>
        <a:ln w="38100"/>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3</xdr:col>
          <xdr:colOff>160020</xdr:colOff>
          <xdr:row>66</xdr:row>
          <xdr:rowOff>7620</xdr:rowOff>
        </xdr:from>
        <xdr:to>
          <xdr:col>3</xdr:col>
          <xdr:colOff>487680</xdr:colOff>
          <xdr:row>66</xdr:row>
          <xdr:rowOff>190500</xdr:rowOff>
        </xdr:to>
        <xdr:sp macro="" textlink="">
          <xdr:nvSpPr>
            <xdr:cNvPr id="1061" name="Label1"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2499360</xdr:colOff>
          <xdr:row>66</xdr:row>
          <xdr:rowOff>30480</xdr:rowOff>
        </xdr:from>
        <xdr:to>
          <xdr:col>1</xdr:col>
          <xdr:colOff>3718560</xdr:colOff>
          <xdr:row>66</xdr:row>
          <xdr:rowOff>213360</xdr:rowOff>
        </xdr:to>
        <xdr:sp macro="" textlink="">
          <xdr:nvSpPr>
            <xdr:cNvPr id="1063" name="lblUseDfltPrice" hidden="1">
              <a:extLst>
                <a:ext uri="{63B3BB69-23CF-44E3-9099-C40C66FF867C}">
                  <a14:compatExt spid="_x0000_s1063"/>
                </a:ext>
                <a:ext uri="{FF2B5EF4-FFF2-40B4-BE49-F238E27FC236}">
                  <a16:creationId xmlns:a16="http://schemas.microsoft.com/office/drawing/2014/main" id="{00000000-0008-0000-03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289560</xdr:colOff>
          <xdr:row>128</xdr:row>
          <xdr:rowOff>251460</xdr:rowOff>
        </xdr:from>
        <xdr:to>
          <xdr:col>3</xdr:col>
          <xdr:colOff>182880</xdr:colOff>
          <xdr:row>129</xdr:row>
          <xdr:rowOff>228600</xdr:rowOff>
        </xdr:to>
        <xdr:sp macro="" textlink="">
          <xdr:nvSpPr>
            <xdr:cNvPr id="1076" name="chkNonEnergyByProd"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2217420</xdr:colOff>
          <xdr:row>131</xdr:row>
          <xdr:rowOff>38100</xdr:rowOff>
        </xdr:from>
        <xdr:to>
          <xdr:col>1</xdr:col>
          <xdr:colOff>3611880</xdr:colOff>
          <xdr:row>131</xdr:row>
          <xdr:rowOff>220980</xdr:rowOff>
        </xdr:to>
        <xdr:sp macro="" textlink="">
          <xdr:nvSpPr>
            <xdr:cNvPr id="1083" name="lblUseOtherDefault"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297180</xdr:colOff>
          <xdr:row>131</xdr:row>
          <xdr:rowOff>45720</xdr:rowOff>
        </xdr:from>
        <xdr:to>
          <xdr:col>3</xdr:col>
          <xdr:colOff>609600</xdr:colOff>
          <xdr:row>131</xdr:row>
          <xdr:rowOff>228600</xdr:rowOff>
        </xdr:to>
        <xdr:sp macro="" textlink="">
          <xdr:nvSpPr>
            <xdr:cNvPr id="1085" name="Label3"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198120</xdr:colOff>
          <xdr:row>40</xdr:row>
          <xdr:rowOff>182880</xdr:rowOff>
        </xdr:from>
        <xdr:to>
          <xdr:col>3</xdr:col>
          <xdr:colOff>1226820</xdr:colOff>
          <xdr:row>41</xdr:row>
          <xdr:rowOff>182880</xdr:rowOff>
        </xdr:to>
        <xdr:sp macro="" textlink="">
          <xdr:nvSpPr>
            <xdr:cNvPr id="1093" name="chk_depr_type"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198120</xdr:colOff>
          <xdr:row>42</xdr:row>
          <xdr:rowOff>7620</xdr:rowOff>
        </xdr:from>
        <xdr:to>
          <xdr:col>3</xdr:col>
          <xdr:colOff>1226820</xdr:colOff>
          <xdr:row>43</xdr:row>
          <xdr:rowOff>7620</xdr:rowOff>
        </xdr:to>
        <xdr:sp macro="" textlink="">
          <xdr:nvSpPr>
            <xdr:cNvPr id="1096" name="chk_equity" hidden="1">
              <a:extLst>
                <a:ext uri="{63B3BB69-23CF-44E3-9099-C40C66FF867C}">
                  <a14:compatExt spid="_x0000_s1096"/>
                </a:ext>
                <a:ext uri="{FF2B5EF4-FFF2-40B4-BE49-F238E27FC236}">
                  <a16:creationId xmlns:a16="http://schemas.microsoft.com/office/drawing/2014/main" id="{00000000-0008-0000-03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198120</xdr:colOff>
          <xdr:row>29</xdr:row>
          <xdr:rowOff>7620</xdr:rowOff>
        </xdr:from>
        <xdr:to>
          <xdr:col>3</xdr:col>
          <xdr:colOff>1226820</xdr:colOff>
          <xdr:row>30</xdr:row>
          <xdr:rowOff>30480</xdr:rowOff>
        </xdr:to>
        <xdr:sp macro="" textlink="">
          <xdr:nvSpPr>
            <xdr:cNvPr id="1097" name="chk_ref_year" hidden="1">
              <a:extLst>
                <a:ext uri="{63B3BB69-23CF-44E3-9099-C40C66FF867C}">
                  <a14:compatExt spid="_x0000_s1097"/>
                </a:ext>
                <a:ext uri="{FF2B5EF4-FFF2-40B4-BE49-F238E27FC236}">
                  <a16:creationId xmlns:a16="http://schemas.microsoft.com/office/drawing/2014/main" id="{00000000-0008-0000-0300-00004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198120</xdr:colOff>
          <xdr:row>48</xdr:row>
          <xdr:rowOff>7620</xdr:rowOff>
        </xdr:from>
        <xdr:to>
          <xdr:col>3</xdr:col>
          <xdr:colOff>1226820</xdr:colOff>
          <xdr:row>49</xdr:row>
          <xdr:rowOff>7620</xdr:rowOff>
        </xdr:to>
        <xdr:sp macro="" textlink="">
          <xdr:nvSpPr>
            <xdr:cNvPr id="1098" name="chk_decom_percent" hidden="1">
              <a:extLst>
                <a:ext uri="{63B3BB69-23CF-44E3-9099-C40C66FF867C}">
                  <a14:compatExt spid="_x0000_s1098"/>
                </a:ext>
                <a:ext uri="{FF2B5EF4-FFF2-40B4-BE49-F238E27FC236}">
                  <a16:creationId xmlns:a16="http://schemas.microsoft.com/office/drawing/2014/main" id="{00000000-0008-0000-0300-00004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198120</xdr:colOff>
          <xdr:row>49</xdr:row>
          <xdr:rowOff>7620</xdr:rowOff>
        </xdr:from>
        <xdr:to>
          <xdr:col>3</xdr:col>
          <xdr:colOff>1226820</xdr:colOff>
          <xdr:row>50</xdr:row>
          <xdr:rowOff>7620</xdr:rowOff>
        </xdr:to>
        <xdr:sp macro="" textlink="">
          <xdr:nvSpPr>
            <xdr:cNvPr id="1109" name="chk_salvage_perct" hidden="1">
              <a:extLst>
                <a:ext uri="{63B3BB69-23CF-44E3-9099-C40C66FF867C}">
                  <a14:compatExt spid="_x0000_s1109"/>
                </a:ext>
                <a:ext uri="{FF2B5EF4-FFF2-40B4-BE49-F238E27FC236}">
                  <a16:creationId xmlns:a16="http://schemas.microsoft.com/office/drawing/2014/main" id="{00000000-0008-0000-03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198120</xdr:colOff>
          <xdr:row>50</xdr:row>
          <xdr:rowOff>7620</xdr:rowOff>
        </xdr:from>
        <xdr:to>
          <xdr:col>3</xdr:col>
          <xdr:colOff>1226820</xdr:colOff>
          <xdr:row>51</xdr:row>
          <xdr:rowOff>7620</xdr:rowOff>
        </xdr:to>
        <xdr:sp macro="" textlink="">
          <xdr:nvSpPr>
            <xdr:cNvPr id="1110" name="chk_inflation_rate" hidden="1">
              <a:extLst>
                <a:ext uri="{63B3BB69-23CF-44E3-9099-C40C66FF867C}">
                  <a14:compatExt spid="_x0000_s1110"/>
                </a:ext>
                <a:ext uri="{FF2B5EF4-FFF2-40B4-BE49-F238E27FC236}">
                  <a16:creationId xmlns:a16="http://schemas.microsoft.com/office/drawing/2014/main" id="{00000000-0008-0000-03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198120</xdr:colOff>
          <xdr:row>51</xdr:row>
          <xdr:rowOff>7620</xdr:rowOff>
        </xdr:from>
        <xdr:to>
          <xdr:col>3</xdr:col>
          <xdr:colOff>1226820</xdr:colOff>
          <xdr:row>52</xdr:row>
          <xdr:rowOff>7620</xdr:rowOff>
        </xdr:to>
        <xdr:sp macro="" textlink="">
          <xdr:nvSpPr>
            <xdr:cNvPr id="1111" name="chk_real_irr" hidden="1">
              <a:extLst>
                <a:ext uri="{63B3BB69-23CF-44E3-9099-C40C66FF867C}">
                  <a14:compatExt spid="_x0000_s1111"/>
                </a:ext>
                <a:ext uri="{FF2B5EF4-FFF2-40B4-BE49-F238E27FC236}">
                  <a16:creationId xmlns:a16="http://schemas.microsoft.com/office/drawing/2014/main" id="{00000000-0008-0000-03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198120</xdr:colOff>
          <xdr:row>52</xdr:row>
          <xdr:rowOff>7620</xdr:rowOff>
        </xdr:from>
        <xdr:to>
          <xdr:col>3</xdr:col>
          <xdr:colOff>1226820</xdr:colOff>
          <xdr:row>53</xdr:row>
          <xdr:rowOff>7620</xdr:rowOff>
        </xdr:to>
        <xdr:sp macro="" textlink="">
          <xdr:nvSpPr>
            <xdr:cNvPr id="1112" name="chk_state_tax_rate" hidden="1">
              <a:extLst>
                <a:ext uri="{63B3BB69-23CF-44E3-9099-C40C66FF867C}">
                  <a14:compatExt spid="_x0000_s1112"/>
                </a:ext>
                <a:ext uri="{FF2B5EF4-FFF2-40B4-BE49-F238E27FC236}">
                  <a16:creationId xmlns:a16="http://schemas.microsoft.com/office/drawing/2014/main" id="{00000000-0008-0000-0300-00005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198120</xdr:colOff>
          <xdr:row>53</xdr:row>
          <xdr:rowOff>7620</xdr:rowOff>
        </xdr:from>
        <xdr:to>
          <xdr:col>3</xdr:col>
          <xdr:colOff>1226820</xdr:colOff>
          <xdr:row>54</xdr:row>
          <xdr:rowOff>7620</xdr:rowOff>
        </xdr:to>
        <xdr:sp macro="" textlink="">
          <xdr:nvSpPr>
            <xdr:cNvPr id="1113" name="chk_fed_tax_rate" hidden="1">
              <a:extLst>
                <a:ext uri="{63B3BB69-23CF-44E3-9099-C40C66FF867C}">
                  <a14:compatExt spid="_x0000_s1113"/>
                </a:ext>
                <a:ext uri="{FF2B5EF4-FFF2-40B4-BE49-F238E27FC236}">
                  <a16:creationId xmlns:a16="http://schemas.microsoft.com/office/drawing/2014/main" id="{00000000-0008-0000-03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198120</xdr:colOff>
          <xdr:row>55</xdr:row>
          <xdr:rowOff>7620</xdr:rowOff>
        </xdr:from>
        <xdr:to>
          <xdr:col>3</xdr:col>
          <xdr:colOff>1226820</xdr:colOff>
          <xdr:row>56</xdr:row>
          <xdr:rowOff>7620</xdr:rowOff>
        </xdr:to>
        <xdr:sp macro="" textlink="">
          <xdr:nvSpPr>
            <xdr:cNvPr id="1114" name="chk_WorkingCap" hidden="1">
              <a:extLst>
                <a:ext uri="{63B3BB69-23CF-44E3-9099-C40C66FF867C}">
                  <a14:compatExt spid="_x0000_s1114"/>
                </a:ext>
                <a:ext uri="{FF2B5EF4-FFF2-40B4-BE49-F238E27FC236}">
                  <a16:creationId xmlns:a16="http://schemas.microsoft.com/office/drawing/2014/main" id="{00000000-0008-0000-03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113</xdr:row>
          <xdr:rowOff>7620</xdr:rowOff>
        </xdr:from>
        <xdr:to>
          <xdr:col>3</xdr:col>
          <xdr:colOff>1165860</xdr:colOff>
          <xdr:row>114</xdr:row>
          <xdr:rowOff>30480</xdr:rowOff>
        </xdr:to>
        <xdr:sp macro="" textlink="">
          <xdr:nvSpPr>
            <xdr:cNvPr id="1173" name="chk_overhead_rate" hidden="1">
              <a:extLst>
                <a:ext uri="{63B3BB69-23CF-44E3-9099-C40C66FF867C}">
                  <a14:compatExt spid="_x0000_s1173"/>
                </a:ext>
                <a:ext uri="{FF2B5EF4-FFF2-40B4-BE49-F238E27FC236}">
                  <a16:creationId xmlns:a16="http://schemas.microsoft.com/office/drawing/2014/main" id="{00000000-0008-0000-0300-00009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116</xdr:row>
          <xdr:rowOff>38100</xdr:rowOff>
        </xdr:from>
        <xdr:to>
          <xdr:col>3</xdr:col>
          <xdr:colOff>1089660</xdr:colOff>
          <xdr:row>116</xdr:row>
          <xdr:rowOff>251460</xdr:rowOff>
        </xdr:to>
        <xdr:sp macro="" textlink="">
          <xdr:nvSpPr>
            <xdr:cNvPr id="1174" name="chk_tax_ins_rate" hidden="1">
              <a:extLst>
                <a:ext uri="{63B3BB69-23CF-44E3-9099-C40C66FF867C}">
                  <a14:compatExt spid="_x0000_s1174"/>
                </a:ext>
                <a:ext uri="{FF2B5EF4-FFF2-40B4-BE49-F238E27FC236}">
                  <a16:creationId xmlns:a16="http://schemas.microsoft.com/office/drawing/2014/main" id="{00000000-0008-0000-0300-00009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182880</xdr:colOff>
          <xdr:row>152</xdr:row>
          <xdr:rowOff>7620</xdr:rowOff>
        </xdr:from>
        <xdr:to>
          <xdr:col>5</xdr:col>
          <xdr:colOff>1211580</xdr:colOff>
          <xdr:row>153</xdr:row>
          <xdr:rowOff>7620</xdr:rowOff>
        </xdr:to>
        <xdr:sp macro="" textlink="">
          <xdr:nvSpPr>
            <xdr:cNvPr id="1175" name="chk_royalties" hidden="1">
              <a:extLst>
                <a:ext uri="{63B3BB69-23CF-44E3-9099-C40C66FF867C}">
                  <a14:compatExt spid="_x0000_s1175"/>
                </a:ext>
                <a:ext uri="{FF2B5EF4-FFF2-40B4-BE49-F238E27FC236}">
                  <a16:creationId xmlns:a16="http://schemas.microsoft.com/office/drawing/2014/main" id="{00000000-0008-0000-0300-00009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182880</xdr:colOff>
          <xdr:row>153</xdr:row>
          <xdr:rowOff>7620</xdr:rowOff>
        </xdr:from>
        <xdr:to>
          <xdr:col>5</xdr:col>
          <xdr:colOff>1211580</xdr:colOff>
          <xdr:row>154</xdr:row>
          <xdr:rowOff>7620</xdr:rowOff>
        </xdr:to>
        <xdr:sp macro="" textlink="">
          <xdr:nvSpPr>
            <xdr:cNvPr id="1176" name="chk_operator_profit" hidden="1">
              <a:extLst>
                <a:ext uri="{63B3BB69-23CF-44E3-9099-C40C66FF867C}">
                  <a14:compatExt spid="_x0000_s1176"/>
                </a:ext>
                <a:ext uri="{FF2B5EF4-FFF2-40B4-BE49-F238E27FC236}">
                  <a16:creationId xmlns:a16="http://schemas.microsoft.com/office/drawing/2014/main" id="{00000000-0008-0000-0300-00009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182880</xdr:colOff>
          <xdr:row>154</xdr:row>
          <xdr:rowOff>0</xdr:rowOff>
        </xdr:from>
        <xdr:to>
          <xdr:col>5</xdr:col>
          <xdr:colOff>1211580</xdr:colOff>
          <xdr:row>155</xdr:row>
          <xdr:rowOff>0</xdr:rowOff>
        </xdr:to>
        <xdr:sp macro="" textlink="">
          <xdr:nvSpPr>
            <xdr:cNvPr id="1177" name="chk_tax_credit" hidden="1">
              <a:extLst>
                <a:ext uri="{63B3BB69-23CF-44E3-9099-C40C66FF867C}">
                  <a14:compatExt spid="_x0000_s1177"/>
                </a:ext>
                <a:ext uri="{FF2B5EF4-FFF2-40B4-BE49-F238E27FC236}">
                  <a16:creationId xmlns:a16="http://schemas.microsoft.com/office/drawing/2014/main" id="{00000000-0008-0000-0300-00009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182880</xdr:colOff>
          <xdr:row>156</xdr:row>
          <xdr:rowOff>0</xdr:rowOff>
        </xdr:from>
        <xdr:to>
          <xdr:col>5</xdr:col>
          <xdr:colOff>1211580</xdr:colOff>
          <xdr:row>157</xdr:row>
          <xdr:rowOff>0</xdr:rowOff>
        </xdr:to>
        <xdr:sp macro="" textlink="">
          <xdr:nvSpPr>
            <xdr:cNvPr id="1223" name="chk_Proc_CO2_tax" hidden="1">
              <a:extLst>
                <a:ext uri="{63B3BB69-23CF-44E3-9099-C40C66FF867C}">
                  <a14:compatExt spid="_x0000_s1223"/>
                </a:ext>
                <a:ext uri="{FF2B5EF4-FFF2-40B4-BE49-F238E27FC236}">
                  <a16:creationId xmlns:a16="http://schemas.microsoft.com/office/drawing/2014/main" id="{00000000-0008-0000-0300-0000C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182880</xdr:colOff>
          <xdr:row>158</xdr:row>
          <xdr:rowOff>0</xdr:rowOff>
        </xdr:from>
        <xdr:to>
          <xdr:col>5</xdr:col>
          <xdr:colOff>1211580</xdr:colOff>
          <xdr:row>159</xdr:row>
          <xdr:rowOff>0</xdr:rowOff>
        </xdr:to>
        <xdr:sp macro="" textlink="">
          <xdr:nvSpPr>
            <xdr:cNvPr id="1224" name="chk_Upstream_CO2_tax" hidden="1">
              <a:extLst>
                <a:ext uri="{63B3BB69-23CF-44E3-9099-C40C66FF867C}">
                  <a14:compatExt spid="_x0000_s1224"/>
                </a:ext>
                <a:ext uri="{FF2B5EF4-FFF2-40B4-BE49-F238E27FC236}">
                  <a16:creationId xmlns:a16="http://schemas.microsoft.com/office/drawing/2014/main" id="{00000000-0008-0000-0300-0000C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887505</xdr:colOff>
      <xdr:row>4</xdr:row>
      <xdr:rowOff>35859</xdr:rowOff>
    </xdr:from>
    <xdr:to>
      <xdr:col>6</xdr:col>
      <xdr:colOff>1045029</xdr:colOff>
      <xdr:row>22</xdr:row>
      <xdr:rowOff>32933</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3537856</xdr:colOff>
      <xdr:row>5</xdr:row>
      <xdr:rowOff>21771</xdr:rowOff>
    </xdr:from>
    <xdr:to>
      <xdr:col>2</xdr:col>
      <xdr:colOff>598713</xdr:colOff>
      <xdr:row>6</xdr:row>
      <xdr:rowOff>161108</xdr:rowOff>
    </xdr:to>
    <xdr:sp macro="[0]!ProjInfo" textlink="">
      <xdr:nvSpPr>
        <xdr:cNvPr id="2" name="Rounded Rectangle 1">
          <a:extLst>
            <a:ext uri="{FF2B5EF4-FFF2-40B4-BE49-F238E27FC236}">
              <a16:creationId xmlns:a16="http://schemas.microsoft.com/office/drawing/2014/main" id="{00000000-0008-0000-0300-000002000000}"/>
            </a:ext>
          </a:extLst>
        </xdr:cNvPr>
        <xdr:cNvSpPr/>
      </xdr:nvSpPr>
      <xdr:spPr>
        <a:xfrm>
          <a:off x="3842656" y="1088571"/>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3537856</xdr:colOff>
      <xdr:row>7</xdr:row>
      <xdr:rowOff>97971</xdr:rowOff>
    </xdr:from>
    <xdr:to>
      <xdr:col>2</xdr:col>
      <xdr:colOff>598713</xdr:colOff>
      <xdr:row>8</xdr:row>
      <xdr:rowOff>139337</xdr:rowOff>
    </xdr:to>
    <xdr:sp macro="[0]!ShowKey" textlink="">
      <xdr:nvSpPr>
        <xdr:cNvPr id="3" name="Rounded Rectangle 2">
          <a:extLst>
            <a:ext uri="{FF2B5EF4-FFF2-40B4-BE49-F238E27FC236}">
              <a16:creationId xmlns:a16="http://schemas.microsoft.com/office/drawing/2014/main" id="{00000000-0008-0000-0300-000003000000}"/>
            </a:ext>
          </a:extLst>
        </xdr:cNvPr>
        <xdr:cNvSpPr/>
      </xdr:nvSpPr>
      <xdr:spPr>
        <a:xfrm>
          <a:off x="3842656" y="1709057"/>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3537856</xdr:colOff>
      <xdr:row>9</xdr:row>
      <xdr:rowOff>32656</xdr:rowOff>
    </xdr:from>
    <xdr:to>
      <xdr:col>2</xdr:col>
      <xdr:colOff>598713</xdr:colOff>
      <xdr:row>11</xdr:row>
      <xdr:rowOff>-1</xdr:rowOff>
    </xdr:to>
    <xdr:sp macro="[0]!UseDefaultValues" textlink="">
      <xdr:nvSpPr>
        <xdr:cNvPr id="47" name="Rounded Rectangle 46">
          <a:extLst>
            <a:ext uri="{FF2B5EF4-FFF2-40B4-BE49-F238E27FC236}">
              <a16:creationId xmlns:a16="http://schemas.microsoft.com/office/drawing/2014/main" id="{00000000-0008-0000-0300-00002F000000}"/>
            </a:ext>
          </a:extLst>
        </xdr:cNvPr>
        <xdr:cNvSpPr/>
      </xdr:nvSpPr>
      <xdr:spPr>
        <a:xfrm>
          <a:off x="3842656" y="2285999"/>
          <a:ext cx="1371600" cy="5116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468087</xdr:colOff>
      <xdr:row>65</xdr:row>
      <xdr:rowOff>152004</xdr:rowOff>
    </xdr:from>
    <xdr:to>
      <xdr:col>4</xdr:col>
      <xdr:colOff>1110343</xdr:colOff>
      <xdr:row>67</xdr:row>
      <xdr:rowOff>32657</xdr:rowOff>
    </xdr:to>
    <xdr:sp macro="[0]!EnterPrice" textlink="">
      <xdr:nvSpPr>
        <xdr:cNvPr id="48" name="Rounded Rectangle 47">
          <a:extLst>
            <a:ext uri="{FF2B5EF4-FFF2-40B4-BE49-F238E27FC236}">
              <a16:creationId xmlns:a16="http://schemas.microsoft.com/office/drawing/2014/main" id="{00000000-0008-0000-0300-000030000000}"/>
            </a:ext>
          </a:extLst>
        </xdr:cNvPr>
        <xdr:cNvSpPr/>
      </xdr:nvSpPr>
      <xdr:spPr>
        <a:xfrm>
          <a:off x="6531430" y="15370233"/>
          <a:ext cx="2024742" cy="359624"/>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239485</xdr:colOff>
      <xdr:row>70</xdr:row>
      <xdr:rowOff>152401</xdr:rowOff>
    </xdr:from>
    <xdr:to>
      <xdr:col>5</xdr:col>
      <xdr:colOff>1338942</xdr:colOff>
      <xdr:row>71</xdr:row>
      <xdr:rowOff>315686</xdr:rowOff>
    </xdr:to>
    <xdr:sp macro="[0]!Delete" textlink="">
      <xdr:nvSpPr>
        <xdr:cNvPr id="49" name="Rounded Rectangle 48">
          <a:extLst>
            <a:ext uri="{FF2B5EF4-FFF2-40B4-BE49-F238E27FC236}">
              <a16:creationId xmlns:a16="http://schemas.microsoft.com/office/drawing/2014/main" id="{00000000-0008-0000-0300-000031000000}"/>
            </a:ext>
          </a:extLst>
        </xdr:cNvPr>
        <xdr:cNvSpPr/>
      </xdr:nvSpPr>
      <xdr:spPr>
        <a:xfrm>
          <a:off x="9350828" y="16568058"/>
          <a:ext cx="1099457" cy="40277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2</xdr:col>
      <xdr:colOff>228601</xdr:colOff>
      <xdr:row>70</xdr:row>
      <xdr:rowOff>163286</xdr:rowOff>
    </xdr:from>
    <xdr:to>
      <xdr:col>2</xdr:col>
      <xdr:colOff>1186544</xdr:colOff>
      <xdr:row>71</xdr:row>
      <xdr:rowOff>315685</xdr:rowOff>
    </xdr:to>
    <xdr:sp macro="[0]!Add" textlink="">
      <xdr:nvSpPr>
        <xdr:cNvPr id="50" name="Rounded Rectangle 49">
          <a:extLst>
            <a:ext uri="{FF2B5EF4-FFF2-40B4-BE49-F238E27FC236}">
              <a16:creationId xmlns:a16="http://schemas.microsoft.com/office/drawing/2014/main" id="{00000000-0008-0000-0300-000032000000}"/>
            </a:ext>
          </a:extLst>
        </xdr:cNvPr>
        <xdr:cNvSpPr/>
      </xdr:nvSpPr>
      <xdr:spPr>
        <a:xfrm>
          <a:off x="4844144" y="16578943"/>
          <a:ext cx="957943" cy="39188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806184</xdr:colOff>
      <xdr:row>130</xdr:row>
      <xdr:rowOff>289433</xdr:rowOff>
    </xdr:from>
    <xdr:to>
      <xdr:col>5</xdr:col>
      <xdr:colOff>681318</xdr:colOff>
      <xdr:row>132</xdr:row>
      <xdr:rowOff>26895</xdr:rowOff>
    </xdr:to>
    <xdr:sp macro="[0]!EnterPrices2" textlink="">
      <xdr:nvSpPr>
        <xdr:cNvPr id="51" name="Rounded Rectangle 50">
          <a:extLst>
            <a:ext uri="{FF2B5EF4-FFF2-40B4-BE49-F238E27FC236}">
              <a16:creationId xmlns:a16="http://schemas.microsoft.com/office/drawing/2014/main" id="{00000000-0008-0000-0300-000033000000}"/>
            </a:ext>
          </a:extLst>
        </xdr:cNvPr>
        <xdr:cNvSpPr/>
      </xdr:nvSpPr>
      <xdr:spPr>
        <a:xfrm>
          <a:off x="6875290" y="33647104"/>
          <a:ext cx="2923134" cy="2753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789535</xdr:colOff>
      <xdr:row>133</xdr:row>
      <xdr:rowOff>143435</xdr:rowOff>
    </xdr:from>
    <xdr:to>
      <xdr:col>4</xdr:col>
      <xdr:colOff>645460</xdr:colOff>
      <xdr:row>134</xdr:row>
      <xdr:rowOff>295836</xdr:rowOff>
    </xdr:to>
    <xdr:sp macro="[0]!AddTwo" textlink="">
      <xdr:nvSpPr>
        <xdr:cNvPr id="52" name="Rounded Rectangle 51">
          <a:extLst>
            <a:ext uri="{FF2B5EF4-FFF2-40B4-BE49-F238E27FC236}">
              <a16:creationId xmlns:a16="http://schemas.microsoft.com/office/drawing/2014/main" id="{00000000-0008-0000-0300-000034000000}"/>
            </a:ext>
          </a:extLst>
        </xdr:cNvPr>
        <xdr:cNvSpPr/>
      </xdr:nvSpPr>
      <xdr:spPr>
        <a:xfrm>
          <a:off x="6858641" y="34272070"/>
          <a:ext cx="1236490" cy="39444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5</xdr:col>
      <xdr:colOff>152401</xdr:colOff>
      <xdr:row>133</xdr:row>
      <xdr:rowOff>152400</xdr:rowOff>
    </xdr:from>
    <xdr:to>
      <xdr:col>5</xdr:col>
      <xdr:colOff>1156447</xdr:colOff>
      <xdr:row>135</xdr:row>
      <xdr:rowOff>3841</xdr:rowOff>
    </xdr:to>
    <xdr:sp macro="[0]!DeleteTwo" textlink="">
      <xdr:nvSpPr>
        <xdr:cNvPr id="53" name="Rounded Rectangle 52">
          <a:extLst>
            <a:ext uri="{FF2B5EF4-FFF2-40B4-BE49-F238E27FC236}">
              <a16:creationId xmlns:a16="http://schemas.microsoft.com/office/drawing/2014/main" id="{00000000-0008-0000-0300-000035000000}"/>
            </a:ext>
          </a:extLst>
        </xdr:cNvPr>
        <xdr:cNvSpPr/>
      </xdr:nvSpPr>
      <xdr:spPr>
        <a:xfrm>
          <a:off x="9269507" y="34281035"/>
          <a:ext cx="1004046" cy="39828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3</xdr:col>
      <xdr:colOff>35860</xdr:colOff>
      <xdr:row>151</xdr:row>
      <xdr:rowOff>17930</xdr:rowOff>
    </xdr:from>
    <xdr:to>
      <xdr:col>4</xdr:col>
      <xdr:colOff>762001</xdr:colOff>
      <xdr:row>151</xdr:row>
      <xdr:rowOff>331695</xdr:rowOff>
    </xdr:to>
    <xdr:sp macro="[0]!EnterSpecificCosts" textlink="">
      <xdr:nvSpPr>
        <xdr:cNvPr id="54" name="Rounded Rectangle 53">
          <a:extLst>
            <a:ext uri="{FF2B5EF4-FFF2-40B4-BE49-F238E27FC236}">
              <a16:creationId xmlns:a16="http://schemas.microsoft.com/office/drawing/2014/main" id="{00000000-0008-0000-0300-000036000000}"/>
            </a:ext>
          </a:extLst>
        </xdr:cNvPr>
        <xdr:cNvSpPr/>
      </xdr:nvSpPr>
      <xdr:spPr>
        <a:xfrm>
          <a:off x="6104966" y="40054306"/>
          <a:ext cx="2106706" cy="31376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87085</xdr:colOff>
      <xdr:row>2</xdr:row>
      <xdr:rowOff>32658</xdr:rowOff>
    </xdr:from>
    <xdr:to>
      <xdr:col>5</xdr:col>
      <xdr:colOff>424542</xdr:colOff>
      <xdr:row>3</xdr:row>
      <xdr:rowOff>54429</xdr:rowOff>
    </xdr:to>
    <xdr:sp macro="[0]!ViewDescription" textlink="">
      <xdr:nvSpPr>
        <xdr:cNvPr id="5" name="Rounded Rectangle 4">
          <a:extLst>
            <a:ext uri="{FF2B5EF4-FFF2-40B4-BE49-F238E27FC236}">
              <a16:creationId xmlns:a16="http://schemas.microsoft.com/office/drawing/2014/main" id="{00000000-0008-0000-0300-000005000000}"/>
            </a:ext>
          </a:extLst>
        </xdr:cNvPr>
        <xdr:cNvSpPr/>
      </xdr:nvSpPr>
      <xdr:spPr>
        <a:xfrm>
          <a:off x="7532914" y="489858"/>
          <a:ext cx="2002971" cy="2721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33129</xdr:colOff>
      <xdr:row>86</xdr:row>
      <xdr:rowOff>205408</xdr:rowOff>
    </xdr:from>
    <xdr:to>
      <xdr:col>3</xdr:col>
      <xdr:colOff>1351721</xdr:colOff>
      <xdr:row>88</xdr:row>
      <xdr:rowOff>6625</xdr:rowOff>
    </xdr:to>
    <xdr:sp macro="[0]!ViewEdit" textlink="">
      <xdr:nvSpPr>
        <xdr:cNvPr id="56" name="Rounded Rectangle 55">
          <a:extLst>
            <a:ext uri="{FF2B5EF4-FFF2-40B4-BE49-F238E27FC236}">
              <a16:creationId xmlns:a16="http://schemas.microsoft.com/office/drawing/2014/main" id="{00000000-0008-0000-0300-000038000000}"/>
            </a:ext>
          </a:extLst>
        </xdr:cNvPr>
        <xdr:cNvSpPr/>
      </xdr:nvSpPr>
      <xdr:spPr>
        <a:xfrm>
          <a:off x="6102625" y="21382382"/>
          <a:ext cx="1318592" cy="26504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/Edit</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3</xdr:col>
      <xdr:colOff>26030</xdr:colOff>
      <xdr:row>88</xdr:row>
      <xdr:rowOff>20351</xdr:rowOff>
    </xdr:from>
    <xdr:to>
      <xdr:col>3</xdr:col>
      <xdr:colOff>1364974</xdr:colOff>
      <xdr:row>90</xdr:row>
      <xdr:rowOff>0</xdr:rowOff>
    </xdr:to>
    <xdr:sp macro="[0]!LinkToDetailedSheet" textlink="">
      <xdr:nvSpPr>
        <xdr:cNvPr id="57" name="Rounded Rectangle 56">
          <a:extLst>
            <a:ext uri="{FF2B5EF4-FFF2-40B4-BE49-F238E27FC236}">
              <a16:creationId xmlns:a16="http://schemas.microsoft.com/office/drawing/2014/main" id="{00000000-0008-0000-0300-000039000000}"/>
            </a:ext>
          </a:extLst>
        </xdr:cNvPr>
        <xdr:cNvSpPr/>
      </xdr:nvSpPr>
      <xdr:spPr>
        <a:xfrm>
          <a:off x="6095136" y="21804586"/>
          <a:ext cx="1338944" cy="62510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Unlink</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 Values</a:t>
          </a:r>
          <a:endParaRPr lang="en-US" sz="1200" b="1" baseline="0">
            <a:latin typeface="Arial" panose="020B0604020202020204" pitchFamily="34" charset="0"/>
            <a:cs typeface="Arial" panose="020B0604020202020204" pitchFamily="34" charset="0"/>
          </a:endParaRP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0.19752</cdr:x>
      <cdr:y>0.17079</cdr:y>
    </cdr:to>
    <cdr:sp macro="" textlink="'Tornado Charts &amp; Risk Analysis'!$H$155">
      <cdr:nvSpPr>
        <cdr:cNvPr id="3" name="TextBox 2"/>
        <cdr:cNvSpPr txBox="1"/>
      </cdr:nvSpPr>
      <cdr:spPr>
        <a:xfrm xmlns:a="http://schemas.openxmlformats.org/drawingml/2006/main">
          <a:off x="0" y="512904"/>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Cost of Hydrogen</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0.16909</cdr:x>
      <cdr:y>0.2232</cdr:y>
    </cdr:to>
    <cdr:sp macro="" textlink="'Tornado Charts &amp; Risk Analysis'!$H$156">
      <cdr:nvSpPr>
        <cdr:cNvPr id="4" name="TextBox 1"/>
        <cdr:cNvSpPr txBox="1"/>
      </cdr:nvSpPr>
      <cdr:spPr>
        <a:xfrm xmlns:a="http://schemas.openxmlformats.org/drawingml/2006/main">
          <a:off x="0" y="740742"/>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Salvage Value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0.18694</cdr:x>
      <cdr:y>0.27422</cdr:y>
    </cdr:to>
    <cdr:sp macro="" textlink="'Tornado Charts &amp; Risk Analysis'!$H$157">
      <cdr:nvSpPr>
        <cdr:cNvPr id="5" name="TextBox 1"/>
        <cdr:cNvSpPr txBox="1"/>
      </cdr:nvSpPr>
      <cdr:spPr>
        <a:xfrm xmlns:a="http://schemas.openxmlformats.org/drawingml/2006/main">
          <a:off x="0" y="964885"/>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Byproduct Sales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0.17965</cdr:x>
      <cdr:y>0.37808</cdr:y>
    </cdr:to>
    <cdr:sp macro="" textlink="'Tornado Charts &amp; Risk Analysis'!$H$159">
      <cdr:nvSpPr>
        <cdr:cNvPr id="6" name="TextBox 1"/>
        <cdr:cNvSpPr txBox="1"/>
      </cdr:nvSpPr>
      <cdr:spPr>
        <a:xfrm xmlns:a="http://schemas.openxmlformats.org/drawingml/2006/main">
          <a:off x="0" y="1426462"/>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Feedstock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0.2334</cdr:x>
      <cdr:y>0.42943</cdr:y>
    </cdr:to>
    <cdr:sp macro="" textlink="'Tornado Charts &amp; Risk Analysis'!$H$160">
      <cdr:nvSpPr>
        <cdr:cNvPr id="7" name="TextBox 1"/>
        <cdr:cNvSpPr txBox="1"/>
      </cdr:nvSpPr>
      <cdr:spPr>
        <a:xfrm xmlns:a="http://schemas.openxmlformats.org/drawingml/2006/main">
          <a:off x="0" y="1646758"/>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Fixed Operating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0.33942</cdr:x>
      <cdr:y>0.48139</cdr:y>
    </cdr:to>
    <cdr:sp macro="" textlink="'Tornado Charts &amp; Risk Analysis'!$H$161">
      <cdr:nvSpPr>
        <cdr:cNvPr id="8" name="TextBox 1"/>
        <cdr:cNvSpPr txBox="1"/>
      </cdr:nvSpPr>
      <cdr:spPr>
        <a:xfrm xmlns:a="http://schemas.openxmlformats.org/drawingml/2006/main">
          <a:off x="0" y="1875030"/>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Initial Equity Depreciable Capital</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0.33942</cdr:x>
      <cdr:y>0.53302</cdr:y>
    </cdr:to>
    <cdr:sp macro="" textlink="'Tornado Charts &amp; Risk Analysis'!$H$162">
      <cdr:nvSpPr>
        <cdr:cNvPr id="9" name="TextBox 1"/>
        <cdr:cNvSpPr txBox="1"/>
      </cdr:nvSpPr>
      <cdr:spPr>
        <a:xfrm xmlns:a="http://schemas.openxmlformats.org/drawingml/2006/main">
          <a:off x="0" y="2101852"/>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Other Variable Operating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0.15364</cdr:x>
      <cdr:y>0.58417</cdr:y>
    </cdr:to>
    <cdr:sp macro="" textlink="'Tornado Charts &amp; Risk Analysis'!$H$163">
      <cdr:nvSpPr>
        <cdr:cNvPr id="10" name="TextBox 1"/>
        <cdr:cNvSpPr txBox="1"/>
      </cdr:nvSpPr>
      <cdr:spPr>
        <a:xfrm xmlns:a="http://schemas.openxmlformats.org/drawingml/2006/main">
          <a:off x="0" y="2356864"/>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Debt Interest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0.28471</cdr:x>
      <cdr:y>0.63641</cdr:y>
    </cdr:to>
    <cdr:sp macro="" textlink="'Tornado Charts &amp; Risk Analysis'!$H$164">
      <cdr:nvSpPr>
        <cdr:cNvPr id="11" name="TextBox 1"/>
        <cdr:cNvSpPr txBox="1"/>
      </cdr:nvSpPr>
      <cdr:spPr>
        <a:xfrm xmlns:a="http://schemas.openxmlformats.org/drawingml/2006/main">
          <a:off x="0" y="2589075"/>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Yearly Replacement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0.08917</cdr:x>
      <cdr:y>0.68772</cdr:y>
    </cdr:to>
    <cdr:sp macro="" textlink="'Tornado Charts &amp; Risk Analysis'!$H$165">
      <cdr:nvSpPr>
        <cdr:cNvPr id="12" name="TextBox 1"/>
        <cdr:cNvSpPr txBox="1"/>
      </cdr:nvSpPr>
      <cdr:spPr>
        <a:xfrm xmlns:a="http://schemas.openxmlformats.org/drawingml/2006/main">
          <a:off x="0" y="2791092"/>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Taxes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0.2036</cdr:x>
      <cdr:y>0.74014</cdr:y>
    </cdr:to>
    <cdr:sp macro="" textlink="'Tornado Charts &amp; Risk Analysis'!$H$166">
      <cdr:nvSpPr>
        <cdr:cNvPr id="13" name="TextBox 1"/>
        <cdr:cNvSpPr txBox="1"/>
      </cdr:nvSpPr>
      <cdr:spPr>
        <a:xfrm xmlns:a="http://schemas.openxmlformats.org/drawingml/2006/main">
          <a:off x="0" y="3011777"/>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Principal Payment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0.35488</cdr:x>
      <cdr:y>0.79177</cdr:y>
    </cdr:to>
    <cdr:sp macro="" textlink="'Tornado Charts &amp; Risk Analysis'!$H$167">
      <cdr:nvSpPr>
        <cdr:cNvPr id="14" name="TextBox 1"/>
        <cdr:cNvSpPr txBox="1"/>
      </cdr:nvSpPr>
      <cdr:spPr>
        <a:xfrm xmlns:a="http://schemas.openxmlformats.org/drawingml/2006/main">
          <a:off x="0" y="3238600"/>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Cash for Working Capital Reserve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0.26553</cdr:x>
      <cdr:y>0.84345</cdr:y>
    </cdr:to>
    <cdr:sp macro="" textlink="'Tornado Charts &amp; Risk Analysis'!$H$168">
      <cdr:nvSpPr>
        <cdr:cNvPr id="15" name="TextBox 1"/>
        <cdr:cNvSpPr txBox="1"/>
      </cdr:nvSpPr>
      <cdr:spPr>
        <a:xfrm xmlns:a="http://schemas.openxmlformats.org/drawingml/2006/main">
          <a:off x="0" y="3465642"/>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Other Raw Material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0.26075</cdr:x>
      <cdr:y>0.89519</cdr:y>
    </cdr:to>
    <cdr:sp macro="" textlink="'Tornado Charts &amp; Risk Analysis'!$H$169">
      <cdr:nvSpPr>
        <cdr:cNvPr id="16" name="TextBox 1"/>
        <cdr:cNvSpPr txBox="1"/>
      </cdr:nvSpPr>
      <cdr:spPr>
        <a:xfrm xmlns:a="http://schemas.openxmlformats.org/drawingml/2006/main">
          <a:off x="0" y="3692947"/>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Decommissioning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0.38467</cdr:x>
      <cdr:y>0.94715</cdr:y>
    </cdr:to>
    <cdr:sp macro="" textlink="'Tornado Charts &amp; Risk Analysis'!$H$170">
      <cdr:nvSpPr>
        <cdr:cNvPr id="17" name="TextBox 1"/>
        <cdr:cNvSpPr txBox="1"/>
      </cdr:nvSpPr>
      <cdr:spPr>
        <a:xfrm xmlns:a="http://schemas.openxmlformats.org/drawingml/2006/main">
          <a:off x="0" y="3921220"/>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Other Non-Depreciable Capital Costs</a:t>
          </a:fld>
          <a:endParaRPr lang="en-US" sz="1100">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1335741</xdr:colOff>
      <xdr:row>0</xdr:row>
      <xdr:rowOff>121919</xdr:rowOff>
    </xdr:from>
    <xdr:to>
      <xdr:col>6</xdr:col>
      <xdr:colOff>26894</xdr:colOff>
      <xdr:row>2</xdr:row>
      <xdr:rowOff>94128</xdr:rowOff>
    </xdr:to>
    <xdr:sp macro="[0]!InputSheet" textlink="">
      <xdr:nvSpPr>
        <xdr:cNvPr id="6" name="Rounded Rectangle 5">
          <a:extLst>
            <a:ext uri="{FF2B5EF4-FFF2-40B4-BE49-F238E27FC236}">
              <a16:creationId xmlns:a16="http://schemas.microsoft.com/office/drawing/2014/main" id="{00000000-0008-0000-0400-000006000000}"/>
            </a:ext>
          </a:extLst>
        </xdr:cNvPr>
        <xdr:cNvSpPr/>
      </xdr:nvSpPr>
      <xdr:spPr>
        <a:xfrm>
          <a:off x="4993341" y="12191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1335741</xdr:colOff>
      <xdr:row>2</xdr:row>
      <xdr:rowOff>125504</xdr:rowOff>
    </xdr:from>
    <xdr:to>
      <xdr:col>6</xdr:col>
      <xdr:colOff>26894</xdr:colOff>
      <xdr:row>4</xdr:row>
      <xdr:rowOff>196326</xdr:rowOff>
    </xdr:to>
    <xdr:sp macro="[0]!ShowKey" textlink="">
      <xdr:nvSpPr>
        <xdr:cNvPr id="7" name="Rounded Rectangle 6">
          <a:extLst>
            <a:ext uri="{FF2B5EF4-FFF2-40B4-BE49-F238E27FC236}">
              <a16:creationId xmlns:a16="http://schemas.microsoft.com/office/drawing/2014/main" id="{00000000-0008-0000-0400-000007000000}"/>
            </a:ext>
          </a:extLst>
        </xdr:cNvPr>
        <xdr:cNvSpPr/>
      </xdr:nvSpPr>
      <xdr:spPr>
        <a:xfrm>
          <a:off x="4993341" y="564775"/>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678180</xdr:colOff>
      <xdr:row>0</xdr:row>
      <xdr:rowOff>76200</xdr:rowOff>
    </xdr:from>
    <xdr:to>
      <xdr:col>4</xdr:col>
      <xdr:colOff>769620</xdr:colOff>
      <xdr:row>2</xdr:row>
      <xdr:rowOff>38100</xdr:rowOff>
    </xdr:to>
    <xdr:sp macro="[0]!InputSheet" textlink="">
      <xdr:nvSpPr>
        <xdr:cNvPr id="6" name="Rounded Rectangle 5">
          <a:extLst>
            <a:ext uri="{FF2B5EF4-FFF2-40B4-BE49-F238E27FC236}">
              <a16:creationId xmlns:a16="http://schemas.microsoft.com/office/drawing/2014/main" id="{00000000-0008-0000-0500-000006000000}"/>
            </a:ext>
          </a:extLst>
        </xdr:cNvPr>
        <xdr:cNvSpPr/>
      </xdr:nvSpPr>
      <xdr:spPr>
        <a:xfrm>
          <a:off x="5036820" y="7620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678180</xdr:colOff>
      <xdr:row>2</xdr:row>
      <xdr:rowOff>106680</xdr:rowOff>
    </xdr:from>
    <xdr:to>
      <xdr:col>4</xdr:col>
      <xdr:colOff>769620</xdr:colOff>
      <xdr:row>4</xdr:row>
      <xdr:rowOff>152400</xdr:rowOff>
    </xdr:to>
    <xdr:sp macro="[0]!ShowKey" textlink="">
      <xdr:nvSpPr>
        <xdr:cNvPr id="7" name="Rounded Rectangle 6">
          <a:extLst>
            <a:ext uri="{FF2B5EF4-FFF2-40B4-BE49-F238E27FC236}">
              <a16:creationId xmlns:a16="http://schemas.microsoft.com/office/drawing/2014/main" id="{00000000-0008-0000-0500-000007000000}"/>
            </a:ext>
          </a:extLst>
        </xdr:cNvPr>
        <xdr:cNvSpPr/>
      </xdr:nvSpPr>
      <xdr:spPr>
        <a:xfrm>
          <a:off x="5036820" y="55626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1234440</xdr:colOff>
      <xdr:row>2</xdr:row>
      <xdr:rowOff>266700</xdr:rowOff>
    </xdr:from>
    <xdr:to>
      <xdr:col>8</xdr:col>
      <xdr:colOff>198120</xdr:colOff>
      <xdr:row>4</xdr:row>
      <xdr:rowOff>7620</xdr:rowOff>
    </xdr:to>
    <xdr:sp macro="[0]!InputSheet" textlink="">
      <xdr:nvSpPr>
        <xdr:cNvPr id="4" name="Rounded Rectangle 3">
          <a:extLst>
            <a:ext uri="{FF2B5EF4-FFF2-40B4-BE49-F238E27FC236}">
              <a16:creationId xmlns:a16="http://schemas.microsoft.com/office/drawing/2014/main" id="{00000000-0008-0000-0600-000004000000}"/>
            </a:ext>
          </a:extLst>
        </xdr:cNvPr>
        <xdr:cNvSpPr/>
      </xdr:nvSpPr>
      <xdr:spPr>
        <a:xfrm>
          <a:off x="10408920" y="67818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251460</xdr:colOff>
          <xdr:row>28</xdr:row>
          <xdr:rowOff>175260</xdr:rowOff>
        </xdr:from>
        <xdr:to>
          <xdr:col>4</xdr:col>
          <xdr:colOff>38100</xdr:colOff>
          <xdr:row>30</xdr:row>
          <xdr:rowOff>0</xdr:rowOff>
        </xdr:to>
        <xdr:sp macro="" textlink="">
          <xdr:nvSpPr>
            <xdr:cNvPr id="17452" name="chk_CO2_Capture_Efficiency" hidden="1">
              <a:extLst>
                <a:ext uri="{63B3BB69-23CF-44E3-9099-C40C66FF867C}">
                  <a14:compatExt spid="_x0000_s17452"/>
                </a:ext>
                <a:ext uri="{FF2B5EF4-FFF2-40B4-BE49-F238E27FC236}">
                  <a16:creationId xmlns:a16="http://schemas.microsoft.com/office/drawing/2014/main" id="{00000000-0008-0000-0700-00002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251460</xdr:colOff>
          <xdr:row>43</xdr:row>
          <xdr:rowOff>0</xdr:rowOff>
        </xdr:from>
        <xdr:to>
          <xdr:col>4</xdr:col>
          <xdr:colOff>38100</xdr:colOff>
          <xdr:row>44</xdr:row>
          <xdr:rowOff>22860</xdr:rowOff>
        </xdr:to>
        <xdr:sp macro="" textlink="">
          <xdr:nvSpPr>
            <xdr:cNvPr id="17453" name="chk_CO2_MaintFactor" hidden="1">
              <a:extLst>
                <a:ext uri="{63B3BB69-23CF-44E3-9099-C40C66FF867C}">
                  <a14:compatExt spid="_x0000_s17453"/>
                </a:ext>
                <a:ext uri="{FF2B5EF4-FFF2-40B4-BE49-F238E27FC236}">
                  <a16:creationId xmlns:a16="http://schemas.microsoft.com/office/drawing/2014/main" id="{00000000-0008-0000-0700-00002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251460</xdr:colOff>
          <xdr:row>30</xdr:row>
          <xdr:rowOff>68580</xdr:rowOff>
        </xdr:from>
        <xdr:to>
          <xdr:col>4</xdr:col>
          <xdr:colOff>38100</xdr:colOff>
          <xdr:row>30</xdr:row>
          <xdr:rowOff>274320</xdr:rowOff>
        </xdr:to>
        <xdr:sp macro="" textlink="">
          <xdr:nvSpPr>
            <xdr:cNvPr id="17497" name="chk_CO2_Pin_psia" hidden="1">
              <a:extLst>
                <a:ext uri="{63B3BB69-23CF-44E3-9099-C40C66FF867C}">
                  <a14:compatExt spid="_x0000_s17497"/>
                </a:ext>
                <a:ext uri="{FF2B5EF4-FFF2-40B4-BE49-F238E27FC236}">
                  <a16:creationId xmlns:a16="http://schemas.microsoft.com/office/drawing/2014/main" id="{00000000-0008-0000-0700-00005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251460</xdr:colOff>
          <xdr:row>41</xdr:row>
          <xdr:rowOff>175260</xdr:rowOff>
        </xdr:from>
        <xdr:to>
          <xdr:col>4</xdr:col>
          <xdr:colOff>144780</xdr:colOff>
          <xdr:row>43</xdr:row>
          <xdr:rowOff>7620</xdr:rowOff>
        </xdr:to>
        <xdr:sp macro="" textlink="">
          <xdr:nvSpPr>
            <xdr:cNvPr id="17509" name="chk_CO2_credit" hidden="1">
              <a:extLst>
                <a:ext uri="{63B3BB69-23CF-44E3-9099-C40C66FF867C}">
                  <a14:compatExt spid="_x0000_s17509"/>
                </a:ext>
                <a:ext uri="{FF2B5EF4-FFF2-40B4-BE49-F238E27FC236}">
                  <a16:creationId xmlns:a16="http://schemas.microsoft.com/office/drawing/2014/main" id="{00000000-0008-0000-0700-00006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163285</xdr:colOff>
      <xdr:row>10</xdr:row>
      <xdr:rowOff>19595</xdr:rowOff>
    </xdr:from>
    <xdr:to>
      <xdr:col>3</xdr:col>
      <xdr:colOff>185057</xdr:colOff>
      <xdr:row>14</xdr:row>
      <xdr:rowOff>32657</xdr:rowOff>
    </xdr:to>
    <xdr:sp macro="[0]!UseDefaultValuesCO2" textlink="">
      <xdr:nvSpPr>
        <xdr:cNvPr id="18" name="Rounded Rectangle 17">
          <a:extLst>
            <a:ext uri="{FF2B5EF4-FFF2-40B4-BE49-F238E27FC236}">
              <a16:creationId xmlns:a16="http://schemas.microsoft.com/office/drawing/2014/main" id="{00000000-0008-0000-0700-000012000000}"/>
            </a:ext>
          </a:extLst>
        </xdr:cNvPr>
        <xdr:cNvSpPr/>
      </xdr:nvSpPr>
      <xdr:spPr>
        <a:xfrm>
          <a:off x="4484914" y="3132909"/>
          <a:ext cx="1371600" cy="69886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2</xdr:col>
      <xdr:colOff>163285</xdr:colOff>
      <xdr:row>1</xdr:row>
      <xdr:rowOff>7620</xdr:rowOff>
    </xdr:from>
    <xdr:to>
      <xdr:col>3</xdr:col>
      <xdr:colOff>185057</xdr:colOff>
      <xdr:row>1</xdr:row>
      <xdr:rowOff>419100</xdr:rowOff>
    </xdr:to>
    <xdr:sp macro="[0]!InputSheet" textlink="">
      <xdr:nvSpPr>
        <xdr:cNvPr id="19" name="Rounded Rectangle 18">
          <a:extLst>
            <a:ext uri="{FF2B5EF4-FFF2-40B4-BE49-F238E27FC236}">
              <a16:creationId xmlns:a16="http://schemas.microsoft.com/office/drawing/2014/main" id="{00000000-0008-0000-0700-000013000000}"/>
            </a:ext>
          </a:extLst>
        </xdr:cNvPr>
        <xdr:cNvSpPr/>
      </xdr:nvSpPr>
      <xdr:spPr>
        <a:xfrm>
          <a:off x="4484914" y="170906"/>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2</xdr:col>
      <xdr:colOff>163285</xdr:colOff>
      <xdr:row>6</xdr:row>
      <xdr:rowOff>272142</xdr:rowOff>
    </xdr:from>
    <xdr:to>
      <xdr:col>3</xdr:col>
      <xdr:colOff>185057</xdr:colOff>
      <xdr:row>9</xdr:row>
      <xdr:rowOff>52250</xdr:rowOff>
    </xdr:to>
    <xdr:sp macro="[0]!ShowKey" textlink="">
      <xdr:nvSpPr>
        <xdr:cNvPr id="20" name="Rounded Rectangle 19">
          <a:extLst>
            <a:ext uri="{FF2B5EF4-FFF2-40B4-BE49-F238E27FC236}">
              <a16:creationId xmlns:a16="http://schemas.microsoft.com/office/drawing/2014/main" id="{00000000-0008-0000-0700-000014000000}"/>
            </a:ext>
          </a:extLst>
        </xdr:cNvPr>
        <xdr:cNvSpPr/>
      </xdr:nvSpPr>
      <xdr:spPr>
        <a:xfrm>
          <a:off x="4484914" y="259079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mc:AlternateContent xmlns:mc="http://schemas.openxmlformats.org/markup-compatibility/2006">
    <mc:Choice xmlns:a14="http://schemas.microsoft.com/office/drawing/2010/main" Requires="a14">
      <xdr:twoCellAnchor editAs="oneCell">
        <xdr:from>
          <xdr:col>3</xdr:col>
          <xdr:colOff>236220</xdr:colOff>
          <xdr:row>31</xdr:row>
          <xdr:rowOff>68580</xdr:rowOff>
        </xdr:from>
        <xdr:to>
          <xdr:col>4</xdr:col>
          <xdr:colOff>30480</xdr:colOff>
          <xdr:row>31</xdr:row>
          <xdr:rowOff>274320</xdr:rowOff>
        </xdr:to>
        <xdr:sp macro="" textlink="">
          <xdr:nvSpPr>
            <xdr:cNvPr id="17561" name="chk_n_CO2_pumps" hidden="1">
              <a:extLst>
                <a:ext uri="{63B3BB69-23CF-44E3-9099-C40C66FF867C}">
                  <a14:compatExt spid="_x0000_s17561"/>
                </a:ext>
                <a:ext uri="{FF2B5EF4-FFF2-40B4-BE49-F238E27FC236}">
                  <a16:creationId xmlns:a16="http://schemas.microsoft.com/office/drawing/2014/main" id="{00000000-0008-0000-0700-00009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31</xdr:row>
          <xdr:rowOff>335280</xdr:rowOff>
        </xdr:from>
        <xdr:to>
          <xdr:col>4</xdr:col>
          <xdr:colOff>30480</xdr:colOff>
          <xdr:row>33</xdr:row>
          <xdr:rowOff>7620</xdr:rowOff>
        </xdr:to>
        <xdr:sp macro="" textlink="">
          <xdr:nvSpPr>
            <xdr:cNvPr id="17562" name="chk_CO2_Pump_Eff" hidden="1">
              <a:extLst>
                <a:ext uri="{63B3BB69-23CF-44E3-9099-C40C66FF867C}">
                  <a14:compatExt spid="_x0000_s17562"/>
                </a:ext>
                <a:ext uri="{FF2B5EF4-FFF2-40B4-BE49-F238E27FC236}">
                  <a16:creationId xmlns:a16="http://schemas.microsoft.com/office/drawing/2014/main" id="{00000000-0008-0000-0700-00009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32</xdr:row>
          <xdr:rowOff>160020</xdr:rowOff>
        </xdr:from>
        <xdr:to>
          <xdr:col>4</xdr:col>
          <xdr:colOff>30480</xdr:colOff>
          <xdr:row>34</xdr:row>
          <xdr:rowOff>7620</xdr:rowOff>
        </xdr:to>
        <xdr:sp macro="" textlink="">
          <xdr:nvSpPr>
            <xdr:cNvPr id="17563" name="chk_CO2_ControlSystem" hidden="1">
              <a:extLst>
                <a:ext uri="{63B3BB69-23CF-44E3-9099-C40C66FF867C}">
                  <a14:compatExt spid="_x0000_s17563"/>
                </a:ext>
                <a:ext uri="{FF2B5EF4-FFF2-40B4-BE49-F238E27FC236}">
                  <a16:creationId xmlns:a16="http://schemas.microsoft.com/office/drawing/2014/main" id="{00000000-0008-0000-0700-00009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33</xdr:row>
          <xdr:rowOff>152400</xdr:rowOff>
        </xdr:from>
        <xdr:to>
          <xdr:col>4</xdr:col>
          <xdr:colOff>30480</xdr:colOff>
          <xdr:row>34</xdr:row>
          <xdr:rowOff>182880</xdr:rowOff>
        </xdr:to>
        <xdr:sp macro="" textlink="">
          <xdr:nvSpPr>
            <xdr:cNvPr id="17565" name="chk_CO2_SurgeTank" hidden="1">
              <a:extLst>
                <a:ext uri="{63B3BB69-23CF-44E3-9099-C40C66FF867C}">
                  <a14:compatExt spid="_x0000_s17565"/>
                </a:ext>
                <a:ext uri="{FF2B5EF4-FFF2-40B4-BE49-F238E27FC236}">
                  <a16:creationId xmlns:a16="http://schemas.microsoft.com/office/drawing/2014/main" id="{00000000-0008-0000-0700-00009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34</xdr:row>
          <xdr:rowOff>152400</xdr:rowOff>
        </xdr:from>
        <xdr:to>
          <xdr:col>4</xdr:col>
          <xdr:colOff>30480</xdr:colOff>
          <xdr:row>36</xdr:row>
          <xdr:rowOff>0</xdr:rowOff>
        </xdr:to>
        <xdr:sp macro="" textlink="">
          <xdr:nvSpPr>
            <xdr:cNvPr id="17566" name="chk_CO2_PipeLength" hidden="1">
              <a:extLst>
                <a:ext uri="{63B3BB69-23CF-44E3-9099-C40C66FF867C}">
                  <a14:compatExt spid="_x0000_s17566"/>
                </a:ext>
                <a:ext uri="{FF2B5EF4-FFF2-40B4-BE49-F238E27FC236}">
                  <a16:creationId xmlns:a16="http://schemas.microsoft.com/office/drawing/2014/main" id="{00000000-0008-0000-0700-00009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xdr:colOff>
          <xdr:row>35</xdr:row>
          <xdr:rowOff>160020</xdr:rowOff>
        </xdr:from>
        <xdr:to>
          <xdr:col>4</xdr:col>
          <xdr:colOff>30480</xdr:colOff>
          <xdr:row>37</xdr:row>
          <xdr:rowOff>22860</xdr:rowOff>
        </xdr:to>
        <xdr:sp macro="" textlink="">
          <xdr:nvSpPr>
            <xdr:cNvPr id="17567" name="chk_CO2_PipeElevation" hidden="1">
              <a:extLst>
                <a:ext uri="{63B3BB69-23CF-44E3-9099-C40C66FF867C}">
                  <a14:compatExt spid="_x0000_s17567"/>
                </a:ext>
                <a:ext uri="{FF2B5EF4-FFF2-40B4-BE49-F238E27FC236}">
                  <a16:creationId xmlns:a16="http://schemas.microsoft.com/office/drawing/2014/main" id="{00000000-0008-0000-0700-00009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251460</xdr:colOff>
          <xdr:row>38</xdr:row>
          <xdr:rowOff>160020</xdr:rowOff>
        </xdr:from>
        <xdr:to>
          <xdr:col>4</xdr:col>
          <xdr:colOff>38100</xdr:colOff>
          <xdr:row>40</xdr:row>
          <xdr:rowOff>22860</xdr:rowOff>
        </xdr:to>
        <xdr:sp macro="" textlink="">
          <xdr:nvSpPr>
            <xdr:cNvPr id="17568" name="chk_CO2_Pipeline_Temp" hidden="1">
              <a:extLst>
                <a:ext uri="{63B3BB69-23CF-44E3-9099-C40C66FF867C}">
                  <a14:compatExt spid="_x0000_s17568"/>
                </a:ext>
                <a:ext uri="{FF2B5EF4-FFF2-40B4-BE49-F238E27FC236}">
                  <a16:creationId xmlns:a16="http://schemas.microsoft.com/office/drawing/2014/main" id="{00000000-0008-0000-0700-0000A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233082</xdr:colOff>
      <xdr:row>0</xdr:row>
      <xdr:rowOff>0</xdr:rowOff>
    </xdr:from>
    <xdr:to>
      <xdr:col>8</xdr:col>
      <xdr:colOff>21874</xdr:colOff>
      <xdr:row>15</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6539" y="0"/>
          <a:ext cx="4838649" cy="7633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0.01086</cdr:x>
      <cdr:y>0.53349</cdr:y>
    </cdr:from>
    <cdr:to>
      <cdr:x>0.98892</cdr:x>
      <cdr:y>1</cdr:y>
    </cdr:to>
    <cdr:grpSp>
      <cdr:nvGrpSpPr>
        <cdr:cNvPr id="4" name="Group 3">
          <a:extLst xmlns:a="http://schemas.openxmlformats.org/drawingml/2006/main">
            <a:ext uri="{FF2B5EF4-FFF2-40B4-BE49-F238E27FC236}">
              <a16:creationId xmlns:a16="http://schemas.microsoft.com/office/drawing/2014/main" id="{01E51170-9AD5-40D1-B23A-F8A29BF2BF45}"/>
            </a:ext>
          </a:extLst>
        </cdr:cNvPr>
        <cdr:cNvGrpSpPr/>
      </cdr:nvGrpSpPr>
      <cdr:grpSpPr>
        <a:xfrm xmlns:a="http://schemas.openxmlformats.org/drawingml/2006/main">
          <a:off x="69702" y="1595589"/>
          <a:ext cx="6277376" cy="1395261"/>
          <a:chOff x="0" y="1475395"/>
          <a:chExt cx="6457121" cy="1647620"/>
        </a:xfrm>
      </cdr:grpSpPr>
      <cdr:sp macro="" textlink="'Tornado Charts &amp; Risk Analysis'!$K$155">
        <cdr:nvSpPr>
          <cdr:cNvPr id="3" name="TextBox 2"/>
          <cdr:cNvSpPr txBox="1"/>
        </cdr:nvSpPr>
        <cdr:spPr>
          <a:xfrm xmlns:a="http://schemas.openxmlformats.org/drawingml/2006/main">
            <a:off x="0" y="1476743"/>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Cost of Hydrogen</a:t>
            </a:fld>
            <a:endParaRPr lang="en-US" sz="1600" b="1">
              <a:solidFill>
                <a:schemeClr val="bg1">
                  <a:lumMod val="85000"/>
                </a:schemeClr>
              </a:solidFill>
            </a:endParaRPr>
          </a:p>
        </cdr:txBody>
      </cdr:sp>
      <cdr:sp macro="" textlink="'Tornado Charts &amp; Risk Analysis'!$K$156">
        <cdr:nvSpPr>
          <cdr:cNvPr id="10" name="TextBox 9"/>
          <cdr:cNvSpPr txBox="1"/>
        </cdr:nvSpPr>
        <cdr:spPr>
          <a:xfrm xmlns:a="http://schemas.openxmlformats.org/drawingml/2006/main">
            <a:off x="0" y="168748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Salvage Value</a:t>
            </a:fld>
            <a:endParaRPr lang="en-US" sz="1600" b="1">
              <a:solidFill>
                <a:schemeClr val="bg1">
                  <a:lumMod val="85000"/>
                </a:schemeClr>
              </a:solidFill>
            </a:endParaRPr>
          </a:p>
        </cdr:txBody>
      </cdr:sp>
      <cdr:sp macro="" textlink="'Tornado Charts &amp; Risk Analysis'!$K$157">
        <cdr:nvSpPr>
          <cdr:cNvPr id="11" name="TextBox 10"/>
          <cdr:cNvSpPr txBox="1"/>
        </cdr:nvSpPr>
        <cdr:spPr>
          <a:xfrm xmlns:a="http://schemas.openxmlformats.org/drawingml/2006/main">
            <a:off x="0" y="1898221"/>
            <a:ext cx="3171255"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Byproduct Sales</a:t>
            </a:fld>
            <a:endParaRPr lang="en-US" sz="1600" b="1">
              <a:solidFill>
                <a:schemeClr val="bg1">
                  <a:lumMod val="85000"/>
                </a:schemeClr>
              </a:solidFill>
            </a:endParaRPr>
          </a:p>
        </cdr:txBody>
      </cdr:sp>
      <cdr:sp macro="" textlink="'Tornado Charts &amp; Risk Analysis'!$K$159">
        <cdr:nvSpPr>
          <cdr:cNvPr id="13" name="TextBox 12"/>
          <cdr:cNvSpPr txBox="1"/>
        </cdr:nvSpPr>
        <cdr:spPr>
          <a:xfrm xmlns:a="http://schemas.openxmlformats.org/drawingml/2006/main">
            <a:off x="0" y="231225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Feedstock Cost</a:t>
            </a:fld>
            <a:endParaRPr lang="en-US" sz="1600" b="1">
              <a:solidFill>
                <a:schemeClr val="bg1">
                  <a:lumMod val="85000"/>
                </a:schemeClr>
              </a:solidFill>
            </a:endParaRPr>
          </a:p>
        </cdr:txBody>
      </cdr:sp>
      <cdr:sp macro="" textlink="'Tornado Charts &amp; Risk Analysis'!$K$160">
        <cdr:nvSpPr>
          <cdr:cNvPr id="14" name="TextBox 13"/>
          <cdr:cNvSpPr txBox="1"/>
        </cdr:nvSpPr>
        <cdr:spPr>
          <a:xfrm xmlns:a="http://schemas.openxmlformats.org/drawingml/2006/main">
            <a:off x="0" y="252299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Fixed Operating Cost</a:t>
            </a:fld>
            <a:endParaRPr lang="en-US" sz="1600" b="1">
              <a:solidFill>
                <a:schemeClr val="bg1">
                  <a:lumMod val="85000"/>
                </a:schemeClr>
              </a:solidFill>
            </a:endParaRPr>
          </a:p>
        </cdr:txBody>
      </cdr:sp>
      <cdr:sp macro="" textlink="'Tornado Charts &amp; Risk Analysis'!$K$161">
        <cdr:nvSpPr>
          <cdr:cNvPr id="15" name="TextBox 14"/>
          <cdr:cNvSpPr txBox="1"/>
        </cdr:nvSpPr>
        <cdr:spPr>
          <a:xfrm xmlns:a="http://schemas.openxmlformats.org/drawingml/2006/main">
            <a:off x="0" y="2733729"/>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Initial Equity Depreciable Capital</a:t>
            </a:fld>
            <a:endParaRPr lang="en-US" sz="1600" b="1">
              <a:solidFill>
                <a:schemeClr val="bg1">
                  <a:lumMod val="85000"/>
                </a:schemeClr>
              </a:solidFill>
            </a:endParaRPr>
          </a:p>
        </cdr:txBody>
      </cdr:sp>
      <cdr:sp macro="" textlink="'Tornado Charts &amp; Risk Analysis'!$K$162">
        <cdr:nvSpPr>
          <cdr:cNvPr id="16" name="TextBox 15"/>
          <cdr:cNvSpPr txBox="1"/>
        </cdr:nvSpPr>
        <cdr:spPr>
          <a:xfrm xmlns:a="http://schemas.openxmlformats.org/drawingml/2006/main">
            <a:off x="0" y="294450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Other Variable Operating Costs</a:t>
            </a:fld>
            <a:endParaRPr lang="en-US" sz="1600" b="1">
              <a:solidFill>
                <a:schemeClr val="bg1">
                  <a:lumMod val="85000"/>
                </a:schemeClr>
              </a:solidFill>
            </a:endParaRPr>
          </a:p>
        </cdr:txBody>
      </cdr:sp>
      <cdr:sp macro="" textlink="'Tornado Charts &amp; Risk Analysis'!$K$163">
        <cdr:nvSpPr>
          <cdr:cNvPr id="17" name="TextBox 16"/>
          <cdr:cNvSpPr txBox="1"/>
        </cdr:nvSpPr>
        <cdr:spPr>
          <a:xfrm xmlns:a="http://schemas.openxmlformats.org/drawingml/2006/main">
            <a:off x="3285865" y="1476743"/>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Debt Interest</a:t>
            </a:fld>
            <a:endParaRPr lang="en-US" sz="1600" b="1">
              <a:solidFill>
                <a:schemeClr val="bg1">
                  <a:lumMod val="85000"/>
                </a:schemeClr>
              </a:solidFill>
            </a:endParaRPr>
          </a:p>
        </cdr:txBody>
      </cdr:sp>
      <cdr:sp macro="" textlink="'Tornado Charts &amp; Risk Analysis'!$K$164">
        <cdr:nvSpPr>
          <cdr:cNvPr id="18" name="TextBox 17"/>
          <cdr:cNvSpPr txBox="1"/>
        </cdr:nvSpPr>
        <cdr:spPr>
          <a:xfrm xmlns:a="http://schemas.openxmlformats.org/drawingml/2006/main">
            <a:off x="3285865" y="168748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Yearly Replacement Costs</a:t>
            </a:fld>
            <a:endParaRPr lang="en-US" sz="1600" b="1">
              <a:solidFill>
                <a:schemeClr val="bg1">
                  <a:lumMod val="85000"/>
                </a:schemeClr>
              </a:solidFill>
            </a:endParaRPr>
          </a:p>
        </cdr:txBody>
      </cdr:sp>
      <cdr:sp macro="" textlink="'Tornado Charts &amp; Risk Analysis'!$K$165">
        <cdr:nvSpPr>
          <cdr:cNvPr id="19" name="TextBox 18"/>
          <cdr:cNvSpPr txBox="1"/>
        </cdr:nvSpPr>
        <cdr:spPr>
          <a:xfrm xmlns:a="http://schemas.openxmlformats.org/drawingml/2006/main">
            <a:off x="3285865" y="1898221"/>
            <a:ext cx="3171256"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Taxes</a:t>
            </a:fld>
            <a:endParaRPr lang="en-US" sz="1600" b="1">
              <a:solidFill>
                <a:schemeClr val="bg1">
                  <a:lumMod val="85000"/>
                </a:schemeClr>
              </a:solidFill>
            </a:endParaRPr>
          </a:p>
        </cdr:txBody>
      </cdr:sp>
      <cdr:sp macro="" textlink="'Tornado Charts &amp; Risk Analysis'!$K$166">
        <cdr:nvSpPr>
          <cdr:cNvPr id="20" name="TextBox 19"/>
          <cdr:cNvSpPr txBox="1"/>
        </cdr:nvSpPr>
        <cdr:spPr>
          <a:xfrm xmlns:a="http://schemas.openxmlformats.org/drawingml/2006/main">
            <a:off x="3285865" y="2108991"/>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Principal Payment</a:t>
            </a:fld>
            <a:endParaRPr lang="en-US" sz="1600" b="1">
              <a:solidFill>
                <a:schemeClr val="bg1">
                  <a:lumMod val="85000"/>
                </a:schemeClr>
              </a:solidFill>
            </a:endParaRPr>
          </a:p>
        </cdr:txBody>
      </cdr:sp>
      <cdr:sp macro="" textlink="'Tornado Charts &amp; Risk Analysis'!$K$167">
        <cdr:nvSpPr>
          <cdr:cNvPr id="21" name="TextBox 20"/>
          <cdr:cNvSpPr txBox="1"/>
        </cdr:nvSpPr>
        <cdr:spPr>
          <a:xfrm xmlns:a="http://schemas.openxmlformats.org/drawingml/2006/main">
            <a:off x="3285865" y="231225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Cash for Working Capital Reserve</a:t>
            </a:fld>
            <a:endParaRPr lang="en-US" sz="1600" b="1">
              <a:solidFill>
                <a:schemeClr val="bg1">
                  <a:lumMod val="85000"/>
                </a:schemeClr>
              </a:solidFill>
            </a:endParaRPr>
          </a:p>
        </cdr:txBody>
      </cdr:sp>
      <cdr:sp macro="" textlink="'Tornado Charts &amp; Risk Analysis'!$K$168">
        <cdr:nvSpPr>
          <cdr:cNvPr id="22" name="TextBox 21"/>
          <cdr:cNvSpPr txBox="1"/>
        </cdr:nvSpPr>
        <cdr:spPr>
          <a:xfrm xmlns:a="http://schemas.openxmlformats.org/drawingml/2006/main">
            <a:off x="3285865" y="252299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Other Raw Material Cost</a:t>
            </a:fld>
            <a:endParaRPr lang="en-US" sz="1600" b="1">
              <a:solidFill>
                <a:schemeClr val="bg1">
                  <a:lumMod val="85000"/>
                </a:schemeClr>
              </a:solidFill>
            </a:endParaRPr>
          </a:p>
        </cdr:txBody>
      </cdr:sp>
      <cdr:sp macro="" textlink="'Tornado Charts &amp; Risk Analysis'!$K$169">
        <cdr:nvSpPr>
          <cdr:cNvPr id="23" name="TextBox 22"/>
          <cdr:cNvSpPr txBox="1"/>
        </cdr:nvSpPr>
        <cdr:spPr>
          <a:xfrm xmlns:a="http://schemas.openxmlformats.org/drawingml/2006/main">
            <a:off x="3285865" y="2733729"/>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Decommissioning Costs</a:t>
            </a:fld>
            <a:endParaRPr lang="en-US" sz="1600" b="1">
              <a:solidFill>
                <a:schemeClr val="bg1">
                  <a:lumMod val="85000"/>
                </a:schemeClr>
              </a:solidFill>
            </a:endParaRPr>
          </a:p>
        </cdr:txBody>
      </cdr:sp>
      <cdr:sp macro="" textlink="'Tornado Charts &amp; Risk Analysis'!$K$170">
        <cdr:nvSpPr>
          <cdr:cNvPr id="24" name="TextBox 23"/>
          <cdr:cNvSpPr txBox="1"/>
        </cdr:nvSpPr>
        <cdr:spPr>
          <a:xfrm xmlns:a="http://schemas.openxmlformats.org/drawingml/2006/main">
            <a:off x="3285865" y="294450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Other Non-Depreciable Capital Costs</a:t>
            </a:fld>
            <a:endParaRPr lang="en-US" sz="1600" b="1">
              <a:solidFill>
                <a:schemeClr val="bg1">
                  <a:lumMod val="85000"/>
                </a:schemeClr>
              </a:solidFill>
            </a:endParaRPr>
          </a:p>
        </cdr:txBody>
      </cdr:sp>
      <cdr:sp macro="" textlink="'Tornado Charts &amp; Risk Analysis'!$N$155">
        <cdr:nvSpPr>
          <cdr:cNvPr id="25" name="TextBox 1"/>
          <cdr:cNvSpPr txBox="1"/>
        </cdr:nvSpPr>
        <cdr:spPr>
          <a:xfrm xmlns:a="http://schemas.openxmlformats.org/drawingml/2006/main">
            <a:off x="0" y="1475395"/>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Cost of Hydrogen</a:t>
            </a:fld>
            <a:endParaRPr lang="en-US" sz="1600" b="1">
              <a:solidFill>
                <a:srgbClr val="303C18"/>
              </a:solidFill>
            </a:endParaRPr>
          </a:p>
        </cdr:txBody>
      </cdr:sp>
      <cdr:sp macro="" textlink="'Tornado Charts &amp; Risk Analysis'!$N$156">
        <cdr:nvSpPr>
          <cdr:cNvPr id="26" name="TextBox 2"/>
          <cdr:cNvSpPr txBox="1"/>
        </cdr:nvSpPr>
        <cdr:spPr>
          <a:xfrm xmlns:a="http://schemas.openxmlformats.org/drawingml/2006/main">
            <a:off x="0" y="168616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Salvage Value</a:t>
            </a:fld>
            <a:endParaRPr lang="en-US" sz="1600" b="1">
              <a:solidFill>
                <a:srgbClr val="586D2D"/>
              </a:solidFill>
            </a:endParaRPr>
          </a:p>
        </cdr:txBody>
      </cdr:sp>
      <cdr:sp macro="" textlink="'Tornado Charts &amp; Risk Analysis'!$N$157">
        <cdr:nvSpPr>
          <cdr:cNvPr id="27" name="TextBox 3"/>
          <cdr:cNvSpPr txBox="1"/>
        </cdr:nvSpPr>
        <cdr:spPr>
          <a:xfrm xmlns:a="http://schemas.openxmlformats.org/drawingml/2006/main">
            <a:off x="0" y="1896905"/>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 </a:t>
            </a:fld>
            <a:endParaRPr lang="en-US" sz="1600" b="1">
              <a:solidFill>
                <a:srgbClr val="A0BF61"/>
              </a:solidFill>
            </a:endParaRPr>
          </a:p>
        </cdr:txBody>
      </cdr:sp>
      <cdr:sp macro="" textlink="'Tornado Charts &amp; Risk Analysis'!$N$159">
        <cdr:nvSpPr>
          <cdr:cNvPr id="28" name="TextBox 4"/>
          <cdr:cNvSpPr txBox="1"/>
        </cdr:nvSpPr>
        <cdr:spPr>
          <a:xfrm xmlns:a="http://schemas.openxmlformats.org/drawingml/2006/main">
            <a:off x="0" y="231093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Feedstock Cost</a:t>
            </a:fld>
            <a:endParaRPr lang="en-US" sz="1600" b="1">
              <a:solidFill>
                <a:srgbClr val="0000FF"/>
              </a:solidFill>
            </a:endParaRPr>
          </a:p>
        </cdr:txBody>
      </cdr:sp>
      <cdr:sp macro="" textlink="'Tornado Charts &amp; Risk Analysis'!$N$160">
        <cdr:nvSpPr>
          <cdr:cNvPr id="29" name="TextBox 5"/>
          <cdr:cNvSpPr txBox="1"/>
        </cdr:nvSpPr>
        <cdr:spPr>
          <a:xfrm xmlns:a="http://schemas.openxmlformats.org/drawingml/2006/main">
            <a:off x="0" y="2521675"/>
            <a:ext cx="3171255"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Fixed Operating Cost</a:t>
            </a:fld>
            <a:endParaRPr lang="en-US" sz="1600" b="1">
              <a:solidFill>
                <a:srgbClr val="D60000"/>
              </a:solidFill>
            </a:endParaRPr>
          </a:p>
        </cdr:txBody>
      </cdr:sp>
      <cdr:sp macro="" textlink="'Tornado Charts &amp; Risk Analysis'!$N$161">
        <cdr:nvSpPr>
          <cdr:cNvPr id="30" name="TextBox 6"/>
          <cdr:cNvSpPr txBox="1"/>
        </cdr:nvSpPr>
        <cdr:spPr>
          <a:xfrm xmlns:a="http://schemas.openxmlformats.org/drawingml/2006/main">
            <a:off x="0" y="2732413"/>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Initial Equity Depreciable Capital</a:t>
            </a:fld>
            <a:endParaRPr lang="en-US" sz="1600" b="1">
              <a:solidFill>
                <a:srgbClr val="00AC00"/>
              </a:solidFill>
            </a:endParaRPr>
          </a:p>
        </cdr:txBody>
      </cdr:sp>
      <cdr:sp macro="" textlink="'Tornado Charts &amp; Risk Analysis'!$N$162">
        <cdr:nvSpPr>
          <cdr:cNvPr id="31" name="TextBox 7"/>
          <cdr:cNvSpPr txBox="1"/>
        </cdr:nvSpPr>
        <cdr:spPr>
          <a:xfrm xmlns:a="http://schemas.openxmlformats.org/drawingml/2006/main">
            <a:off x="0" y="2943152"/>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Other Variable Operating Costs</a:t>
            </a:fld>
            <a:endParaRPr lang="en-US" sz="1600" b="1">
              <a:solidFill>
                <a:srgbClr val="000096"/>
              </a:solidFill>
            </a:endParaRPr>
          </a:p>
        </cdr:txBody>
      </cdr:sp>
      <cdr:sp macro="" textlink="'Tornado Charts &amp; Risk Analysis'!$N$163">
        <cdr:nvSpPr>
          <cdr:cNvPr id="32" name="TextBox 8"/>
          <cdr:cNvSpPr txBox="1"/>
        </cdr:nvSpPr>
        <cdr:spPr>
          <a:xfrm xmlns:a="http://schemas.openxmlformats.org/drawingml/2006/main">
            <a:off x="3285865" y="1475395"/>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Debt Interest</a:t>
            </a:fld>
            <a:endParaRPr lang="en-US" sz="1600" b="1">
              <a:solidFill>
                <a:srgbClr val="E6009F"/>
              </a:solidFill>
            </a:endParaRPr>
          </a:p>
        </cdr:txBody>
      </cdr:sp>
      <cdr:sp macro="" textlink="'Tornado Charts &amp; Risk Analysis'!$N$164">
        <cdr:nvSpPr>
          <cdr:cNvPr id="33" name="TextBox 9"/>
          <cdr:cNvSpPr txBox="1"/>
        </cdr:nvSpPr>
        <cdr:spPr>
          <a:xfrm xmlns:a="http://schemas.openxmlformats.org/drawingml/2006/main">
            <a:off x="3285865" y="168616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Yearly Replacement Costs</a:t>
            </a:fld>
            <a:endParaRPr lang="en-US" sz="1600" b="1">
              <a:solidFill>
                <a:srgbClr val="C1AB11"/>
              </a:solidFill>
            </a:endParaRPr>
          </a:p>
        </cdr:txBody>
      </cdr:sp>
      <cdr:sp macro="" textlink="'Tornado Charts &amp; Risk Analysis'!$N$165">
        <cdr:nvSpPr>
          <cdr:cNvPr id="34" name="TextBox 10"/>
          <cdr:cNvSpPr txBox="1"/>
        </cdr:nvSpPr>
        <cdr:spPr>
          <a:xfrm xmlns:a="http://schemas.openxmlformats.org/drawingml/2006/main">
            <a:off x="3285865" y="1896905"/>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Taxes</a:t>
            </a:fld>
            <a:endParaRPr lang="en-US" sz="1600" b="1">
              <a:solidFill>
                <a:srgbClr val="A800D0"/>
              </a:solidFill>
            </a:endParaRPr>
          </a:p>
        </cdr:txBody>
      </cdr:sp>
      <cdr:sp macro="" textlink="'Tornado Charts &amp; Risk Analysis'!$N$166">
        <cdr:nvSpPr>
          <cdr:cNvPr id="35" name="TextBox 11"/>
          <cdr:cNvSpPr txBox="1"/>
        </cdr:nvSpPr>
        <cdr:spPr>
          <a:xfrm xmlns:a="http://schemas.openxmlformats.org/drawingml/2006/main">
            <a:off x="3285865" y="2107643"/>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Principal Payment</a:t>
            </a:fld>
            <a:endParaRPr lang="en-US" sz="1600" b="1">
              <a:solidFill>
                <a:srgbClr val="8484FF"/>
              </a:solidFill>
            </a:endParaRPr>
          </a:p>
        </cdr:txBody>
      </cdr:sp>
      <cdr:sp macro="" textlink="'Tornado Charts &amp; Risk Analysis'!$N$167">
        <cdr:nvSpPr>
          <cdr:cNvPr id="36" name="TextBox 12"/>
          <cdr:cNvSpPr txBox="1"/>
        </cdr:nvSpPr>
        <cdr:spPr>
          <a:xfrm xmlns:a="http://schemas.openxmlformats.org/drawingml/2006/main">
            <a:off x="3285865" y="231093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Cash for Working Capital Reserve</a:t>
            </a:fld>
            <a:endParaRPr lang="en-US" sz="1600" b="1">
              <a:solidFill>
                <a:srgbClr val="82413A"/>
              </a:solidFill>
            </a:endParaRPr>
          </a:p>
        </cdr:txBody>
      </cdr:sp>
      <cdr:sp macro="" textlink="'Tornado Charts &amp; Risk Analysis'!$N$168">
        <cdr:nvSpPr>
          <cdr:cNvPr id="37" name="TextBox 13"/>
          <cdr:cNvSpPr txBox="1"/>
        </cdr:nvSpPr>
        <cdr:spPr>
          <a:xfrm xmlns:a="http://schemas.openxmlformats.org/drawingml/2006/main">
            <a:off x="3285865" y="2521675"/>
            <a:ext cx="3171256"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Other Raw Material Cost</a:t>
            </a:fld>
            <a:endParaRPr lang="en-US" sz="1600" b="1">
              <a:solidFill>
                <a:srgbClr val="00C898"/>
              </a:solidFill>
            </a:endParaRPr>
          </a:p>
        </cdr:txBody>
      </cdr:sp>
      <cdr:sp macro="" textlink="'Tornado Charts &amp; Risk Analysis'!$N$169">
        <cdr:nvSpPr>
          <cdr:cNvPr id="38" name="TextBox 14"/>
          <cdr:cNvSpPr txBox="1"/>
        </cdr:nvSpPr>
        <cdr:spPr>
          <a:xfrm xmlns:a="http://schemas.openxmlformats.org/drawingml/2006/main">
            <a:off x="3285865" y="2732413"/>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Decommissioning Costs</a:t>
            </a:fld>
            <a:endParaRPr lang="en-US" sz="1600" b="1">
              <a:solidFill>
                <a:srgbClr val="006876"/>
              </a:solidFill>
            </a:endParaRPr>
          </a:p>
        </cdr:txBody>
      </cdr:sp>
      <cdr:sp macro="" textlink="'Tornado Charts &amp; Risk Analysis'!$N$170">
        <cdr:nvSpPr>
          <cdr:cNvPr id="39" name="TextBox 15"/>
          <cdr:cNvSpPr txBox="1"/>
        </cdr:nvSpPr>
        <cdr:spPr>
          <a:xfrm xmlns:a="http://schemas.openxmlformats.org/drawingml/2006/main">
            <a:off x="3285865" y="2943152"/>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Other Non-Depreciable Capital Costs</a:t>
            </a:fld>
            <a:endParaRPr lang="en-US" sz="1600" b="1">
              <a:solidFill>
                <a:srgbClr val="A2BF37"/>
              </a:solidFill>
            </a:endParaRPr>
          </a:p>
        </cdr:txBody>
      </cdr:sp>
    </cdr:grp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762254</xdr:colOff>
      <xdr:row>13</xdr:row>
      <xdr:rowOff>33299</xdr:rowOff>
    </xdr:from>
    <xdr:to>
      <xdr:col>3</xdr:col>
      <xdr:colOff>665024</xdr:colOff>
      <xdr:row>15</xdr:row>
      <xdr:rowOff>94009</xdr:rowOff>
    </xdr:to>
    <xdr:sp macro="[0]!RunSensitivities" textlink="">
      <xdr:nvSpPr>
        <xdr:cNvPr id="2" name="Rounded Rectangle 1">
          <a:extLst>
            <a:ext uri="{FF2B5EF4-FFF2-40B4-BE49-F238E27FC236}">
              <a16:creationId xmlns:a16="http://schemas.microsoft.com/office/drawing/2014/main" id="{00000000-0008-0000-0900-000002000000}"/>
            </a:ext>
          </a:extLst>
        </xdr:cNvPr>
        <xdr:cNvSpPr/>
      </xdr:nvSpPr>
      <xdr:spPr>
        <a:xfrm>
          <a:off x="1244107" y="2397740"/>
          <a:ext cx="3331770" cy="374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Charts</a:t>
          </a:r>
          <a:r>
            <a:rPr lang="en-US"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and Risk </a:t>
          </a: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Analysis</a:t>
          </a:r>
        </a:p>
      </xdr:txBody>
    </xdr:sp>
    <xdr:clientData/>
  </xdr:twoCellAnchor>
  <xdr:twoCellAnchor editAs="absolute">
    <xdr:from>
      <xdr:col>0</xdr:col>
      <xdr:colOff>385879</xdr:colOff>
      <xdr:row>18</xdr:row>
      <xdr:rowOff>79103</xdr:rowOff>
    </xdr:from>
    <xdr:to>
      <xdr:col>4</xdr:col>
      <xdr:colOff>910172</xdr:colOff>
      <xdr:row>35</xdr:row>
      <xdr:rowOff>107</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985670</xdr:colOff>
      <xdr:row>11</xdr:row>
      <xdr:rowOff>65060</xdr:rowOff>
    </xdr:from>
    <xdr:to>
      <xdr:col>13</xdr:col>
      <xdr:colOff>315112</xdr:colOff>
      <xdr:row>39</xdr:row>
      <xdr:rowOff>137332</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896</xdr:colOff>
      <xdr:row>13</xdr:row>
      <xdr:rowOff>33299</xdr:rowOff>
    </xdr:from>
    <xdr:to>
      <xdr:col>4</xdr:col>
      <xdr:colOff>1327930</xdr:colOff>
      <xdr:row>15</xdr:row>
      <xdr:rowOff>109498</xdr:rowOff>
    </xdr:to>
    <xdr:sp macro="[0]!InputSheet" textlink="">
      <xdr:nvSpPr>
        <xdr:cNvPr id="5" name="Rounded Rectangle 4">
          <a:extLst>
            <a:ext uri="{FF2B5EF4-FFF2-40B4-BE49-F238E27FC236}">
              <a16:creationId xmlns:a16="http://schemas.microsoft.com/office/drawing/2014/main" id="{00000000-0008-0000-0900-000005000000}"/>
            </a:ext>
          </a:extLst>
        </xdr:cNvPr>
        <xdr:cNvSpPr/>
      </xdr:nvSpPr>
      <xdr:spPr>
        <a:xfrm>
          <a:off x="5290072" y="2397740"/>
          <a:ext cx="1327034" cy="3899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14</xdr:col>
      <xdr:colOff>498523</xdr:colOff>
      <xdr:row>12</xdr:row>
      <xdr:rowOff>86940</xdr:rowOff>
    </xdr:from>
    <xdr:to>
      <xdr:col>20</xdr:col>
      <xdr:colOff>746236</xdr:colOff>
      <xdr:row>34</xdr:row>
      <xdr:rowOff>143484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 &amp; Risk Analysis'!$D$101">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Operating Capacity Factor
(95%, 90%, 86%)</a:t>
          </a:fld>
          <a:endParaRPr lang="en-US" sz="900"/>
        </a:p>
      </cdr:txBody>
    </cdr:sp>
  </cdr:relSizeAnchor>
  <cdr:relSizeAnchor xmlns:cdr="http://schemas.openxmlformats.org/drawingml/2006/chartDrawing">
    <cdr:from>
      <cdr:x>0</cdr:x>
      <cdr:y>0.17027</cdr:y>
    </cdr:from>
    <cdr:to>
      <cdr:x>0.40603</cdr:x>
      <cdr:y>0.31481</cdr:y>
    </cdr:to>
    <cdr:sp macro="" textlink="'Tornado Charts &amp; Risk Analysis'!$D$102">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Total Capital Investment
($1,678,913K, $1,767,277K, $1,855,641K) </a:t>
          </a:fld>
          <a:endParaRPr lang="en-US" sz="900"/>
        </a:p>
      </cdr:txBody>
    </cdr:sp>
  </cdr:relSizeAnchor>
  <cdr:relSizeAnchor xmlns:cdr="http://schemas.openxmlformats.org/drawingml/2006/chartDrawing">
    <cdr:from>
      <cdr:x>0</cdr:x>
      <cdr:y>0.29235</cdr:y>
    </cdr:from>
    <cdr:to>
      <cdr:x>0.40603</cdr:x>
      <cdr:y>0.43689</cdr:y>
    </cdr:to>
    <cdr:sp macro="" textlink="'Tornado Charts &amp; Risk Analysis'!$D$103">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Plant Design Capacity (kg of H2/day)
(649,883, 618,936, 587,989) </a:t>
          </a:fld>
          <a:endParaRPr lang="en-US" sz="900" b="0"/>
        </a:p>
      </cdr:txBody>
    </cdr:sp>
  </cdr:relSizeAnchor>
  <cdr:relSizeAnchor xmlns:cdr="http://schemas.openxmlformats.org/drawingml/2006/chartDrawing">
    <cdr:from>
      <cdr:x>0</cdr:x>
      <cdr:y>0.41262</cdr:y>
    </cdr:from>
    <cdr:to>
      <cdr:x>0.40603</cdr:x>
      <cdr:y>0.55716</cdr:y>
    </cdr:to>
    <cdr:sp macro="" textlink="'Tornado Charts &amp; Risk Analysis'!$D$104">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0.65427</cdr:y>
    </cdr:from>
    <cdr:to>
      <cdr:x>0.40603</cdr:x>
      <cdr:y>0.7988</cdr:y>
    </cdr:to>
    <cdr:sp macro="" textlink="'Tornado Charts &amp; Risk Analysis'!$D$106">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Total Fixed Operating Cost
($87,086K, $91,669K, $96,252K) </a:t>
          </a:fld>
          <a:endParaRPr lang="en-US" sz="900"/>
        </a:p>
      </cdr:txBody>
    </cdr:sp>
  </cdr:relSizeAnchor>
  <cdr:relSizeAnchor xmlns:cdr="http://schemas.openxmlformats.org/drawingml/2006/chartDrawing">
    <cdr:from>
      <cdr:x>0</cdr:x>
      <cdr:y>0.77416</cdr:y>
    </cdr:from>
    <cdr:to>
      <cdr:x>0.40603</cdr:x>
      <cdr:y>0.9187</cdr:y>
    </cdr:to>
    <cdr:sp macro="" textlink="'Tornado Charts &amp; Risk Analysis'!$D$107">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Utilities Consumption (% of baseline)
(95%, 100%, 105%)</a:t>
          </a:fld>
          <a:endParaRPr lang="en-US" sz="900"/>
        </a:p>
      </cdr:txBody>
    </cdr:sp>
  </cdr:relSizeAnchor>
  <cdr:relSizeAnchor xmlns:cdr="http://schemas.openxmlformats.org/drawingml/2006/chartDrawing">
    <cdr:from>
      <cdr:x>0</cdr:x>
      <cdr:y>0.53492</cdr:y>
    </cdr:from>
    <cdr:to>
      <cdr:x>0.40603</cdr:x>
      <cdr:y>0.67945</cdr:y>
    </cdr:to>
    <cdr:sp macro="" textlink="'Tornado Charts &amp; Risk Analysis'!$D$105">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After-tax Real IRR
(8%, 8%, 8%)</a:t>
          </a:fld>
          <a:endParaRPr lang="en-US" sz="900"/>
        </a:p>
      </cdr:txBody>
    </cdr:sp>
  </cdr:relSizeAnchor>
</c:userShapes>
</file>

<file path=xl/drawings/drawing15.xml><?xml version="1.0" encoding="utf-8"?>
<c:userShapes xmlns:c="http://schemas.openxmlformats.org/drawingml/2006/chart">
  <cdr:relSizeAnchor xmlns:cdr="http://schemas.openxmlformats.org/drawingml/2006/chartDrawing">
    <cdr:from>
      <cdr:x>0.40218</cdr:x>
      <cdr:y>0.91118</cdr:y>
    </cdr:from>
    <cdr:to>
      <cdr:x>0.77277</cdr:x>
      <cdr:y>1</cdr:y>
    </cdr:to>
    <cdr:sp macro="" textlink="'Tornado Charts &amp; Risk Analysis'!$R$12:$U$12">
      <cdr:nvSpPr>
        <cdr:cNvPr id="2" name="TextBox 1">
          <a:extLst xmlns:a="http://schemas.openxmlformats.org/drawingml/2006/main">
            <a:ext uri="{FF2B5EF4-FFF2-40B4-BE49-F238E27FC236}">
              <a16:creationId xmlns:a16="http://schemas.microsoft.com/office/drawing/2014/main" id="{4B8A9494-F83A-4B1F-BA75-E3E323E02F8D}"/>
            </a:ext>
          </a:extLst>
        </cdr:cNvPr>
        <cdr:cNvSpPr txBox="1"/>
      </cdr:nvSpPr>
      <cdr:spPr>
        <a:xfrm xmlns:a="http://schemas.openxmlformats.org/drawingml/2006/main">
          <a:off x="2213299" y="3196384"/>
          <a:ext cx="2039471" cy="31157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3CA21B-37CA-413B-BED3-883D139C996B}" type="TxLink">
            <a:rPr lang="en-US" sz="1000" b="0" i="0" u="none" strike="noStrike">
              <a:solidFill>
                <a:srgbClr val="000000"/>
              </a:solidFill>
              <a:latin typeface="Arial"/>
              <a:cs typeface="Arial"/>
            </a:rPr>
            <a:pPr/>
            <a:t>Cost of hydrogen ($/kg)</a:t>
          </a:fld>
          <a:endParaRPr lang="en-US" sz="1100"/>
        </a:p>
      </cdr:txBody>
    </cdr:sp>
  </cdr:relSizeAnchor>
  <cdr:relSizeAnchor xmlns:cdr="http://schemas.openxmlformats.org/drawingml/2006/chartDrawing">
    <cdr:from>
      <cdr:x>0.93771</cdr:x>
      <cdr:y>0.30424</cdr:y>
    </cdr:from>
    <cdr:to>
      <cdr:x>1</cdr:x>
      <cdr:y>0.77382</cdr:y>
    </cdr:to>
    <cdr:sp macro="" textlink="">
      <cdr:nvSpPr>
        <cdr:cNvPr id="3" name="TextBox 2">
          <a:extLst xmlns:a="http://schemas.openxmlformats.org/drawingml/2006/main">
            <a:ext uri="{FF2B5EF4-FFF2-40B4-BE49-F238E27FC236}">
              <a16:creationId xmlns:a16="http://schemas.microsoft.com/office/drawing/2014/main" id="{6499FE55-61DB-4948-8EE4-F845D86E32AD}"/>
            </a:ext>
          </a:extLst>
        </cdr:cNvPr>
        <cdr:cNvSpPr txBox="1"/>
      </cdr:nvSpPr>
      <cdr:spPr>
        <a:xfrm xmlns:a="http://schemas.openxmlformats.org/drawingml/2006/main" rot="5400000">
          <a:off x="4508226" y="1719488"/>
          <a:ext cx="1647265" cy="3428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Bin probability</a:t>
          </a:r>
        </a:p>
      </cdr:txBody>
    </cdr:sp>
  </cdr:relSizeAnchor>
  <cdr:relSizeAnchor xmlns:cdr="http://schemas.openxmlformats.org/drawingml/2006/chartDrawing">
    <cdr:from>
      <cdr:x>0.00923</cdr:x>
      <cdr:y>0.19017</cdr:y>
    </cdr:from>
    <cdr:to>
      <cdr:x>0.07153</cdr:x>
      <cdr:y>0.65975</cdr:y>
    </cdr:to>
    <cdr:sp macro="" textlink="">
      <cdr:nvSpPr>
        <cdr:cNvPr id="4" name="TextBox 1">
          <a:extLst xmlns:a="http://schemas.openxmlformats.org/drawingml/2006/main">
            <a:ext uri="{FF2B5EF4-FFF2-40B4-BE49-F238E27FC236}">
              <a16:creationId xmlns:a16="http://schemas.microsoft.com/office/drawing/2014/main" id="{4A8D474E-8764-48A6-AA9E-85D0A97C8A8C}"/>
            </a:ext>
          </a:extLst>
        </cdr:cNvPr>
        <cdr:cNvSpPr txBox="1"/>
      </cdr:nvSpPr>
      <cdr:spPr>
        <a:xfrm xmlns:a="http://schemas.openxmlformats.org/drawingml/2006/main" rot="16200000">
          <a:off x="-601420" y="1319345"/>
          <a:ext cx="1647265" cy="3428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Cumulative probability</a:t>
          </a:r>
        </a:p>
      </cdr:txBody>
    </cdr:sp>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251460</xdr:colOff>
          <xdr:row>1</xdr:row>
          <xdr:rowOff>22860</xdr:rowOff>
        </xdr:from>
        <xdr:to>
          <xdr:col>13</xdr:col>
          <xdr:colOff>38100</xdr:colOff>
          <xdr:row>4</xdr:row>
          <xdr:rowOff>99060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68</xdr:row>
          <xdr:rowOff>60960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00"/>
                  </a:solidFill>
                  <a:latin typeface="Arial"/>
                  <a:cs typeface="Arial"/>
                </a:rPr>
                <a:t>Done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7040880</xdr:colOff>
          <xdr:row>0</xdr:row>
          <xdr:rowOff>99060</xdr:rowOff>
        </xdr:from>
        <xdr:to>
          <xdr:col>2</xdr:col>
          <xdr:colOff>60960</xdr:colOff>
          <xdr:row>2</xdr:row>
          <xdr:rowOff>99060</xdr:rowOff>
        </xdr:to>
        <xdr:sp macro="" textlink="">
          <xdr:nvSpPr>
            <xdr:cNvPr id="30721" name="cmdInputSheet5" hidden="1">
              <a:extLst>
                <a:ext uri="{63B3BB69-23CF-44E3-9099-C40C66FF867C}">
                  <a14:compatExt spid="_x0000_s30721"/>
                </a:ext>
                <a:ext uri="{FF2B5EF4-FFF2-40B4-BE49-F238E27FC236}">
                  <a16:creationId xmlns:a16="http://schemas.microsoft.com/office/drawing/2014/main" id="{00000000-0008-0000-13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5760720</xdr:colOff>
          <xdr:row>0</xdr:row>
          <xdr:rowOff>99060</xdr:rowOff>
        </xdr:from>
        <xdr:to>
          <xdr:col>1</xdr:col>
          <xdr:colOff>6918960</xdr:colOff>
          <xdr:row>2</xdr:row>
          <xdr:rowOff>99060</xdr:rowOff>
        </xdr:to>
        <xdr:sp macro="" textlink="">
          <xdr:nvSpPr>
            <xdr:cNvPr id="31745" name="cmdInputSheet4" hidden="1">
              <a:extLst>
                <a:ext uri="{63B3BB69-23CF-44E3-9099-C40C66FF867C}">
                  <a14:compatExt spid="_x0000_s31745"/>
                </a:ext>
                <a:ext uri="{FF2B5EF4-FFF2-40B4-BE49-F238E27FC236}">
                  <a16:creationId xmlns:a16="http://schemas.microsoft.com/office/drawing/2014/main" id="{00000000-0008-0000-14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647700</xdr:colOff>
          <xdr:row>1</xdr:row>
          <xdr:rowOff>7620</xdr:rowOff>
        </xdr:from>
        <xdr:to>
          <xdr:col>3</xdr:col>
          <xdr:colOff>1798320</xdr:colOff>
          <xdr:row>1</xdr:row>
          <xdr:rowOff>457200</xdr:rowOff>
        </xdr:to>
        <xdr:sp macro="" textlink="">
          <xdr:nvSpPr>
            <xdr:cNvPr id="32769" name="cmdInputSheet3" hidden="1">
              <a:extLst>
                <a:ext uri="{63B3BB69-23CF-44E3-9099-C40C66FF867C}">
                  <a14:compatExt spid="_x0000_s32769"/>
                </a:ext>
                <a:ext uri="{FF2B5EF4-FFF2-40B4-BE49-F238E27FC236}">
                  <a16:creationId xmlns:a16="http://schemas.microsoft.com/office/drawing/2014/main" id="{00000000-0008-0000-15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nrel.gov/" TargetMode="External"/><Relationship Id="rId1" Type="http://schemas.openxmlformats.org/officeDocument/2006/relationships/hyperlink" Target="mailto:mike.penev@nrel.gov"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8.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21.emf"/><Relationship Id="rId3" Type="http://schemas.openxmlformats.org/officeDocument/2006/relationships/vmlDrawing" Target="../drawings/vmlDrawing1.vml"/><Relationship Id="rId21" Type="http://schemas.openxmlformats.org/officeDocument/2006/relationships/image" Target="../media/image12.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5.emf"/><Relationship Id="rId7" Type="http://schemas.openxmlformats.org/officeDocument/2006/relationships/image" Target="../media/image5.emf"/><Relationship Id="rId12" Type="http://schemas.openxmlformats.org/officeDocument/2006/relationships/control" Target="../activeX/activeX5.xml"/><Relationship Id="rId17" Type="http://schemas.openxmlformats.org/officeDocument/2006/relationships/image" Target="../media/image10.emf"/><Relationship Id="rId25" Type="http://schemas.openxmlformats.org/officeDocument/2006/relationships/image" Target="../media/image14.emf"/><Relationship Id="rId33" Type="http://schemas.openxmlformats.org/officeDocument/2006/relationships/image" Target="../media/image18.emf"/><Relationship Id="rId38" Type="http://schemas.openxmlformats.org/officeDocument/2006/relationships/control" Target="../activeX/activeX18.xml"/><Relationship Id="rId46" Type="http://schemas.openxmlformats.org/officeDocument/2006/relationships/control" Target="../activeX/activeX22.xml"/><Relationship Id="rId2" Type="http://schemas.openxmlformats.org/officeDocument/2006/relationships/drawing" Target="../drawings/drawing4.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6.emf"/><Relationship Id="rId41" Type="http://schemas.openxmlformats.org/officeDocument/2006/relationships/image" Target="../media/image22.emf"/><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7.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20.emf"/><Relationship Id="rId40" Type="http://schemas.openxmlformats.org/officeDocument/2006/relationships/control" Target="../activeX/activeX19.xml"/><Relationship Id="rId45" Type="http://schemas.openxmlformats.org/officeDocument/2006/relationships/image" Target="../media/image24.emf"/><Relationship Id="rId5" Type="http://schemas.openxmlformats.org/officeDocument/2006/relationships/image" Target="../media/image4.emf"/><Relationship Id="rId15" Type="http://schemas.openxmlformats.org/officeDocument/2006/relationships/image" Target="../media/image9.emf"/><Relationship Id="rId23" Type="http://schemas.openxmlformats.org/officeDocument/2006/relationships/image" Target="../media/image13.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11.emf"/><Relationship Id="rId31" Type="http://schemas.openxmlformats.org/officeDocument/2006/relationships/image" Target="../media/image17.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6.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5.emf"/><Relationship Id="rId30" Type="http://schemas.openxmlformats.org/officeDocument/2006/relationships/control" Target="../activeX/activeX14.xml"/><Relationship Id="rId35" Type="http://schemas.openxmlformats.org/officeDocument/2006/relationships/image" Target="../media/image19.emf"/><Relationship Id="rId43" Type="http://schemas.openxmlformats.org/officeDocument/2006/relationships/image" Target="../media/image23.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www.chemicals-technology.com/projects/air-products-plant/" TargetMode="External"/><Relationship Id="rId1" Type="http://schemas.openxmlformats.org/officeDocument/2006/relationships/hyperlink" Target="http://hydrogen.pnl.gov/filedownloads/hydrogen/datasheets/hydrogen_production_capacity_by_state.xls" TargetMode="External"/><Relationship Id="rId4" Type="http://schemas.openxmlformats.org/officeDocument/2006/relationships/drawing" Target="../drawings/drawing9.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30.emf"/><Relationship Id="rId18" Type="http://schemas.openxmlformats.org/officeDocument/2006/relationships/control" Target="../activeX/activeX30.xml"/><Relationship Id="rId26" Type="http://schemas.openxmlformats.org/officeDocument/2006/relationships/comments" Target="../comments2.xml"/><Relationship Id="rId3" Type="http://schemas.openxmlformats.org/officeDocument/2006/relationships/vmlDrawing" Target="../drawings/vmlDrawing3.vml"/><Relationship Id="rId21" Type="http://schemas.openxmlformats.org/officeDocument/2006/relationships/image" Target="../media/image34.emf"/><Relationship Id="rId7" Type="http://schemas.openxmlformats.org/officeDocument/2006/relationships/image" Target="../media/image27.emf"/><Relationship Id="rId12" Type="http://schemas.openxmlformats.org/officeDocument/2006/relationships/control" Target="../activeX/activeX27.xml"/><Relationship Id="rId17" Type="http://schemas.openxmlformats.org/officeDocument/2006/relationships/image" Target="../media/image32.emf"/><Relationship Id="rId25" Type="http://schemas.openxmlformats.org/officeDocument/2006/relationships/image" Target="../media/image36.emf"/><Relationship Id="rId2" Type="http://schemas.openxmlformats.org/officeDocument/2006/relationships/drawing" Target="../drawings/drawing10.xml"/><Relationship Id="rId16" Type="http://schemas.openxmlformats.org/officeDocument/2006/relationships/control" Target="../activeX/activeX29.xml"/><Relationship Id="rId20" Type="http://schemas.openxmlformats.org/officeDocument/2006/relationships/control" Target="../activeX/activeX31.xml"/><Relationship Id="rId1" Type="http://schemas.openxmlformats.org/officeDocument/2006/relationships/printerSettings" Target="../printerSettings/printerSettings6.bin"/><Relationship Id="rId6" Type="http://schemas.openxmlformats.org/officeDocument/2006/relationships/control" Target="../activeX/activeX24.xml"/><Relationship Id="rId11" Type="http://schemas.openxmlformats.org/officeDocument/2006/relationships/image" Target="../media/image29.emf"/><Relationship Id="rId24" Type="http://schemas.openxmlformats.org/officeDocument/2006/relationships/control" Target="../activeX/activeX33.xml"/><Relationship Id="rId5" Type="http://schemas.openxmlformats.org/officeDocument/2006/relationships/image" Target="../media/image26.emf"/><Relationship Id="rId15" Type="http://schemas.openxmlformats.org/officeDocument/2006/relationships/image" Target="../media/image31.emf"/><Relationship Id="rId23" Type="http://schemas.openxmlformats.org/officeDocument/2006/relationships/image" Target="../media/image35.emf"/><Relationship Id="rId10" Type="http://schemas.openxmlformats.org/officeDocument/2006/relationships/control" Target="../activeX/activeX26.xml"/><Relationship Id="rId19" Type="http://schemas.openxmlformats.org/officeDocument/2006/relationships/image" Target="../media/image33.emf"/><Relationship Id="rId4" Type="http://schemas.openxmlformats.org/officeDocument/2006/relationships/control" Target="../activeX/activeX23.xml"/><Relationship Id="rId9" Type="http://schemas.openxmlformats.org/officeDocument/2006/relationships/image" Target="../media/image28.emf"/><Relationship Id="rId14" Type="http://schemas.openxmlformats.org/officeDocument/2006/relationships/control" Target="../activeX/activeX28.xml"/><Relationship Id="rId22" Type="http://schemas.openxmlformats.org/officeDocument/2006/relationships/control" Target="../activeX/activeX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file:///C:\Users\james.vickers\AppData\Local\chunter\chunter\AppData\Local\Microsoft\Windows\2.2%20Production%20Cost%20Target\James%20Milford%20Review\Available%20from%20Short%20Term%20Enehttp:\www.eia.doe.gov\emeu\steo\pub\a2tab.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1.bin"/><Relationship Id="rId6" Type="http://schemas.openxmlformats.org/officeDocument/2006/relationships/comments" Target="../comments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8.vml"/><Relationship Id="rId1" Type="http://schemas.openxmlformats.org/officeDocument/2006/relationships/drawing" Target="../drawings/drawing17.xml"/><Relationship Id="rId4" Type="http://schemas.openxmlformats.org/officeDocument/2006/relationships/image" Target="../media/image37.emf"/></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35.xml"/><Relationship Id="rId2" Type="http://schemas.openxmlformats.org/officeDocument/2006/relationships/vmlDrawing" Target="../drawings/vmlDrawing9.vml"/><Relationship Id="rId1" Type="http://schemas.openxmlformats.org/officeDocument/2006/relationships/drawing" Target="../drawings/drawing18.xml"/><Relationship Id="rId4" Type="http://schemas.openxmlformats.org/officeDocument/2006/relationships/image" Target="../media/image38.emf"/></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36.xml"/><Relationship Id="rId2" Type="http://schemas.openxmlformats.org/officeDocument/2006/relationships/vmlDrawing" Target="../drawings/vmlDrawing10.vml"/><Relationship Id="rId1" Type="http://schemas.openxmlformats.org/officeDocument/2006/relationships/drawing" Target="../drawings/drawing19.xml"/><Relationship Id="rId4" Type="http://schemas.openxmlformats.org/officeDocument/2006/relationships/image" Target="../media/image3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indexed="42"/>
  </sheetPr>
  <dimension ref="B2:D38"/>
  <sheetViews>
    <sheetView tabSelected="1" zoomScaleNormal="100" workbookViewId="0">
      <selection activeCell="B2" sqref="B2"/>
    </sheetView>
  </sheetViews>
  <sheetFormatPr defaultRowHeight="13.2" x14ac:dyDescent="0.25"/>
  <cols>
    <col min="2" max="2" width="36.88671875" customWidth="1"/>
    <col min="3" max="3" width="44.6640625" customWidth="1"/>
    <col min="4" max="4" width="53.88671875" customWidth="1"/>
    <col min="5" max="5" width="126.44140625" customWidth="1"/>
  </cols>
  <sheetData>
    <row r="2" spans="2:4" ht="39" customHeight="1" x14ac:dyDescent="0.5">
      <c r="B2" s="777" t="s">
        <v>407</v>
      </c>
    </row>
    <row r="4" spans="2:4" ht="13.8" thickBot="1" x14ac:dyDescent="0.3"/>
    <row r="5" spans="2:4" ht="27" thickTop="1" x14ac:dyDescent="0.25">
      <c r="B5" s="783" t="s">
        <v>211</v>
      </c>
      <c r="C5" s="1249" t="s">
        <v>1366</v>
      </c>
      <c r="D5" s="1252"/>
    </row>
    <row r="6" spans="2:4" x14ac:dyDescent="0.25">
      <c r="B6" s="786" t="s">
        <v>212</v>
      </c>
      <c r="C6" s="1250" t="s">
        <v>1452</v>
      </c>
      <c r="D6" s="1252"/>
    </row>
    <row r="7" spans="2:4" x14ac:dyDescent="0.25">
      <c r="B7" s="786" t="s">
        <v>213</v>
      </c>
      <c r="C7" s="1250" t="s">
        <v>1452</v>
      </c>
      <c r="D7" s="1252"/>
    </row>
    <row r="8" spans="2:4" x14ac:dyDescent="0.25">
      <c r="B8" s="786" t="s">
        <v>214</v>
      </c>
      <c r="C8" s="1250" t="s">
        <v>1453</v>
      </c>
      <c r="D8" s="1252"/>
    </row>
    <row r="9" spans="2:4" x14ac:dyDescent="0.25">
      <c r="B9" s="786" t="s">
        <v>215</v>
      </c>
      <c r="C9" s="982" t="s">
        <v>1454</v>
      </c>
      <c r="D9" s="788"/>
    </row>
    <row r="10" spans="2:4" x14ac:dyDescent="0.25">
      <c r="B10" s="786" t="s">
        <v>216</v>
      </c>
      <c r="C10" s="1250" t="s">
        <v>1455</v>
      </c>
      <c r="D10" s="1252"/>
    </row>
    <row r="11" spans="2:4" x14ac:dyDescent="0.25">
      <c r="B11" s="786" t="s">
        <v>217</v>
      </c>
      <c r="C11" s="1251">
        <v>43497</v>
      </c>
      <c r="D11" s="1433"/>
    </row>
    <row r="12" spans="2:4" ht="13.8" thickBot="1" x14ac:dyDescent="0.3">
      <c r="B12" s="791" t="s">
        <v>218</v>
      </c>
      <c r="C12" s="983" t="s">
        <v>1301</v>
      </c>
      <c r="D12" s="1252"/>
    </row>
    <row r="13" spans="2:4" ht="14.4" thickTop="1" thickBot="1" x14ac:dyDescent="0.3">
      <c r="B13" s="792"/>
      <c r="C13" s="1252"/>
      <c r="D13" s="1434"/>
    </row>
    <row r="14" spans="2:4" ht="13.8" thickTop="1" x14ac:dyDescent="0.25">
      <c r="B14" s="783" t="s">
        <v>219</v>
      </c>
      <c r="C14" s="1435">
        <v>616500</v>
      </c>
      <c r="D14" s="1436"/>
    </row>
    <row r="15" spans="2:4" x14ac:dyDescent="0.25">
      <c r="B15" s="786" t="s">
        <v>220</v>
      </c>
      <c r="C15" s="1253">
        <v>2015</v>
      </c>
      <c r="D15" s="797"/>
    </row>
    <row r="16" spans="2:4" x14ac:dyDescent="0.25">
      <c r="B16" s="786" t="s">
        <v>221</v>
      </c>
      <c r="C16" s="1192" t="s">
        <v>1088</v>
      </c>
      <c r="D16" s="1436"/>
    </row>
    <row r="17" spans="2:4" x14ac:dyDescent="0.25">
      <c r="B17" s="786" t="s">
        <v>222</v>
      </c>
      <c r="C17" s="1192" t="s">
        <v>830</v>
      </c>
      <c r="D17" s="1436"/>
    </row>
    <row r="18" spans="2:4" x14ac:dyDescent="0.25">
      <c r="B18" s="786" t="s">
        <v>223</v>
      </c>
      <c r="C18" s="1192" t="s">
        <v>831</v>
      </c>
      <c r="D18" s="798"/>
    </row>
    <row r="19" spans="2:4" ht="26.4" x14ac:dyDescent="0.25">
      <c r="B19" s="786" t="s">
        <v>224</v>
      </c>
      <c r="C19" s="1192" t="s">
        <v>1456</v>
      </c>
      <c r="D19" s="1436"/>
    </row>
    <row r="20" spans="2:4" x14ac:dyDescent="0.25">
      <c r="B20" s="786" t="s">
        <v>225</v>
      </c>
      <c r="C20" s="1192" t="s">
        <v>1367</v>
      </c>
      <c r="D20" s="1436"/>
    </row>
    <row r="21" spans="2:4" x14ac:dyDescent="0.25">
      <c r="B21" s="786" t="s">
        <v>226</v>
      </c>
      <c r="C21" s="1192" t="s">
        <v>403</v>
      </c>
      <c r="D21" s="1436"/>
    </row>
    <row r="22" spans="2:4" ht="26.4" x14ac:dyDescent="0.25">
      <c r="B22" s="799" t="s">
        <v>227</v>
      </c>
      <c r="C22" s="1253" t="s">
        <v>1207</v>
      </c>
      <c r="D22" s="1436"/>
    </row>
    <row r="23" spans="2:4" x14ac:dyDescent="0.25">
      <c r="B23" s="799" t="s">
        <v>228</v>
      </c>
      <c r="C23" s="1192" t="s">
        <v>1457</v>
      </c>
      <c r="D23" s="1436"/>
    </row>
    <row r="24" spans="2:4" ht="13.8" thickBot="1" x14ac:dyDescent="0.3">
      <c r="B24" s="791" t="s">
        <v>229</v>
      </c>
      <c r="C24" s="1254" t="s">
        <v>832</v>
      </c>
      <c r="D24" s="1436"/>
    </row>
    <row r="25" spans="2:4" ht="14.4" thickTop="1" thickBot="1" x14ac:dyDescent="0.3">
      <c r="B25" s="801"/>
      <c r="C25" s="1436"/>
      <c r="D25" s="1436"/>
    </row>
    <row r="26" spans="2:4" x14ac:dyDescent="0.25">
      <c r="B26" s="1574" t="s">
        <v>230</v>
      </c>
      <c r="C26" s="1575"/>
      <c r="D26" s="1576"/>
    </row>
    <row r="27" spans="2:4" x14ac:dyDescent="0.25">
      <c r="B27" s="1438" t="s">
        <v>231</v>
      </c>
      <c r="C27" s="803" t="s">
        <v>232</v>
      </c>
      <c r="D27" s="1439" t="s">
        <v>1031</v>
      </c>
    </row>
    <row r="28" spans="2:4" x14ac:dyDescent="0.25">
      <c r="B28" s="1463" t="s">
        <v>1368</v>
      </c>
      <c r="C28" s="1437" t="s">
        <v>1452</v>
      </c>
      <c r="D28" s="1440"/>
    </row>
    <row r="29" spans="2:4" x14ac:dyDescent="0.25">
      <c r="B29" s="1442"/>
      <c r="C29" s="1437"/>
      <c r="D29" s="1440"/>
    </row>
    <row r="30" spans="2:4" x14ac:dyDescent="0.25">
      <c r="B30" s="1463" t="s">
        <v>1309</v>
      </c>
      <c r="C30" s="1437"/>
      <c r="D30" s="1440"/>
    </row>
    <row r="31" spans="2:4" x14ac:dyDescent="0.25">
      <c r="B31" s="1442">
        <v>43116</v>
      </c>
      <c r="C31" s="1437" t="s">
        <v>1310</v>
      </c>
      <c r="D31" s="1440" t="s">
        <v>1311</v>
      </c>
    </row>
    <row r="32" spans="2:4" x14ac:dyDescent="0.25">
      <c r="B32" s="1463" t="s">
        <v>1302</v>
      </c>
      <c r="C32" s="1437"/>
      <c r="D32" s="1440"/>
    </row>
    <row r="33" spans="2:4" x14ac:dyDescent="0.25">
      <c r="B33" s="1441">
        <v>39713</v>
      </c>
      <c r="C33" s="1437" t="s">
        <v>1303</v>
      </c>
      <c r="D33" s="1250" t="s">
        <v>833</v>
      </c>
    </row>
    <row r="34" spans="2:4" x14ac:dyDescent="0.25">
      <c r="B34" s="1442">
        <v>39595</v>
      </c>
      <c r="C34" s="1191" t="s">
        <v>1303</v>
      </c>
      <c r="D34" s="1250" t="s">
        <v>1304</v>
      </c>
    </row>
    <row r="35" spans="2:4" x14ac:dyDescent="0.25">
      <c r="B35" s="1443">
        <v>39520</v>
      </c>
      <c r="C35" s="1191" t="s">
        <v>1300</v>
      </c>
      <c r="D35" s="1250" t="s">
        <v>1305</v>
      </c>
    </row>
    <row r="36" spans="2:4" x14ac:dyDescent="0.25">
      <c r="B36" s="1443"/>
      <c r="C36" s="1191"/>
      <c r="D36" s="1250"/>
    </row>
    <row r="37" spans="2:4" x14ac:dyDescent="0.25">
      <c r="B37" s="1444" t="s">
        <v>1306</v>
      </c>
      <c r="C37" s="1191"/>
      <c r="D37" s="1445"/>
    </row>
    <row r="38" spans="2:4" ht="13.8" thickBot="1" x14ac:dyDescent="0.3">
      <c r="B38" s="1446">
        <v>38520</v>
      </c>
      <c r="C38" s="1447" t="s">
        <v>1307</v>
      </c>
      <c r="D38" s="1448" t="s">
        <v>1308</v>
      </c>
    </row>
  </sheetData>
  <mergeCells count="1">
    <mergeCell ref="B26:D26"/>
  </mergeCells>
  <phoneticPr fontId="0" type="noConversion"/>
  <hyperlinks>
    <hyperlink ref="C9" r:id="rId1" display="mike.penev@nrel.gov" xr:uid="{00000000-0004-0000-0000-000000000000}"/>
    <hyperlink ref="C12" r:id="rId2" xr:uid="{00000000-0004-0000-0000-000001000000}"/>
  </hyperlinks>
  <pageMargins left="0.75" right="0.75" top="1" bottom="1" header="0.5" footer="0.5"/>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indexed="42"/>
  </sheetPr>
  <dimension ref="B2:B86"/>
  <sheetViews>
    <sheetView topLeftCell="A10" zoomScale="190" zoomScaleNormal="190" workbookViewId="0">
      <selection activeCell="B8" sqref="B8"/>
    </sheetView>
  </sheetViews>
  <sheetFormatPr defaultRowHeight="13.2" x14ac:dyDescent="0.25"/>
  <cols>
    <col min="2" max="2" width="122" customWidth="1"/>
    <col min="3" max="3" width="12" customWidth="1"/>
    <col min="4" max="4" width="47.44140625" customWidth="1"/>
    <col min="5" max="5" width="17.33203125" customWidth="1"/>
  </cols>
  <sheetData>
    <row r="2" spans="2:2" ht="21" x14ac:dyDescent="0.5">
      <c r="B2" s="777" t="s">
        <v>408</v>
      </c>
    </row>
    <row r="6" spans="2:2" x14ac:dyDescent="0.25">
      <c r="B6" s="778" t="s">
        <v>206</v>
      </c>
    </row>
    <row r="7" spans="2:2" ht="39.6" x14ac:dyDescent="0.25">
      <c r="B7" s="1255" t="s">
        <v>1312</v>
      </c>
    </row>
    <row r="8" spans="2:2" x14ac:dyDescent="0.25">
      <c r="B8" s="779"/>
    </row>
    <row r="9" spans="2:2" x14ac:dyDescent="0.25">
      <c r="B9" s="779"/>
    </row>
    <row r="10" spans="2:2" x14ac:dyDescent="0.25">
      <c r="B10" s="780" t="s">
        <v>207</v>
      </c>
    </row>
    <row r="11" spans="2:2" ht="52.8" x14ac:dyDescent="0.25">
      <c r="B11" s="1255" t="s">
        <v>1461</v>
      </c>
    </row>
    <row r="12" spans="2:2" x14ac:dyDescent="0.25">
      <c r="B12" s="209"/>
    </row>
    <row r="13" spans="2:2" x14ac:dyDescent="0.25">
      <c r="B13" s="779"/>
    </row>
    <row r="14" spans="2:2" x14ac:dyDescent="0.25">
      <c r="B14" s="780" t="s">
        <v>208</v>
      </c>
    </row>
    <row r="15" spans="2:2" ht="26.4" x14ac:dyDescent="0.25">
      <c r="B15" s="1255" t="s">
        <v>1458</v>
      </c>
    </row>
    <row r="16" spans="2:2" x14ac:dyDescent="0.25">
      <c r="B16" s="779"/>
    </row>
    <row r="17" spans="2:2" x14ac:dyDescent="0.25">
      <c r="B17" s="779"/>
    </row>
    <row r="18" spans="2:2" x14ac:dyDescent="0.25">
      <c r="B18" s="780" t="s">
        <v>209</v>
      </c>
    </row>
    <row r="19" spans="2:2" x14ac:dyDescent="0.25">
      <c r="B19" s="1255" t="s">
        <v>1459</v>
      </c>
    </row>
    <row r="20" spans="2:2" x14ac:dyDescent="0.25">
      <c r="B20" s="779"/>
    </row>
    <row r="21" spans="2:2" x14ac:dyDescent="0.25">
      <c r="B21" s="781" t="s">
        <v>210</v>
      </c>
    </row>
    <row r="22" spans="2:2" ht="26.4" x14ac:dyDescent="0.25">
      <c r="B22" s="984" t="s">
        <v>1460</v>
      </c>
    </row>
    <row r="23" spans="2:2" x14ac:dyDescent="0.25">
      <c r="B23" s="1255"/>
    </row>
    <row r="24" spans="2:2" x14ac:dyDescent="0.25">
      <c r="B24" s="1255"/>
    </row>
    <row r="25" spans="2:2" x14ac:dyDescent="0.25">
      <c r="B25" s="1255"/>
    </row>
    <row r="26" spans="2:2" x14ac:dyDescent="0.25">
      <c r="B26" s="984"/>
    </row>
    <row r="76" ht="81" customHeight="1" x14ac:dyDescent="0.25"/>
    <row r="78" ht="97.5" customHeight="1" x14ac:dyDescent="0.25"/>
    <row r="80" ht="68.25" customHeight="1" x14ac:dyDescent="0.25"/>
    <row r="82" ht="63" customHeight="1" x14ac:dyDescent="0.25"/>
    <row r="84" ht="63.75" customHeight="1" x14ac:dyDescent="0.25"/>
    <row r="86" ht="37.5" customHeight="1" x14ac:dyDescent="0.25"/>
  </sheetData>
  <phoneticPr fontId="0"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indexed="42"/>
  </sheetPr>
  <dimension ref="B2:L75"/>
  <sheetViews>
    <sheetView topLeftCell="C1" zoomScaleNormal="100" workbookViewId="0">
      <selection activeCell="F8" sqref="F8"/>
    </sheetView>
  </sheetViews>
  <sheetFormatPr defaultRowHeight="13.2" x14ac:dyDescent="0.25"/>
  <cols>
    <col min="2" max="2" width="122" customWidth="1"/>
    <col min="3" max="3" width="12" customWidth="1"/>
    <col min="4" max="4" width="6.6640625" customWidth="1"/>
    <col min="5" max="5" width="36.6640625" bestFit="1" customWidth="1"/>
    <col min="6" max="6" width="20.5546875" customWidth="1"/>
    <col min="7" max="7" width="14.33203125" customWidth="1"/>
    <col min="8" max="8" width="31.33203125" customWidth="1"/>
    <col min="9" max="9" width="15.88671875" bestFit="1" customWidth="1"/>
    <col min="10" max="10" width="11.88671875" bestFit="1" customWidth="1"/>
    <col min="11" max="11" width="15.88671875" customWidth="1"/>
    <col min="12" max="12" width="14.44140625" customWidth="1"/>
    <col min="256" max="256" width="10.109375" customWidth="1"/>
    <col min="257" max="257" width="12" customWidth="1"/>
    <col min="258" max="258" width="17.88671875" customWidth="1"/>
    <col min="259" max="259" width="17.33203125" customWidth="1"/>
    <col min="260" max="261" width="31" customWidth="1"/>
    <col min="262" max="265" width="25.109375" customWidth="1"/>
    <col min="512" max="512" width="10.109375" customWidth="1"/>
    <col min="513" max="513" width="12" customWidth="1"/>
    <col min="514" max="514" width="17.88671875" customWidth="1"/>
    <col min="515" max="515" width="17.33203125" customWidth="1"/>
    <col min="516" max="517" width="31" customWidth="1"/>
    <col min="518" max="521" width="25.109375" customWidth="1"/>
    <col min="768" max="768" width="10.109375" customWidth="1"/>
    <col min="769" max="769" width="12" customWidth="1"/>
    <col min="770" max="770" width="17.88671875" customWidth="1"/>
    <col min="771" max="771" width="17.33203125" customWidth="1"/>
    <col min="772" max="773" width="31" customWidth="1"/>
    <col min="774" max="777" width="25.109375" customWidth="1"/>
    <col min="1024" max="1024" width="10.109375" customWidth="1"/>
    <col min="1025" max="1025" width="12" customWidth="1"/>
    <col min="1026" max="1026" width="17.88671875" customWidth="1"/>
    <col min="1027" max="1027" width="17.33203125" customWidth="1"/>
    <col min="1028" max="1029" width="31" customWidth="1"/>
    <col min="1030" max="1033" width="25.109375" customWidth="1"/>
    <col min="1280" max="1280" width="10.109375" customWidth="1"/>
    <col min="1281" max="1281" width="12" customWidth="1"/>
    <col min="1282" max="1282" width="17.88671875" customWidth="1"/>
    <col min="1283" max="1283" width="17.33203125" customWidth="1"/>
    <col min="1284" max="1285" width="31" customWidth="1"/>
    <col min="1286" max="1289" width="25.109375" customWidth="1"/>
    <col min="1536" max="1536" width="10.109375" customWidth="1"/>
    <col min="1537" max="1537" width="12" customWidth="1"/>
    <col min="1538" max="1538" width="17.88671875" customWidth="1"/>
    <col min="1539" max="1539" width="17.33203125" customWidth="1"/>
    <col min="1540" max="1541" width="31" customWidth="1"/>
    <col min="1542" max="1545" width="25.109375" customWidth="1"/>
    <col min="1792" max="1792" width="10.109375" customWidth="1"/>
    <col min="1793" max="1793" width="12" customWidth="1"/>
    <col min="1794" max="1794" width="17.88671875" customWidth="1"/>
    <col min="1795" max="1795" width="17.33203125" customWidth="1"/>
    <col min="1796" max="1797" width="31" customWidth="1"/>
    <col min="1798" max="1801" width="25.109375" customWidth="1"/>
    <col min="2048" max="2048" width="10.109375" customWidth="1"/>
    <col min="2049" max="2049" width="12" customWidth="1"/>
    <col min="2050" max="2050" width="17.88671875" customWidth="1"/>
    <col min="2051" max="2051" width="17.33203125" customWidth="1"/>
    <col min="2052" max="2053" width="31" customWidth="1"/>
    <col min="2054" max="2057" width="25.109375" customWidth="1"/>
    <col min="2304" max="2304" width="10.109375" customWidth="1"/>
    <col min="2305" max="2305" width="12" customWidth="1"/>
    <col min="2306" max="2306" width="17.88671875" customWidth="1"/>
    <col min="2307" max="2307" width="17.33203125" customWidth="1"/>
    <col min="2308" max="2309" width="31" customWidth="1"/>
    <col min="2310" max="2313" width="25.109375" customWidth="1"/>
    <col min="2560" max="2560" width="10.109375" customWidth="1"/>
    <col min="2561" max="2561" width="12" customWidth="1"/>
    <col min="2562" max="2562" width="17.88671875" customWidth="1"/>
    <col min="2563" max="2563" width="17.33203125" customWidth="1"/>
    <col min="2564" max="2565" width="31" customWidth="1"/>
    <col min="2566" max="2569" width="25.109375" customWidth="1"/>
    <col min="2816" max="2816" width="10.109375" customWidth="1"/>
    <col min="2817" max="2817" width="12" customWidth="1"/>
    <col min="2818" max="2818" width="17.88671875" customWidth="1"/>
    <col min="2819" max="2819" width="17.33203125" customWidth="1"/>
    <col min="2820" max="2821" width="31" customWidth="1"/>
    <col min="2822" max="2825" width="25.109375" customWidth="1"/>
    <col min="3072" max="3072" width="10.109375" customWidth="1"/>
    <col min="3073" max="3073" width="12" customWidth="1"/>
    <col min="3074" max="3074" width="17.88671875" customWidth="1"/>
    <col min="3075" max="3075" width="17.33203125" customWidth="1"/>
    <col min="3076" max="3077" width="31" customWidth="1"/>
    <col min="3078" max="3081" width="25.109375" customWidth="1"/>
    <col min="3328" max="3328" width="10.109375" customWidth="1"/>
    <col min="3329" max="3329" width="12" customWidth="1"/>
    <col min="3330" max="3330" width="17.88671875" customWidth="1"/>
    <col min="3331" max="3331" width="17.33203125" customWidth="1"/>
    <col min="3332" max="3333" width="31" customWidth="1"/>
    <col min="3334" max="3337" width="25.109375" customWidth="1"/>
    <col min="3584" max="3584" width="10.109375" customWidth="1"/>
    <col min="3585" max="3585" width="12" customWidth="1"/>
    <col min="3586" max="3586" width="17.88671875" customWidth="1"/>
    <col min="3587" max="3587" width="17.33203125" customWidth="1"/>
    <col min="3588" max="3589" width="31" customWidth="1"/>
    <col min="3590" max="3593" width="25.109375" customWidth="1"/>
    <col min="3840" max="3840" width="10.109375" customWidth="1"/>
    <col min="3841" max="3841" width="12" customWidth="1"/>
    <col min="3842" max="3842" width="17.88671875" customWidth="1"/>
    <col min="3843" max="3843" width="17.33203125" customWidth="1"/>
    <col min="3844" max="3845" width="31" customWidth="1"/>
    <col min="3846" max="3849" width="25.109375" customWidth="1"/>
    <col min="4096" max="4096" width="10.109375" customWidth="1"/>
    <col min="4097" max="4097" width="12" customWidth="1"/>
    <col min="4098" max="4098" width="17.88671875" customWidth="1"/>
    <col min="4099" max="4099" width="17.33203125" customWidth="1"/>
    <col min="4100" max="4101" width="31" customWidth="1"/>
    <col min="4102" max="4105" width="25.109375" customWidth="1"/>
    <col min="4352" max="4352" width="10.109375" customWidth="1"/>
    <col min="4353" max="4353" width="12" customWidth="1"/>
    <col min="4354" max="4354" width="17.88671875" customWidth="1"/>
    <col min="4355" max="4355" width="17.33203125" customWidth="1"/>
    <col min="4356" max="4357" width="31" customWidth="1"/>
    <col min="4358" max="4361" width="25.109375" customWidth="1"/>
    <col min="4608" max="4608" width="10.109375" customWidth="1"/>
    <col min="4609" max="4609" width="12" customWidth="1"/>
    <col min="4610" max="4610" width="17.88671875" customWidth="1"/>
    <col min="4611" max="4611" width="17.33203125" customWidth="1"/>
    <col min="4612" max="4613" width="31" customWidth="1"/>
    <col min="4614" max="4617" width="25.109375" customWidth="1"/>
    <col min="4864" max="4864" width="10.109375" customWidth="1"/>
    <col min="4865" max="4865" width="12" customWidth="1"/>
    <col min="4866" max="4866" width="17.88671875" customWidth="1"/>
    <col min="4867" max="4867" width="17.33203125" customWidth="1"/>
    <col min="4868" max="4869" width="31" customWidth="1"/>
    <col min="4870" max="4873" width="25.109375" customWidth="1"/>
    <col min="5120" max="5120" width="10.109375" customWidth="1"/>
    <col min="5121" max="5121" width="12" customWidth="1"/>
    <col min="5122" max="5122" width="17.88671875" customWidth="1"/>
    <col min="5123" max="5123" width="17.33203125" customWidth="1"/>
    <col min="5124" max="5125" width="31" customWidth="1"/>
    <col min="5126" max="5129" width="25.109375" customWidth="1"/>
    <col min="5376" max="5376" width="10.109375" customWidth="1"/>
    <col min="5377" max="5377" width="12" customWidth="1"/>
    <col min="5378" max="5378" width="17.88671875" customWidth="1"/>
    <col min="5379" max="5379" width="17.33203125" customWidth="1"/>
    <col min="5380" max="5381" width="31" customWidth="1"/>
    <col min="5382" max="5385" width="25.109375" customWidth="1"/>
    <col min="5632" max="5632" width="10.109375" customWidth="1"/>
    <col min="5633" max="5633" width="12" customWidth="1"/>
    <col min="5634" max="5634" width="17.88671875" customWidth="1"/>
    <col min="5635" max="5635" width="17.33203125" customWidth="1"/>
    <col min="5636" max="5637" width="31" customWidth="1"/>
    <col min="5638" max="5641" width="25.109375" customWidth="1"/>
    <col min="5888" max="5888" width="10.109375" customWidth="1"/>
    <col min="5889" max="5889" width="12" customWidth="1"/>
    <col min="5890" max="5890" width="17.88671875" customWidth="1"/>
    <col min="5891" max="5891" width="17.33203125" customWidth="1"/>
    <col min="5892" max="5893" width="31" customWidth="1"/>
    <col min="5894" max="5897" width="25.109375" customWidth="1"/>
    <col min="6144" max="6144" width="10.109375" customWidth="1"/>
    <col min="6145" max="6145" width="12" customWidth="1"/>
    <col min="6146" max="6146" width="17.88671875" customWidth="1"/>
    <col min="6147" max="6147" width="17.33203125" customWidth="1"/>
    <col min="6148" max="6149" width="31" customWidth="1"/>
    <col min="6150" max="6153" width="25.109375" customWidth="1"/>
    <col min="6400" max="6400" width="10.109375" customWidth="1"/>
    <col min="6401" max="6401" width="12" customWidth="1"/>
    <col min="6402" max="6402" width="17.88671875" customWidth="1"/>
    <col min="6403" max="6403" width="17.33203125" customWidth="1"/>
    <col min="6404" max="6405" width="31" customWidth="1"/>
    <col min="6406" max="6409" width="25.109375" customWidth="1"/>
    <col min="6656" max="6656" width="10.109375" customWidth="1"/>
    <col min="6657" max="6657" width="12" customWidth="1"/>
    <col min="6658" max="6658" width="17.88671875" customWidth="1"/>
    <col min="6659" max="6659" width="17.33203125" customWidth="1"/>
    <col min="6660" max="6661" width="31" customWidth="1"/>
    <col min="6662" max="6665" width="25.109375" customWidth="1"/>
    <col min="6912" max="6912" width="10.109375" customWidth="1"/>
    <col min="6913" max="6913" width="12" customWidth="1"/>
    <col min="6914" max="6914" width="17.88671875" customWidth="1"/>
    <col min="6915" max="6915" width="17.33203125" customWidth="1"/>
    <col min="6916" max="6917" width="31" customWidth="1"/>
    <col min="6918" max="6921" width="25.109375" customWidth="1"/>
    <col min="7168" max="7168" width="10.109375" customWidth="1"/>
    <col min="7169" max="7169" width="12" customWidth="1"/>
    <col min="7170" max="7170" width="17.88671875" customWidth="1"/>
    <col min="7171" max="7171" width="17.33203125" customWidth="1"/>
    <col min="7172" max="7173" width="31" customWidth="1"/>
    <col min="7174" max="7177" width="25.109375" customWidth="1"/>
    <col min="7424" max="7424" width="10.109375" customWidth="1"/>
    <col min="7425" max="7425" width="12" customWidth="1"/>
    <col min="7426" max="7426" width="17.88671875" customWidth="1"/>
    <col min="7427" max="7427" width="17.33203125" customWidth="1"/>
    <col min="7428" max="7429" width="31" customWidth="1"/>
    <col min="7430" max="7433" width="25.109375" customWidth="1"/>
    <col min="7680" max="7680" width="10.109375" customWidth="1"/>
    <col min="7681" max="7681" width="12" customWidth="1"/>
    <col min="7682" max="7682" width="17.88671875" customWidth="1"/>
    <col min="7683" max="7683" width="17.33203125" customWidth="1"/>
    <col min="7684" max="7685" width="31" customWidth="1"/>
    <col min="7686" max="7689" width="25.109375" customWidth="1"/>
    <col min="7936" max="7936" width="10.109375" customWidth="1"/>
    <col min="7937" max="7937" width="12" customWidth="1"/>
    <col min="7938" max="7938" width="17.88671875" customWidth="1"/>
    <col min="7939" max="7939" width="17.33203125" customWidth="1"/>
    <col min="7940" max="7941" width="31" customWidth="1"/>
    <col min="7942" max="7945" width="25.109375" customWidth="1"/>
    <col min="8192" max="8192" width="10.109375" customWidth="1"/>
    <col min="8193" max="8193" width="12" customWidth="1"/>
    <col min="8194" max="8194" width="17.88671875" customWidth="1"/>
    <col min="8195" max="8195" width="17.33203125" customWidth="1"/>
    <col min="8196" max="8197" width="31" customWidth="1"/>
    <col min="8198" max="8201" width="25.109375" customWidth="1"/>
    <col min="8448" max="8448" width="10.109375" customWidth="1"/>
    <col min="8449" max="8449" width="12" customWidth="1"/>
    <col min="8450" max="8450" width="17.88671875" customWidth="1"/>
    <col min="8451" max="8451" width="17.33203125" customWidth="1"/>
    <col min="8452" max="8453" width="31" customWidth="1"/>
    <col min="8454" max="8457" width="25.109375" customWidth="1"/>
    <col min="8704" max="8704" width="10.109375" customWidth="1"/>
    <col min="8705" max="8705" width="12" customWidth="1"/>
    <col min="8706" max="8706" width="17.88671875" customWidth="1"/>
    <col min="8707" max="8707" width="17.33203125" customWidth="1"/>
    <col min="8708" max="8709" width="31" customWidth="1"/>
    <col min="8710" max="8713" width="25.109375" customWidth="1"/>
    <col min="8960" max="8960" width="10.109375" customWidth="1"/>
    <col min="8961" max="8961" width="12" customWidth="1"/>
    <col min="8962" max="8962" width="17.88671875" customWidth="1"/>
    <col min="8963" max="8963" width="17.33203125" customWidth="1"/>
    <col min="8964" max="8965" width="31" customWidth="1"/>
    <col min="8966" max="8969" width="25.109375" customWidth="1"/>
    <col min="9216" max="9216" width="10.109375" customWidth="1"/>
    <col min="9217" max="9217" width="12" customWidth="1"/>
    <col min="9218" max="9218" width="17.88671875" customWidth="1"/>
    <col min="9219" max="9219" width="17.33203125" customWidth="1"/>
    <col min="9220" max="9221" width="31" customWidth="1"/>
    <col min="9222" max="9225" width="25.109375" customWidth="1"/>
    <col min="9472" max="9472" width="10.109375" customWidth="1"/>
    <col min="9473" max="9473" width="12" customWidth="1"/>
    <col min="9474" max="9474" width="17.88671875" customWidth="1"/>
    <col min="9475" max="9475" width="17.33203125" customWidth="1"/>
    <col min="9476" max="9477" width="31" customWidth="1"/>
    <col min="9478" max="9481" width="25.109375" customWidth="1"/>
    <col min="9728" max="9728" width="10.109375" customWidth="1"/>
    <col min="9729" max="9729" width="12" customWidth="1"/>
    <col min="9730" max="9730" width="17.88671875" customWidth="1"/>
    <col min="9731" max="9731" width="17.33203125" customWidth="1"/>
    <col min="9732" max="9733" width="31" customWidth="1"/>
    <col min="9734" max="9737" width="25.109375" customWidth="1"/>
    <col min="9984" max="9984" width="10.109375" customWidth="1"/>
    <col min="9985" max="9985" width="12" customWidth="1"/>
    <col min="9986" max="9986" width="17.88671875" customWidth="1"/>
    <col min="9987" max="9987" width="17.33203125" customWidth="1"/>
    <col min="9988" max="9989" width="31" customWidth="1"/>
    <col min="9990" max="9993" width="25.109375" customWidth="1"/>
    <col min="10240" max="10240" width="10.109375" customWidth="1"/>
    <col min="10241" max="10241" width="12" customWidth="1"/>
    <col min="10242" max="10242" width="17.88671875" customWidth="1"/>
    <col min="10243" max="10243" width="17.33203125" customWidth="1"/>
    <col min="10244" max="10245" width="31" customWidth="1"/>
    <col min="10246" max="10249" width="25.109375" customWidth="1"/>
    <col min="10496" max="10496" width="10.109375" customWidth="1"/>
    <col min="10497" max="10497" width="12" customWidth="1"/>
    <col min="10498" max="10498" width="17.88671875" customWidth="1"/>
    <col min="10499" max="10499" width="17.33203125" customWidth="1"/>
    <col min="10500" max="10501" width="31" customWidth="1"/>
    <col min="10502" max="10505" width="25.109375" customWidth="1"/>
    <col min="10752" max="10752" width="10.109375" customWidth="1"/>
    <col min="10753" max="10753" width="12" customWidth="1"/>
    <col min="10754" max="10754" width="17.88671875" customWidth="1"/>
    <col min="10755" max="10755" width="17.33203125" customWidth="1"/>
    <col min="10756" max="10757" width="31" customWidth="1"/>
    <col min="10758" max="10761" width="25.109375" customWidth="1"/>
    <col min="11008" max="11008" width="10.109375" customWidth="1"/>
    <col min="11009" max="11009" width="12" customWidth="1"/>
    <col min="11010" max="11010" width="17.88671875" customWidth="1"/>
    <col min="11011" max="11011" width="17.33203125" customWidth="1"/>
    <col min="11012" max="11013" width="31" customWidth="1"/>
    <col min="11014" max="11017" width="25.109375" customWidth="1"/>
    <col min="11264" max="11264" width="10.109375" customWidth="1"/>
    <col min="11265" max="11265" width="12" customWidth="1"/>
    <col min="11266" max="11266" width="17.88671875" customWidth="1"/>
    <col min="11267" max="11267" width="17.33203125" customWidth="1"/>
    <col min="11268" max="11269" width="31" customWidth="1"/>
    <col min="11270" max="11273" width="25.109375" customWidth="1"/>
    <col min="11520" max="11520" width="10.109375" customWidth="1"/>
    <col min="11521" max="11521" width="12" customWidth="1"/>
    <col min="11522" max="11522" width="17.88671875" customWidth="1"/>
    <col min="11523" max="11523" width="17.33203125" customWidth="1"/>
    <col min="11524" max="11525" width="31" customWidth="1"/>
    <col min="11526" max="11529" width="25.109375" customWidth="1"/>
    <col min="11776" max="11776" width="10.109375" customWidth="1"/>
    <col min="11777" max="11777" width="12" customWidth="1"/>
    <col min="11778" max="11778" width="17.88671875" customWidth="1"/>
    <col min="11779" max="11779" width="17.33203125" customWidth="1"/>
    <col min="11780" max="11781" width="31" customWidth="1"/>
    <col min="11782" max="11785" width="25.109375" customWidth="1"/>
    <col min="12032" max="12032" width="10.109375" customWidth="1"/>
    <col min="12033" max="12033" width="12" customWidth="1"/>
    <col min="12034" max="12034" width="17.88671875" customWidth="1"/>
    <col min="12035" max="12035" width="17.33203125" customWidth="1"/>
    <col min="12036" max="12037" width="31" customWidth="1"/>
    <col min="12038" max="12041" width="25.109375" customWidth="1"/>
    <col min="12288" max="12288" width="10.109375" customWidth="1"/>
    <col min="12289" max="12289" width="12" customWidth="1"/>
    <col min="12290" max="12290" width="17.88671875" customWidth="1"/>
    <col min="12291" max="12291" width="17.33203125" customWidth="1"/>
    <col min="12292" max="12293" width="31" customWidth="1"/>
    <col min="12294" max="12297" width="25.109375" customWidth="1"/>
    <col min="12544" max="12544" width="10.109375" customWidth="1"/>
    <col min="12545" max="12545" width="12" customWidth="1"/>
    <col min="12546" max="12546" width="17.88671875" customWidth="1"/>
    <col min="12547" max="12547" width="17.33203125" customWidth="1"/>
    <col min="12548" max="12549" width="31" customWidth="1"/>
    <col min="12550" max="12553" width="25.109375" customWidth="1"/>
    <col min="12800" max="12800" width="10.109375" customWidth="1"/>
    <col min="12801" max="12801" width="12" customWidth="1"/>
    <col min="12802" max="12802" width="17.88671875" customWidth="1"/>
    <col min="12803" max="12803" width="17.33203125" customWidth="1"/>
    <col min="12804" max="12805" width="31" customWidth="1"/>
    <col min="12806" max="12809" width="25.109375" customWidth="1"/>
    <col min="13056" max="13056" width="10.109375" customWidth="1"/>
    <col min="13057" max="13057" width="12" customWidth="1"/>
    <col min="13058" max="13058" width="17.88671875" customWidth="1"/>
    <col min="13059" max="13059" width="17.33203125" customWidth="1"/>
    <col min="13060" max="13061" width="31" customWidth="1"/>
    <col min="13062" max="13065" width="25.109375" customWidth="1"/>
    <col min="13312" max="13312" width="10.109375" customWidth="1"/>
    <col min="13313" max="13313" width="12" customWidth="1"/>
    <col min="13314" max="13314" width="17.88671875" customWidth="1"/>
    <col min="13315" max="13315" width="17.33203125" customWidth="1"/>
    <col min="13316" max="13317" width="31" customWidth="1"/>
    <col min="13318" max="13321" width="25.109375" customWidth="1"/>
    <col min="13568" max="13568" width="10.109375" customWidth="1"/>
    <col min="13569" max="13569" width="12" customWidth="1"/>
    <col min="13570" max="13570" width="17.88671875" customWidth="1"/>
    <col min="13571" max="13571" width="17.33203125" customWidth="1"/>
    <col min="13572" max="13573" width="31" customWidth="1"/>
    <col min="13574" max="13577" width="25.109375" customWidth="1"/>
    <col min="13824" max="13824" width="10.109375" customWidth="1"/>
    <col min="13825" max="13825" width="12" customWidth="1"/>
    <col min="13826" max="13826" width="17.88671875" customWidth="1"/>
    <col min="13827" max="13827" width="17.33203125" customWidth="1"/>
    <col min="13828" max="13829" width="31" customWidth="1"/>
    <col min="13830" max="13833" width="25.109375" customWidth="1"/>
    <col min="14080" max="14080" width="10.109375" customWidth="1"/>
    <col min="14081" max="14081" width="12" customWidth="1"/>
    <col min="14082" max="14082" width="17.88671875" customWidth="1"/>
    <col min="14083" max="14083" width="17.33203125" customWidth="1"/>
    <col min="14084" max="14085" width="31" customWidth="1"/>
    <col min="14086" max="14089" width="25.109375" customWidth="1"/>
    <col min="14336" max="14336" width="10.109375" customWidth="1"/>
    <col min="14337" max="14337" width="12" customWidth="1"/>
    <col min="14338" max="14338" width="17.88671875" customWidth="1"/>
    <col min="14339" max="14339" width="17.33203125" customWidth="1"/>
    <col min="14340" max="14341" width="31" customWidth="1"/>
    <col min="14342" max="14345" width="25.109375" customWidth="1"/>
    <col min="14592" max="14592" width="10.109375" customWidth="1"/>
    <col min="14593" max="14593" width="12" customWidth="1"/>
    <col min="14594" max="14594" width="17.88671875" customWidth="1"/>
    <col min="14595" max="14595" width="17.33203125" customWidth="1"/>
    <col min="14596" max="14597" width="31" customWidth="1"/>
    <col min="14598" max="14601" width="25.109375" customWidth="1"/>
    <col min="14848" max="14848" width="10.109375" customWidth="1"/>
    <col min="14849" max="14849" width="12" customWidth="1"/>
    <col min="14850" max="14850" width="17.88671875" customWidth="1"/>
    <col min="14851" max="14851" width="17.33203125" customWidth="1"/>
    <col min="14852" max="14853" width="31" customWidth="1"/>
    <col min="14854" max="14857" width="25.109375" customWidth="1"/>
    <col min="15104" max="15104" width="10.109375" customWidth="1"/>
    <col min="15105" max="15105" width="12" customWidth="1"/>
    <col min="15106" max="15106" width="17.88671875" customWidth="1"/>
    <col min="15107" max="15107" width="17.33203125" customWidth="1"/>
    <col min="15108" max="15109" width="31" customWidth="1"/>
    <col min="15110" max="15113" width="25.109375" customWidth="1"/>
    <col min="15360" max="15360" width="10.109375" customWidth="1"/>
    <col min="15361" max="15361" width="12" customWidth="1"/>
    <col min="15362" max="15362" width="17.88671875" customWidth="1"/>
    <col min="15363" max="15363" width="17.33203125" customWidth="1"/>
    <col min="15364" max="15365" width="31" customWidth="1"/>
    <col min="15366" max="15369" width="25.109375" customWidth="1"/>
    <col min="15616" max="15616" width="10.109375" customWidth="1"/>
    <col min="15617" max="15617" width="12" customWidth="1"/>
    <col min="15618" max="15618" width="17.88671875" customWidth="1"/>
    <col min="15619" max="15619" width="17.33203125" customWidth="1"/>
    <col min="15620" max="15621" width="31" customWidth="1"/>
    <col min="15622" max="15625" width="25.109375" customWidth="1"/>
    <col min="15872" max="15872" width="10.109375" customWidth="1"/>
    <col min="15873" max="15873" width="12" customWidth="1"/>
    <col min="15874" max="15874" width="17.88671875" customWidth="1"/>
    <col min="15875" max="15875" width="17.33203125" customWidth="1"/>
    <col min="15876" max="15877" width="31" customWidth="1"/>
    <col min="15878" max="15881" width="25.109375" customWidth="1"/>
    <col min="16128" max="16128" width="10.109375" customWidth="1"/>
    <col min="16129" max="16129" width="12" customWidth="1"/>
    <col min="16130" max="16130" width="17.88671875" customWidth="1"/>
    <col min="16131" max="16131" width="17.33203125" customWidth="1"/>
    <col min="16132" max="16133" width="31" customWidth="1"/>
    <col min="16134" max="16137" width="25.109375" customWidth="1"/>
  </cols>
  <sheetData>
    <row r="2" spans="2:12" ht="21" x14ac:dyDescent="0.5">
      <c r="B2" s="777" t="s">
        <v>409</v>
      </c>
    </row>
    <row r="5" spans="2:12" ht="15" thickBot="1" x14ac:dyDescent="0.35">
      <c r="B5" s="778" t="s">
        <v>204</v>
      </c>
      <c r="D5" s="1083"/>
      <c r="E5" s="1083"/>
      <c r="F5" s="1083"/>
      <c r="G5" s="1486"/>
      <c r="H5" s="1486"/>
      <c r="I5" s="1083"/>
      <c r="J5" s="1083"/>
      <c r="K5" s="1083"/>
      <c r="L5" s="1083"/>
    </row>
    <row r="6" spans="2:12" ht="14.4" x14ac:dyDescent="0.3">
      <c r="B6" s="1255"/>
      <c r="D6" s="1524" t="s">
        <v>1409</v>
      </c>
      <c r="E6" s="1518"/>
      <c r="F6" s="1518"/>
      <c r="G6" s="1497"/>
      <c r="H6" s="1497"/>
      <c r="I6" s="1518"/>
      <c r="J6" s="1518"/>
      <c r="K6" s="1519"/>
      <c r="L6" s="1083"/>
    </row>
    <row r="7" spans="2:12" ht="14.4" x14ac:dyDescent="0.3">
      <c r="B7" s="779"/>
      <c r="D7" s="1234"/>
      <c r="E7" s="1520"/>
      <c r="F7" s="1509"/>
      <c r="G7" s="1501"/>
      <c r="H7" s="1505" t="s">
        <v>1413</v>
      </c>
      <c r="I7" s="1509"/>
      <c r="J7" s="1509"/>
      <c r="K7" s="1510"/>
      <c r="L7" s="1083"/>
    </row>
    <row r="8" spans="2:12" x14ac:dyDescent="0.25">
      <c r="B8" s="779"/>
      <c r="D8" s="1234"/>
      <c r="E8" s="1509"/>
      <c r="F8" s="1509"/>
      <c r="G8" s="1509"/>
      <c r="H8" s="1484"/>
      <c r="I8" s="1509"/>
      <c r="J8" s="1509"/>
      <c r="K8" s="1510"/>
      <c r="L8" s="1083"/>
    </row>
    <row r="9" spans="2:12" x14ac:dyDescent="0.25">
      <c r="B9" s="779"/>
      <c r="D9" s="1234"/>
      <c r="E9" s="1535" t="s">
        <v>1375</v>
      </c>
      <c r="F9" s="1534">
        <v>220889</v>
      </c>
      <c r="G9" s="1509"/>
      <c r="H9" s="1212" t="s">
        <v>1378</v>
      </c>
      <c r="I9" s="1097">
        <f>+F10/ProcessFlow!F11</f>
        <v>9.6971406981268338</v>
      </c>
      <c r="J9" s="1509"/>
      <c r="K9" s="1510"/>
      <c r="L9" s="1083"/>
    </row>
    <row r="10" spans="2:12" x14ac:dyDescent="0.25">
      <c r="B10" s="779"/>
      <c r="D10" s="1234"/>
      <c r="E10" s="1536" t="s">
        <v>1376</v>
      </c>
      <c r="F10" s="1093">
        <f>+F9*G19/G20</f>
        <v>250079.5614639929</v>
      </c>
      <c r="G10" s="1509"/>
      <c r="H10" s="1212" t="s">
        <v>1379</v>
      </c>
      <c r="I10" s="1530">
        <f>+F12/F11</f>
        <v>17.703090464926905</v>
      </c>
      <c r="J10" s="1509"/>
      <c r="K10" s="1510"/>
      <c r="L10" s="1083"/>
    </row>
    <row r="11" spans="2:12" x14ac:dyDescent="0.25">
      <c r="B11" s="779"/>
      <c r="D11" s="1234"/>
      <c r="E11" s="1536" t="s">
        <v>1371</v>
      </c>
      <c r="F11" s="1533">
        <v>25789</v>
      </c>
      <c r="G11" s="1509"/>
      <c r="H11" s="1212" t="s">
        <v>1377</v>
      </c>
      <c r="I11" s="1097">
        <f>+F13/F11</f>
        <v>0.2148202722090814</v>
      </c>
      <c r="J11" s="1509"/>
      <c r="K11" s="1510"/>
      <c r="L11" s="1083"/>
    </row>
    <row r="12" spans="2:12" x14ac:dyDescent="0.25">
      <c r="B12" s="779"/>
      <c r="D12" s="1234"/>
      <c r="E12" s="1536" t="s">
        <v>1372</v>
      </c>
      <c r="F12" s="1533">
        <v>456545</v>
      </c>
      <c r="G12" s="1509"/>
      <c r="H12" s="1212" t="s">
        <v>1380</v>
      </c>
      <c r="I12" s="1097">
        <f>+F14/F11</f>
        <v>0</v>
      </c>
      <c r="J12" s="1509"/>
      <c r="K12" s="1510"/>
      <c r="L12" s="1083"/>
    </row>
    <row r="13" spans="2:12" x14ac:dyDescent="0.25">
      <c r="B13" s="779"/>
      <c r="D13" s="1234"/>
      <c r="E13" s="1536" t="s">
        <v>1373</v>
      </c>
      <c r="F13" s="1533">
        <v>5540</v>
      </c>
      <c r="G13" s="1509"/>
      <c r="H13" s="1211" t="s">
        <v>1410</v>
      </c>
      <c r="I13" s="1512">
        <f>+F15/F11</f>
        <v>1.3622086936290667</v>
      </c>
      <c r="J13" s="1509"/>
      <c r="K13" s="1510"/>
      <c r="L13" s="1083"/>
    </row>
    <row r="14" spans="2:12" x14ac:dyDescent="0.25">
      <c r="B14" s="779"/>
      <c r="D14" s="1234"/>
      <c r="E14" s="1537" t="s">
        <v>1412</v>
      </c>
      <c r="F14" s="1093">
        <v>0</v>
      </c>
      <c r="G14" s="1509"/>
      <c r="H14" s="1211" t="s">
        <v>1408</v>
      </c>
      <c r="I14" s="1512">
        <f>+F52</f>
        <v>10.060103144751638</v>
      </c>
      <c r="J14" s="1509"/>
      <c r="K14" s="1510"/>
      <c r="L14" s="1083"/>
    </row>
    <row r="15" spans="2:12" x14ac:dyDescent="0.25">
      <c r="B15" s="779"/>
      <c r="D15" s="1234"/>
      <c r="E15" s="1538" t="s">
        <v>1411</v>
      </c>
      <c r="F15" s="1534">
        <v>35130</v>
      </c>
      <c r="G15" s="1509"/>
      <c r="H15" s="1509"/>
      <c r="I15" s="1509"/>
      <c r="J15" s="1509"/>
      <c r="K15" s="1510"/>
      <c r="L15" s="1083"/>
    </row>
    <row r="16" spans="2:12" x14ac:dyDescent="0.25">
      <c r="B16" s="779"/>
      <c r="D16" s="1234"/>
      <c r="E16" s="1537" t="s">
        <v>1402</v>
      </c>
      <c r="F16" s="1105">
        <f>+F48</f>
        <v>313813.91087324219</v>
      </c>
      <c r="G16" s="1509"/>
      <c r="H16" s="1509"/>
      <c r="I16" s="1509"/>
      <c r="J16" s="1509"/>
      <c r="K16" s="1510"/>
      <c r="L16" s="1083"/>
    </row>
    <row r="17" spans="2:12" x14ac:dyDescent="0.25">
      <c r="B17" s="779"/>
      <c r="D17" s="1234"/>
      <c r="E17" s="1509"/>
      <c r="F17" s="1509"/>
      <c r="G17" s="1509"/>
      <c r="H17" s="1509"/>
      <c r="I17" s="1509"/>
      <c r="J17" s="1509"/>
      <c r="K17" s="1510"/>
      <c r="L17" s="1083"/>
    </row>
    <row r="18" spans="2:12" x14ac:dyDescent="0.25">
      <c r="B18" s="779"/>
      <c r="D18" s="1234"/>
      <c r="E18" s="1520" t="s">
        <v>1414</v>
      </c>
      <c r="F18" s="1509"/>
      <c r="G18" s="1509"/>
      <c r="H18" s="1509"/>
      <c r="I18" s="1509"/>
      <c r="J18" s="1509"/>
      <c r="K18" s="1510"/>
      <c r="L18" s="1083"/>
    </row>
    <row r="19" spans="2:12" ht="14.4" x14ac:dyDescent="0.3">
      <c r="B19" s="779"/>
      <c r="D19" s="1234"/>
      <c r="E19" s="1503" t="s">
        <v>1370</v>
      </c>
      <c r="F19" s="1503" t="s">
        <v>1369</v>
      </c>
      <c r="G19" s="1511">
        <v>11666</v>
      </c>
      <c r="H19" s="1503" t="s">
        <v>1374</v>
      </c>
      <c r="I19" s="1509"/>
      <c r="J19" s="1509"/>
      <c r="K19" s="1510"/>
      <c r="L19" s="1083"/>
    </row>
    <row r="20" spans="2:12" ht="14.4" x14ac:dyDescent="0.3">
      <c r="B20" s="779"/>
      <c r="D20" s="1234"/>
      <c r="E20" s="1503" t="str">
        <f>'HyARC Physical Property Data'!A79</f>
        <v>Electric Utility Steam Coal</v>
      </c>
      <c r="F20" s="1503" t="s">
        <v>1369</v>
      </c>
      <c r="G20" s="1511">
        <f>+'HyARC Physical Property Data'!$H$42</f>
        <v>10304.285</v>
      </c>
      <c r="H20" s="1503" t="s">
        <v>1374</v>
      </c>
      <c r="I20" s="1509"/>
      <c r="J20" s="1509"/>
      <c r="K20" s="1510"/>
      <c r="L20" s="1083"/>
    </row>
    <row r="21" spans="2:12" x14ac:dyDescent="0.25">
      <c r="B21" s="779"/>
      <c r="D21" s="1234"/>
      <c r="E21" s="1509"/>
      <c r="F21" s="1509"/>
      <c r="G21" s="1509"/>
      <c r="H21" s="1509"/>
      <c r="I21" s="1509"/>
      <c r="J21" s="1509"/>
      <c r="K21" s="1510"/>
      <c r="L21" s="1083"/>
    </row>
    <row r="22" spans="2:12" ht="13.8" thickBot="1" x14ac:dyDescent="0.3">
      <c r="B22" s="779"/>
      <c r="D22" s="1521"/>
      <c r="E22" s="1522"/>
      <c r="F22" s="1522"/>
      <c r="G22" s="1522"/>
      <c r="H22" s="1522"/>
      <c r="I22" s="1522"/>
      <c r="J22" s="1522"/>
      <c r="K22" s="1523"/>
      <c r="L22" s="1083"/>
    </row>
    <row r="23" spans="2:12" ht="13.8" thickBot="1" x14ac:dyDescent="0.3">
      <c r="B23" s="779"/>
      <c r="D23" s="1083"/>
      <c r="E23" s="1083"/>
      <c r="F23" s="1083"/>
      <c r="G23" s="1083"/>
      <c r="H23" s="1083"/>
      <c r="I23" s="1083"/>
      <c r="J23" s="1083"/>
      <c r="K23" s="1083"/>
      <c r="L23" s="1083"/>
    </row>
    <row r="24" spans="2:12" ht="14.4" x14ac:dyDescent="0.3">
      <c r="B24" s="779"/>
      <c r="D24" s="1496" t="s">
        <v>1422</v>
      </c>
      <c r="E24" s="1497"/>
      <c r="F24" s="1498"/>
      <c r="G24" s="1497"/>
      <c r="H24" s="1497"/>
      <c r="I24" s="1497"/>
      <c r="J24" s="1497"/>
      <c r="K24" s="1499"/>
      <c r="L24" s="1083"/>
    </row>
    <row r="25" spans="2:12" ht="28.8" x14ac:dyDescent="0.3">
      <c r="B25" s="779"/>
      <c r="D25" s="1500"/>
      <c r="E25" s="1513" t="s">
        <v>1401</v>
      </c>
      <c r="F25" s="1513">
        <v>11</v>
      </c>
      <c r="G25" s="1513">
        <v>12</v>
      </c>
      <c r="H25" s="1513"/>
      <c r="I25" s="1515">
        <v>11</v>
      </c>
      <c r="J25" s="1515">
        <v>12</v>
      </c>
      <c r="K25" s="1525" t="s">
        <v>1406</v>
      </c>
      <c r="L25" s="1083"/>
    </row>
    <row r="26" spans="2:12" ht="28.8" x14ac:dyDescent="0.3">
      <c r="B26" s="779"/>
      <c r="D26" s="1500"/>
      <c r="E26" s="1513"/>
      <c r="F26" s="1515" t="s">
        <v>1405</v>
      </c>
      <c r="G26" s="1515" t="s">
        <v>1405</v>
      </c>
      <c r="H26" s="1515" t="s">
        <v>1407</v>
      </c>
      <c r="I26" s="1515" t="s">
        <v>1391</v>
      </c>
      <c r="J26" s="1515" t="s">
        <v>1391</v>
      </c>
      <c r="K26" s="1525" t="s">
        <v>1391</v>
      </c>
      <c r="L26" s="1083"/>
    </row>
    <row r="27" spans="2:12" ht="14.4" x14ac:dyDescent="0.3">
      <c r="B27" s="779"/>
      <c r="D27" s="1500"/>
      <c r="E27" s="1513" t="s">
        <v>1381</v>
      </c>
      <c r="F27" s="1491">
        <v>5.1999999999999998E-3</v>
      </c>
      <c r="G27" s="1491">
        <v>7.0000000000000001E-3</v>
      </c>
      <c r="H27" s="1490">
        <f>+J49</f>
        <v>39.948</v>
      </c>
      <c r="I27" s="1489">
        <f>+F27*H27*F42/SUMPRODUCT(F27:F39,H27:H39)</f>
        <v>7863.8276568373822</v>
      </c>
      <c r="J27" s="1489">
        <f>+G27*H27*G42/SUMPRODUCT(G27:G39,H27:H39)</f>
        <v>7862.9457972803439</v>
      </c>
      <c r="K27" s="1526">
        <f t="shared" ref="K27:K40" si="0">+I27-J27</f>
        <v>0.88185955703829677</v>
      </c>
      <c r="L27" s="1083"/>
    </row>
    <row r="28" spans="2:12" ht="14.4" x14ac:dyDescent="0.3">
      <c r="B28" s="779"/>
      <c r="D28" s="1500"/>
      <c r="E28" s="1513" t="s">
        <v>404</v>
      </c>
      <c r="F28" s="1491">
        <v>6.9999999999999999E-4</v>
      </c>
      <c r="G28" s="1491">
        <v>1E-3</v>
      </c>
      <c r="H28" s="1490">
        <f>+J44+4*J48</f>
        <v>16.042459999999998</v>
      </c>
      <c r="I28" s="1489">
        <f>+F28*H28*F42/SUMPRODUCT(F27:F39,H27:H39)</f>
        <v>425.11321661523061</v>
      </c>
      <c r="J28" s="1489">
        <f>+G28*H28*G42/SUMPRODUCT(G27:G39,H27:H39)</f>
        <v>451.08996493669633</v>
      </c>
      <c r="K28" s="1526">
        <f t="shared" si="0"/>
        <v>-25.97674832146572</v>
      </c>
      <c r="L28" s="1083"/>
    </row>
    <row r="29" spans="2:12" ht="14.4" x14ac:dyDescent="0.3">
      <c r="B29" s="779"/>
      <c r="D29" s="1500"/>
      <c r="E29" s="1513" t="s">
        <v>1416</v>
      </c>
      <c r="F29" s="1491">
        <v>5.8999999999999999E-3</v>
      </c>
      <c r="G29" s="1491">
        <v>8.0000000000000002E-3</v>
      </c>
      <c r="H29" s="1490">
        <f>+J44+J45</f>
        <v>28.009700000000002</v>
      </c>
      <c r="I29" s="1489">
        <f>+F29*H29*F42/SUMPRODUCT(F27:F39,H27:H39)</f>
        <v>6255.9903632719488</v>
      </c>
      <c r="J29" s="1489">
        <f>+G29*H29*G42/SUMPRODUCT(G27:G39,H27:H39)</f>
        <v>6300.7267418525016</v>
      </c>
      <c r="K29" s="1526">
        <f t="shared" si="0"/>
        <v>-44.73637858055281</v>
      </c>
      <c r="L29" s="1083"/>
    </row>
    <row r="30" spans="2:12" ht="14.4" x14ac:dyDescent="0.3">
      <c r="B30" s="779"/>
      <c r="D30" s="1500"/>
      <c r="E30" s="1513" t="s">
        <v>403</v>
      </c>
      <c r="F30" s="1491">
        <v>0.29699999999999999</v>
      </c>
      <c r="G30" s="1491">
        <v>0.39989999999999998</v>
      </c>
      <c r="H30" s="1490">
        <f>+J44+2*J45</f>
        <v>44.008700000000005</v>
      </c>
      <c r="I30" s="1489">
        <f>+F30*H30*F42/SUMPRODUCT(F27:F39,H27:H39)</f>
        <v>494801.02577501442</v>
      </c>
      <c r="J30" s="1489">
        <f>+G30*H30*G42/SUMPRODUCT(G27:G39,H27:H39)</f>
        <v>494859.7651276578</v>
      </c>
      <c r="K30" s="1526">
        <f t="shared" si="0"/>
        <v>-58.739352643373422</v>
      </c>
      <c r="L30" s="1083"/>
    </row>
    <row r="31" spans="2:12" ht="14.4" x14ac:dyDescent="0.3">
      <c r="B31" s="779"/>
      <c r="D31" s="1500"/>
      <c r="E31" s="1513" t="s">
        <v>1400</v>
      </c>
      <c r="F31" s="1491">
        <v>0</v>
      </c>
      <c r="G31" s="1491">
        <v>0</v>
      </c>
      <c r="H31" s="1490">
        <f>+J44+J45+J46</f>
        <v>60.0747</v>
      </c>
      <c r="I31" s="1489">
        <f>+F31*H31*F42/SUMPRODUCT(F27:F39,H27:H39)</f>
        <v>0</v>
      </c>
      <c r="J31" s="1489">
        <f>+G31*H31*G42/SUMPRODUCT(G27:G39,H27:H39)</f>
        <v>0</v>
      </c>
      <c r="K31" s="1526">
        <f t="shared" si="0"/>
        <v>0</v>
      </c>
      <c r="L31" s="1083"/>
    </row>
    <row r="32" spans="2:12" ht="14.4" x14ac:dyDescent="0.3">
      <c r="B32" s="779"/>
      <c r="D32" s="1500"/>
      <c r="E32" s="1513" t="s">
        <v>1399</v>
      </c>
      <c r="F32" s="1491">
        <v>0.42209999999999998</v>
      </c>
      <c r="G32" s="1491">
        <v>0.56840000000000002</v>
      </c>
      <c r="H32" s="1490">
        <f>2*J48</f>
        <v>2.0158800000000001</v>
      </c>
      <c r="I32" s="1489">
        <f>+F32*H32*F42/SUMPRODUCT(F27:F39,H27:H39)</f>
        <v>32211.847207941773</v>
      </c>
      <c r="J32" s="1489">
        <f>+G32*H32*G42/SUMPRODUCT(G27:G39,H27:H39)</f>
        <v>32218.917595732102</v>
      </c>
      <c r="K32" s="1526">
        <f t="shared" si="0"/>
        <v>-7.070387790328823</v>
      </c>
      <c r="L32" s="1083"/>
    </row>
    <row r="33" spans="2:12" ht="14.4" x14ac:dyDescent="0.3">
      <c r="B33" s="779"/>
      <c r="D33" s="1500"/>
      <c r="E33" s="1513" t="s">
        <v>1398</v>
      </c>
      <c r="F33" s="1491">
        <v>0.25800000000000001</v>
      </c>
      <c r="G33" s="1491">
        <v>1.1999999999999999E-3</v>
      </c>
      <c r="H33" s="1490">
        <f>2*J48+J45</f>
        <v>18.014880000000002</v>
      </c>
      <c r="I33" s="1489">
        <f>+F33*H33*F42/SUMPRODUCT(F27:F39,H27:H39)</f>
        <v>175948.95088268846</v>
      </c>
      <c r="J33" s="1489">
        <f>+G33*H33*G42/SUMPRODUCT(G27:G39,H27:H39)</f>
        <v>607.86175593060864</v>
      </c>
      <c r="K33" s="1526">
        <f t="shared" si="0"/>
        <v>175341.08912675784</v>
      </c>
      <c r="L33" s="1083"/>
    </row>
    <row r="34" spans="2:12" ht="14.4" x14ac:dyDescent="0.3">
      <c r="B34" s="779"/>
      <c r="D34" s="1500"/>
      <c r="E34" s="1513" t="s">
        <v>1397</v>
      </c>
      <c r="F34" s="1491">
        <v>4.5999999999999999E-3</v>
      </c>
      <c r="G34" s="1491">
        <v>6.1000000000000004E-3</v>
      </c>
      <c r="H34" s="1490">
        <f>2*J48+J46</f>
        <v>34.080880000000001</v>
      </c>
      <c r="I34" s="1489">
        <f>+F34*H34*F42/SUMPRODUCT(F27:F39,H27:H39)</f>
        <v>5934.7746632229482</v>
      </c>
      <c r="J34" s="1489">
        <f>+G34*H34*G42/SUMPRODUCT(G27:G39,H27:H39)</f>
        <v>5845.6503604616573</v>
      </c>
      <c r="K34" s="1526">
        <f t="shared" si="0"/>
        <v>89.124302761290892</v>
      </c>
      <c r="L34" s="1083"/>
    </row>
    <row r="35" spans="2:12" ht="14.4" x14ac:dyDescent="0.3">
      <c r="B35" s="779"/>
      <c r="D35" s="1500"/>
      <c r="E35" s="1513" t="s">
        <v>1396</v>
      </c>
      <c r="F35" s="1491">
        <v>4.3E-3</v>
      </c>
      <c r="G35" s="1491">
        <v>5.7000000000000002E-3</v>
      </c>
      <c r="H35" s="1490">
        <f>+J47*2</f>
        <v>28.013400000000001</v>
      </c>
      <c r="I35" s="1489">
        <f>+F35*H35*F42/SUMPRODUCT(F27:F39,H27:H39)</f>
        <v>4560.0528939198266</v>
      </c>
      <c r="J35" s="1489">
        <f>+G35*H35*G42/SUMPRODUCT(G27:G39,H27:H39)</f>
        <v>4489.8608228051444</v>
      </c>
      <c r="K35" s="1526">
        <f t="shared" si="0"/>
        <v>70.192071114682221</v>
      </c>
      <c r="L35" s="1083"/>
    </row>
    <row r="36" spans="2:12" ht="14.4" x14ac:dyDescent="0.3">
      <c r="B36" s="779"/>
      <c r="D36" s="1500"/>
      <c r="E36" s="1513" t="s">
        <v>1395</v>
      </c>
      <c r="F36" s="1491">
        <v>2E-3</v>
      </c>
      <c r="G36" s="1491">
        <v>2.5000000000000001E-3</v>
      </c>
      <c r="H36" s="1490">
        <f>+J47+3*J48</f>
        <v>17.030519999999999</v>
      </c>
      <c r="I36" s="1489">
        <f>+F36*H36*F42/SUMPRODUCT(F27:F39,H27:H39)</f>
        <v>1289.4173404880401</v>
      </c>
      <c r="J36" s="1489">
        <f>+G36*H36*G42/SUMPRODUCT(G27:G39,H27:H39)</f>
        <v>1197.1818333431572</v>
      </c>
      <c r="K36" s="1526">
        <f t="shared" si="0"/>
        <v>92.235507144882831</v>
      </c>
      <c r="L36" s="1083"/>
    </row>
    <row r="37" spans="2:12" ht="14.4" x14ac:dyDescent="0.3">
      <c r="B37" s="780" t="s">
        <v>205</v>
      </c>
      <c r="D37" s="1500"/>
      <c r="E37" s="1513" t="s">
        <v>1394</v>
      </c>
      <c r="F37" s="1491">
        <v>0</v>
      </c>
      <c r="G37" s="1491">
        <v>0</v>
      </c>
      <c r="H37" s="1490">
        <f>+J45*2</f>
        <v>31.998000000000001</v>
      </c>
      <c r="I37" s="1489">
        <f>+F37*H37*F42/SUMPRODUCT(F27:F39,H27:H39)</f>
        <v>0</v>
      </c>
      <c r="J37" s="1489">
        <f>+G37*H37*G42/SUMPRODUCT(G27:G39,H27:H39)</f>
        <v>0</v>
      </c>
      <c r="K37" s="1526">
        <f t="shared" si="0"/>
        <v>0</v>
      </c>
      <c r="L37" s="1083"/>
    </row>
    <row r="38" spans="2:12" ht="14.4" x14ac:dyDescent="0.3">
      <c r="B38" s="1255"/>
      <c r="D38" s="1500"/>
      <c r="E38" s="1513" t="s">
        <v>1393</v>
      </c>
      <c r="F38" s="1491">
        <v>0</v>
      </c>
      <c r="G38" s="1491">
        <v>0</v>
      </c>
      <c r="H38" s="1490">
        <f>+J46+2*J45</f>
        <v>64.063000000000002</v>
      </c>
      <c r="I38" s="1489">
        <f>+F38*H38*F42/SUMPRODUCT(F27:F39,H27:H39)</f>
        <v>0</v>
      </c>
      <c r="J38" s="1489">
        <f>+G38*H38*G42/SUMPRODUCT(G27:G39,H27:H39)</f>
        <v>0</v>
      </c>
      <c r="K38" s="1526">
        <f t="shared" si="0"/>
        <v>0</v>
      </c>
      <c r="L38" s="1083"/>
    </row>
    <row r="39" spans="2:12" ht="14.4" x14ac:dyDescent="0.3">
      <c r="B39" s="209"/>
      <c r="D39" s="1500"/>
      <c r="E39" s="1513" t="s">
        <v>1392</v>
      </c>
      <c r="F39" s="1491">
        <v>0</v>
      </c>
      <c r="G39" s="1491">
        <v>0</v>
      </c>
      <c r="H39" s="1490">
        <f>8*J46</f>
        <v>256.52</v>
      </c>
      <c r="I39" s="1489">
        <f>+F39*H39*F42/SUMPRODUCT(F27:F39,H27:H39)</f>
        <v>0</v>
      </c>
      <c r="J39" s="1489">
        <f>+G39*H39*G42/SUMPRODUCT(G27:G39,H27:H39)</f>
        <v>0</v>
      </c>
      <c r="K39" s="1526">
        <f t="shared" si="0"/>
        <v>0</v>
      </c>
      <c r="L39" s="1083"/>
    </row>
    <row r="40" spans="2:12" ht="14.4" x14ac:dyDescent="0.3">
      <c r="B40" s="779"/>
      <c r="D40" s="1500"/>
      <c r="E40" s="1501" t="s">
        <v>58</v>
      </c>
      <c r="F40" s="1506">
        <f>+SUM(F27:F39)</f>
        <v>0.99979999999999991</v>
      </c>
      <c r="G40" s="1506">
        <f>+SUM(G27:G39)</f>
        <v>0.99979999999999991</v>
      </c>
      <c r="H40" s="1506"/>
      <c r="I40" s="1504">
        <f>+SUM(I27:I39)</f>
        <v>729291.00000000012</v>
      </c>
      <c r="J40" s="1504">
        <f>+SUM(J27:J39)</f>
        <v>553833.99999999988</v>
      </c>
      <c r="K40" s="1527">
        <f t="shared" si="0"/>
        <v>175457.00000000023</v>
      </c>
      <c r="L40" s="1083"/>
    </row>
    <row r="41" spans="2:12" ht="14.4" x14ac:dyDescent="0.3">
      <c r="D41" s="1500"/>
      <c r="E41" s="1501"/>
      <c r="F41" s="1501"/>
      <c r="G41" s="1501"/>
      <c r="H41" s="1501"/>
      <c r="I41" s="1501"/>
      <c r="J41" s="1501"/>
      <c r="K41" s="1502"/>
      <c r="L41" s="1083"/>
    </row>
    <row r="42" spans="2:12" ht="14.4" x14ac:dyDescent="0.3">
      <c r="D42" s="1500"/>
      <c r="E42" s="1513" t="s">
        <v>1391</v>
      </c>
      <c r="F42" s="1488">
        <v>729291</v>
      </c>
      <c r="G42" s="1488">
        <v>553834</v>
      </c>
      <c r="H42" s="1501"/>
      <c r="I42" s="1520" t="s">
        <v>1415</v>
      </c>
      <c r="J42" s="1509"/>
      <c r="K42" s="1502"/>
      <c r="L42" s="1083"/>
    </row>
    <row r="43" spans="2:12" ht="14.4" x14ac:dyDescent="0.3">
      <c r="D43" s="1500"/>
      <c r="E43" s="1501"/>
      <c r="F43" s="1501"/>
      <c r="G43" s="1501"/>
      <c r="H43" s="1501"/>
      <c r="I43" s="1487" t="s">
        <v>1403</v>
      </c>
      <c r="J43" s="1503" t="s">
        <v>1404</v>
      </c>
      <c r="K43" s="1502"/>
      <c r="L43" s="1083"/>
    </row>
    <row r="44" spans="2:12" ht="14.4" x14ac:dyDescent="0.3">
      <c r="D44" s="1500"/>
      <c r="E44" s="1505" t="s">
        <v>1390</v>
      </c>
      <c r="F44" s="1501"/>
      <c r="G44" s="1501"/>
      <c r="H44" s="1501"/>
      <c r="I44" s="1487" t="s">
        <v>1388</v>
      </c>
      <c r="J44" s="1503">
        <v>12.0107</v>
      </c>
      <c r="K44" s="1502"/>
      <c r="L44" s="1083"/>
    </row>
    <row r="45" spans="2:12" ht="14.4" x14ac:dyDescent="0.3">
      <c r="D45" s="1500"/>
      <c r="E45" s="1514" t="s">
        <v>1389</v>
      </c>
      <c r="F45" s="1495">
        <v>90741</v>
      </c>
      <c r="G45" s="1501"/>
      <c r="H45" s="1501"/>
      <c r="I45" s="1487" t="s">
        <v>1387</v>
      </c>
      <c r="J45" s="1503">
        <v>15.999000000000001</v>
      </c>
      <c r="K45" s="1502"/>
      <c r="L45" s="1083"/>
    </row>
    <row r="46" spans="2:12" ht="14.4" x14ac:dyDescent="0.3">
      <c r="D46" s="1500"/>
      <c r="E46" s="1568" t="s">
        <v>1436</v>
      </c>
      <c r="F46" s="1495">
        <v>398414</v>
      </c>
      <c r="G46" s="1501"/>
      <c r="H46" s="1501"/>
      <c r="I46" s="1487" t="s">
        <v>1385</v>
      </c>
      <c r="J46" s="1503">
        <v>32.064999999999998</v>
      </c>
      <c r="K46" s="1502"/>
      <c r="L46" s="1083"/>
    </row>
    <row r="47" spans="2:12" ht="15" thickBot="1" x14ac:dyDescent="0.35">
      <c r="D47" s="1500"/>
      <c r="E47" s="1517" t="s">
        <v>1386</v>
      </c>
      <c r="F47" s="1492">
        <f>-K33</f>
        <v>-175341.08912675784</v>
      </c>
      <c r="G47" s="1501"/>
      <c r="H47" s="1501"/>
      <c r="I47" s="1487" t="s">
        <v>1383</v>
      </c>
      <c r="J47" s="1503">
        <v>14.0067</v>
      </c>
      <c r="K47" s="1502"/>
      <c r="L47" s="1083"/>
    </row>
    <row r="48" spans="2:12" ht="15" thickTop="1" x14ac:dyDescent="0.3">
      <c r="D48" s="1500"/>
      <c r="E48" s="1516" t="s">
        <v>1384</v>
      </c>
      <c r="F48" s="1493">
        <f>+SUM(F45:F47)</f>
        <v>313813.91087324219</v>
      </c>
      <c r="G48" s="1501"/>
      <c r="H48" s="1501"/>
      <c r="I48" s="1487" t="s">
        <v>1382</v>
      </c>
      <c r="J48" s="1503">
        <v>1.0079400000000001</v>
      </c>
      <c r="K48" s="1502"/>
      <c r="L48" s="1083"/>
    </row>
    <row r="49" spans="4:12" ht="15" thickBot="1" x14ac:dyDescent="0.35">
      <c r="D49" s="1500"/>
      <c r="E49" s="1501"/>
      <c r="F49" s="1501"/>
      <c r="G49" s="1501"/>
      <c r="H49" s="1507"/>
      <c r="I49" s="1528" t="s">
        <v>1381</v>
      </c>
      <c r="J49" s="1529">
        <v>39.948</v>
      </c>
      <c r="K49" s="1508"/>
      <c r="L49" s="1083"/>
    </row>
    <row r="50" spans="4:12" ht="14.4" x14ac:dyDescent="0.3">
      <c r="D50" s="1555"/>
      <c r="E50" s="1556"/>
      <c r="F50" s="1557"/>
      <c r="G50" s="1558"/>
      <c r="H50" s="1486"/>
      <c r="I50" s="1486"/>
      <c r="J50" s="1486"/>
      <c r="K50" s="1486"/>
      <c r="L50" s="1083"/>
    </row>
    <row r="51" spans="4:12" ht="14.4" x14ac:dyDescent="0.3">
      <c r="D51" s="1559"/>
      <c r="E51" s="1514" t="s">
        <v>1430</v>
      </c>
      <c r="F51" s="1495">
        <v>4324</v>
      </c>
      <c r="G51" s="1514" t="s">
        <v>1431</v>
      </c>
      <c r="H51" s="1486"/>
      <c r="I51" s="1486"/>
      <c r="J51" s="1486"/>
      <c r="K51" s="1486"/>
      <c r="L51" s="1083"/>
    </row>
    <row r="52" spans="4:12" ht="14.4" x14ac:dyDescent="0.3">
      <c r="D52" s="1559"/>
      <c r="E52" s="1514" t="s">
        <v>1430</v>
      </c>
      <c r="F52" s="1563">
        <f>+F51*60/F11</f>
        <v>10.060103144751638</v>
      </c>
      <c r="G52" s="1514" t="s">
        <v>1432</v>
      </c>
      <c r="H52" s="1486"/>
      <c r="I52" s="1486"/>
      <c r="J52" s="1486"/>
      <c r="K52" s="1486"/>
      <c r="L52" s="1083"/>
    </row>
    <row r="53" spans="4:12" ht="14.4" x14ac:dyDescent="0.3">
      <c r="D53" s="1560"/>
      <c r="E53" s="1561"/>
      <c r="F53" s="1561"/>
      <c r="G53" s="1562"/>
      <c r="H53" s="1486"/>
      <c r="I53" s="1486"/>
      <c r="J53" s="1486"/>
      <c r="K53" s="1486"/>
      <c r="L53" s="1083"/>
    </row>
    <row r="54" spans="4:12" ht="14.4" x14ac:dyDescent="0.3">
      <c r="D54" s="1486"/>
      <c r="E54" s="1486"/>
      <c r="F54" s="1486"/>
      <c r="G54" s="1486"/>
      <c r="H54" s="1486"/>
      <c r="I54" s="1486"/>
      <c r="J54" s="1486"/>
      <c r="K54" s="1486"/>
      <c r="L54" s="1083"/>
    </row>
    <row r="55" spans="4:12" ht="14.4" x14ac:dyDescent="0.3">
      <c r="D55" s="1486"/>
      <c r="E55" s="1494" t="s">
        <v>1419</v>
      </c>
      <c r="F55" s="1486"/>
      <c r="G55" s="1486"/>
      <c r="H55" s="1486"/>
      <c r="I55" s="1486"/>
      <c r="J55" s="1486"/>
      <c r="K55" s="1486"/>
      <c r="L55" s="1083"/>
    </row>
    <row r="56" spans="4:12" ht="14.4" x14ac:dyDescent="0.3">
      <c r="D56" s="1486"/>
      <c r="E56" s="1486" t="s">
        <v>1420</v>
      </c>
      <c r="F56" s="1486"/>
      <c r="G56" s="1486"/>
      <c r="H56" s="1486"/>
      <c r="I56" s="1486"/>
      <c r="J56" s="1486"/>
      <c r="K56" s="1486"/>
      <c r="L56" s="1083"/>
    </row>
    <row r="57" spans="4:12" ht="14.4" x14ac:dyDescent="0.3">
      <c r="D57" s="1486"/>
      <c r="E57" s="1486" t="s">
        <v>1421</v>
      </c>
      <c r="F57" s="1486"/>
      <c r="G57" s="1486"/>
      <c r="H57" s="1486"/>
      <c r="I57" s="1486"/>
      <c r="J57" s="1486"/>
      <c r="K57" s="1486"/>
      <c r="L57" s="1083"/>
    </row>
    <row r="58" spans="4:12" ht="14.4" x14ac:dyDescent="0.3">
      <c r="D58" s="1486"/>
      <c r="E58" s="1486"/>
      <c r="F58" s="1486"/>
      <c r="G58" s="1486"/>
      <c r="H58" s="1486"/>
      <c r="I58" s="1486"/>
      <c r="J58" s="1486"/>
      <c r="K58" s="1486"/>
      <c r="L58" s="1083"/>
    </row>
    <row r="59" spans="4:12" ht="14.4" x14ac:dyDescent="0.3">
      <c r="D59" s="1486"/>
      <c r="E59" s="1486"/>
      <c r="F59" s="1486"/>
      <c r="G59" s="1486"/>
      <c r="H59" s="1486"/>
      <c r="I59" s="1486"/>
      <c r="J59" s="1486"/>
      <c r="K59" s="1486"/>
      <c r="L59" s="1083"/>
    </row>
    <row r="60" spans="4:12" ht="14.4" x14ac:dyDescent="0.3">
      <c r="D60" s="1486"/>
      <c r="E60" s="1486"/>
      <c r="F60" s="1486"/>
      <c r="G60" s="1486"/>
      <c r="H60" s="1486"/>
      <c r="I60" s="1486"/>
      <c r="J60" s="1486"/>
      <c r="K60" s="1486"/>
      <c r="L60" s="1083"/>
    </row>
    <row r="61" spans="4:12" ht="14.4" x14ac:dyDescent="0.3">
      <c r="D61" s="1486"/>
      <c r="E61" s="1486"/>
      <c r="F61" s="1486"/>
      <c r="G61" s="1486"/>
      <c r="H61" s="1486"/>
      <c r="I61" s="1486"/>
      <c r="J61" s="1486"/>
      <c r="K61" s="1486"/>
      <c r="L61" s="1083"/>
    </row>
    <row r="62" spans="4:12" ht="14.4" x14ac:dyDescent="0.3">
      <c r="D62" s="1486"/>
      <c r="E62" s="1486"/>
      <c r="F62" s="1486"/>
      <c r="G62" s="1486"/>
      <c r="H62" s="1486"/>
      <c r="I62" s="1486"/>
      <c r="J62" s="1486"/>
      <c r="K62" s="1486"/>
      <c r="L62" s="1083"/>
    </row>
    <row r="63" spans="4:12" ht="14.4" x14ac:dyDescent="0.3">
      <c r="D63" s="1486"/>
      <c r="E63" s="1486"/>
      <c r="F63" s="1486"/>
      <c r="G63" s="1486"/>
      <c r="H63" s="1486"/>
      <c r="I63" s="1486"/>
      <c r="J63" s="1486"/>
      <c r="K63" s="1486"/>
      <c r="L63" s="1083"/>
    </row>
    <row r="64" spans="4:12" ht="14.4" x14ac:dyDescent="0.3">
      <c r="L64" s="1486"/>
    </row>
    <row r="65" spans="12:12" ht="14.4" x14ac:dyDescent="0.3">
      <c r="L65" s="1486"/>
    </row>
    <row r="66" spans="12:12" ht="14.4" x14ac:dyDescent="0.3">
      <c r="L66" s="1486"/>
    </row>
    <row r="67" spans="12:12" ht="14.4" x14ac:dyDescent="0.3">
      <c r="L67" s="1486"/>
    </row>
    <row r="68" spans="12:12" ht="14.4" x14ac:dyDescent="0.3">
      <c r="L68" s="1486"/>
    </row>
    <row r="69" spans="12:12" ht="14.4" x14ac:dyDescent="0.3">
      <c r="L69" s="1486"/>
    </row>
    <row r="70" spans="12:12" ht="14.4" x14ac:dyDescent="0.3">
      <c r="L70" s="1486"/>
    </row>
    <row r="71" spans="12:12" ht="14.4" x14ac:dyDescent="0.3">
      <c r="L71" s="1486"/>
    </row>
    <row r="72" spans="12:12" ht="14.4" x14ac:dyDescent="0.3">
      <c r="L72" s="1486"/>
    </row>
    <row r="73" spans="12:12" ht="14.4" x14ac:dyDescent="0.3">
      <c r="L73" s="1486"/>
    </row>
    <row r="74" spans="12:12" ht="14.4" x14ac:dyDescent="0.3">
      <c r="L74" s="1486"/>
    </row>
    <row r="75" spans="12:12" ht="14.4" x14ac:dyDescent="0.3">
      <c r="L75" s="1486"/>
    </row>
  </sheetData>
  <phoneticPr fontId="0" type="noConversion"/>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H223"/>
  <sheetViews>
    <sheetView topLeftCell="B61" zoomScale="106" zoomScaleNormal="106" workbookViewId="0">
      <selection activeCell="F121" sqref="F121"/>
    </sheetView>
  </sheetViews>
  <sheetFormatPr defaultColWidth="9.109375" defaultRowHeight="13.2" x14ac:dyDescent="0.25"/>
  <cols>
    <col min="1" max="1" width="4.44140625" style="464" customWidth="1"/>
    <col min="2" max="2" width="62.88671875" style="29" customWidth="1"/>
    <col min="3" max="3" width="21.109375" style="29" customWidth="1"/>
    <col min="4" max="4" width="20.109375" style="29" customWidth="1"/>
    <col min="5" max="5" width="24.33203125" style="29" customWidth="1"/>
    <col min="6" max="6" width="21.88671875" style="29" customWidth="1"/>
    <col min="7" max="7" width="16.33203125" style="29" customWidth="1"/>
    <col min="8" max="8" width="33.6640625" style="29" bestFit="1" customWidth="1"/>
    <col min="9" max="9" width="38" style="29" bestFit="1" customWidth="1"/>
    <col min="10" max="10" width="47.33203125" style="29" customWidth="1"/>
    <col min="11" max="11" width="18.44140625" style="29" customWidth="1"/>
    <col min="12" max="16384" width="9.109375" style="29"/>
  </cols>
  <sheetData>
    <row r="1" spans="1:8" ht="8.4" customHeight="1" thickBot="1" x14ac:dyDescent="0.3">
      <c r="A1" s="976" t="s">
        <v>1290</v>
      </c>
    </row>
    <row r="2" spans="1:8" ht="27" customHeight="1" thickBot="1" x14ac:dyDescent="0.3">
      <c r="A2" s="465"/>
      <c r="B2" s="1594" t="s">
        <v>1365</v>
      </c>
      <c r="C2" s="1595"/>
      <c r="D2" s="1595"/>
      <c r="E2" s="1596"/>
      <c r="F2" s="1596"/>
      <c r="G2" s="1597"/>
    </row>
    <row r="3" spans="1:8" ht="19.95" customHeight="1" thickBot="1" x14ac:dyDescent="0.3">
      <c r="A3" s="465" t="s">
        <v>1043</v>
      </c>
      <c r="B3" s="1598" t="s">
        <v>1318</v>
      </c>
      <c r="C3" s="1599"/>
      <c r="D3" s="1600"/>
      <c r="E3" s="318"/>
      <c r="F3" s="319"/>
      <c r="G3" s="320"/>
    </row>
    <row r="4" spans="1:8" ht="6.6" customHeight="1" thickBot="1" x14ac:dyDescent="0.3">
      <c r="A4" s="465"/>
      <c r="B4" s="503"/>
      <c r="C4" s="504"/>
      <c r="D4" s="1601"/>
      <c r="E4" s="1601"/>
      <c r="F4" s="495"/>
      <c r="G4" s="496"/>
    </row>
    <row r="5" spans="1:8" ht="21.6" thickTop="1" x14ac:dyDescent="0.25">
      <c r="A5" s="465"/>
      <c r="B5" s="771" t="s">
        <v>1068</v>
      </c>
      <c r="C5" s="772"/>
      <c r="D5" s="773"/>
      <c r="E5" s="773"/>
      <c r="F5" s="498"/>
      <c r="G5" s="500"/>
    </row>
    <row r="6" spans="1:8" ht="21" customHeight="1" x14ac:dyDescent="0.25">
      <c r="A6" s="465"/>
      <c r="B6" s="1231" t="s">
        <v>203</v>
      </c>
      <c r="C6" s="504"/>
      <c r="D6" s="1187"/>
      <c r="E6" s="1187"/>
      <c r="F6" s="495"/>
      <c r="G6" s="496"/>
    </row>
    <row r="7" spans="1:8" ht="21" x14ac:dyDescent="0.25">
      <c r="A7" s="465"/>
      <c r="B7" s="1232"/>
      <c r="C7" s="504"/>
      <c r="D7" s="767"/>
      <c r="E7" s="767"/>
      <c r="F7" s="495"/>
      <c r="G7" s="496"/>
    </row>
    <row r="8" spans="1:8" ht="29.25" customHeight="1" x14ac:dyDescent="0.25">
      <c r="A8" s="465"/>
      <c r="B8" s="1231" t="s">
        <v>198</v>
      </c>
      <c r="C8" s="504"/>
      <c r="D8" s="1114"/>
      <c r="E8" s="1114"/>
      <c r="F8" s="495"/>
      <c r="G8" s="496"/>
    </row>
    <row r="9" spans="1:8" ht="21" x14ac:dyDescent="0.25">
      <c r="A9" s="465"/>
      <c r="B9" s="1232"/>
      <c r="C9" s="504"/>
      <c r="D9" s="504"/>
      <c r="E9" s="504"/>
      <c r="F9" s="495"/>
      <c r="G9" s="496"/>
    </row>
    <row r="10" spans="1:8" ht="21" x14ac:dyDescent="0.25">
      <c r="A10" s="465"/>
      <c r="B10" s="1231" t="s">
        <v>197</v>
      </c>
      <c r="C10" s="504"/>
      <c r="D10" s="504"/>
      <c r="E10" s="504"/>
      <c r="F10" s="495"/>
      <c r="G10" s="496"/>
    </row>
    <row r="11" spans="1:8" ht="21" x14ac:dyDescent="0.25">
      <c r="A11" s="465"/>
      <c r="B11" s="503"/>
      <c r="C11" s="504"/>
      <c r="D11" s="504"/>
      <c r="E11" s="504"/>
      <c r="F11" s="495"/>
      <c r="G11" s="496"/>
    </row>
    <row r="12" spans="1:8" ht="21" x14ac:dyDescent="0.25">
      <c r="A12" s="465"/>
      <c r="B12" s="503"/>
      <c r="C12" s="504"/>
      <c r="D12" s="504"/>
      <c r="E12" s="504"/>
      <c r="F12" s="495"/>
      <c r="G12" s="496"/>
    </row>
    <row r="13" spans="1:8" ht="21" x14ac:dyDescent="0.25">
      <c r="A13" s="465"/>
      <c r="B13" s="503"/>
      <c r="C13" s="504"/>
      <c r="D13" s="504"/>
      <c r="E13" s="504"/>
      <c r="F13" s="495"/>
      <c r="G13" s="496"/>
    </row>
    <row r="14" spans="1:8" ht="21" x14ac:dyDescent="0.25">
      <c r="A14" s="465"/>
      <c r="B14" s="826" t="s">
        <v>322</v>
      </c>
      <c r="C14" s="504"/>
      <c r="D14" s="504"/>
      <c r="E14" s="504"/>
      <c r="F14" s="504"/>
      <c r="G14" s="496"/>
    </row>
    <row r="15" spans="1:8" ht="21" x14ac:dyDescent="0.25">
      <c r="A15" s="465"/>
      <c r="B15" s="826" t="s">
        <v>372</v>
      </c>
      <c r="C15" s="504"/>
      <c r="D15" s="504"/>
      <c r="E15" s="504"/>
      <c r="F15" s="504"/>
      <c r="G15" s="496"/>
    </row>
    <row r="16" spans="1:8" ht="21" x14ac:dyDescent="0.25">
      <c r="A16" s="465"/>
      <c r="B16" s="826" t="s">
        <v>143</v>
      </c>
      <c r="C16" s="504"/>
      <c r="D16" s="504"/>
      <c r="E16" s="504"/>
      <c r="F16" s="504"/>
      <c r="G16" s="496"/>
      <c r="H16" s="1183" t="s">
        <v>1179</v>
      </c>
    </row>
    <row r="17" spans="1:8" ht="21" x14ac:dyDescent="0.25">
      <c r="A17" s="465"/>
      <c r="B17" s="826" t="s">
        <v>952</v>
      </c>
      <c r="C17" s="504"/>
      <c r="D17" s="504"/>
      <c r="E17" s="504"/>
      <c r="F17" s="504"/>
      <c r="G17" s="496"/>
      <c r="H17" s="1184">
        <f ca="1">+NPV</f>
        <v>2.3052036248796602E-6</v>
      </c>
    </row>
    <row r="18" spans="1:8" ht="21" x14ac:dyDescent="0.25">
      <c r="A18" s="465"/>
      <c r="B18" s="826" t="s">
        <v>354</v>
      </c>
      <c r="C18" s="504"/>
      <c r="D18" s="504"/>
      <c r="E18" s="504"/>
      <c r="F18" s="504"/>
      <c r="G18" s="496"/>
    </row>
    <row r="19" spans="1:8" ht="21" x14ac:dyDescent="0.25">
      <c r="A19" s="465"/>
      <c r="B19" s="826" t="s">
        <v>953</v>
      </c>
      <c r="C19" s="504"/>
      <c r="D19" s="504"/>
      <c r="E19" s="504"/>
      <c r="F19" s="504"/>
      <c r="G19" s="496"/>
    </row>
    <row r="20" spans="1:8" ht="21" x14ac:dyDescent="0.25">
      <c r="A20" s="465"/>
      <c r="B20" s="826" t="s">
        <v>954</v>
      </c>
      <c r="C20" s="504"/>
      <c r="D20" s="504"/>
      <c r="E20" s="504"/>
      <c r="F20" s="504"/>
      <c r="G20" s="496"/>
    </row>
    <row r="21" spans="1:8" ht="5.4" customHeight="1" x14ac:dyDescent="0.25">
      <c r="A21" s="465"/>
      <c r="B21" s="824"/>
      <c r="C21" s="504"/>
      <c r="D21" s="767"/>
      <c r="E21" s="767"/>
      <c r="F21" s="495"/>
      <c r="G21" s="496"/>
    </row>
    <row r="22" spans="1:8" ht="5.4" customHeight="1" x14ac:dyDescent="0.25">
      <c r="A22" s="465"/>
      <c r="E22" s="767"/>
      <c r="F22" s="495"/>
      <c r="G22" s="496"/>
    </row>
    <row r="23" spans="1:8" ht="5.4" customHeight="1" thickBot="1" x14ac:dyDescent="0.3">
      <c r="A23" s="465"/>
      <c r="B23" s="503"/>
      <c r="C23" s="504"/>
      <c r="D23" s="767"/>
      <c r="E23" s="767"/>
      <c r="F23" s="495"/>
      <c r="G23" s="496"/>
    </row>
    <row r="24" spans="1:8" ht="31.5" customHeight="1" thickTop="1" thickBot="1" x14ac:dyDescent="0.3">
      <c r="A24" s="465"/>
      <c r="B24" s="497" t="s">
        <v>322</v>
      </c>
      <c r="C24" s="499"/>
      <c r="D24" s="499"/>
      <c r="E24" s="1605" t="s">
        <v>441</v>
      </c>
      <c r="F24" s="1605"/>
      <c r="G24" s="1606"/>
    </row>
    <row r="25" spans="1:8" ht="17.100000000000001" customHeight="1" thickBot="1" x14ac:dyDescent="0.3">
      <c r="A25" s="465" t="s">
        <v>8</v>
      </c>
      <c r="B25" s="321" t="s">
        <v>334</v>
      </c>
      <c r="C25" s="851">
        <f ca="1">0.9*sensitivity_01</f>
        <v>0.9</v>
      </c>
      <c r="D25" s="471"/>
      <c r="E25" s="1607"/>
      <c r="F25" s="1607"/>
      <c r="G25" s="1608"/>
    </row>
    <row r="26" spans="1:8" ht="17.100000000000001" customHeight="1" thickBot="1" x14ac:dyDescent="0.3">
      <c r="A26" s="465" t="s">
        <v>26</v>
      </c>
      <c r="B26" s="321" t="s">
        <v>335</v>
      </c>
      <c r="C26" s="555">
        <f>+ProcessFlow!F11*24</f>
        <v>618936</v>
      </c>
      <c r="D26" s="1554"/>
      <c r="E26" s="1607"/>
      <c r="F26" s="1607"/>
      <c r="G26" s="1608"/>
    </row>
    <row r="27" spans="1:8" ht="17.100000000000001" customHeight="1" thickBot="1" x14ac:dyDescent="0.3">
      <c r="A27" s="465"/>
      <c r="B27" s="321" t="s">
        <v>430</v>
      </c>
      <c r="C27" s="852">
        <f ca="1">design_cap*cap_factor</f>
        <v>557042.4</v>
      </c>
      <c r="D27" s="471"/>
      <c r="E27" s="242"/>
      <c r="F27" s="242"/>
      <c r="G27" s="552"/>
    </row>
    <row r="28" spans="1:8" ht="17.100000000000001" customHeight="1" thickBot="1" x14ac:dyDescent="0.3">
      <c r="A28" s="465" t="s">
        <v>1010</v>
      </c>
      <c r="B28" s="321" t="s">
        <v>20</v>
      </c>
      <c r="C28" s="501">
        <f ca="1">output_kgpday*365</f>
        <v>203320476</v>
      </c>
      <c r="D28" s="471"/>
      <c r="E28" s="1609"/>
      <c r="F28" s="1607"/>
      <c r="G28" s="1608"/>
    </row>
    <row r="29" spans="1:8" ht="20.100000000000001" customHeight="1" thickTop="1" thickBot="1" x14ac:dyDescent="0.3">
      <c r="A29" s="465"/>
      <c r="B29" s="497" t="s">
        <v>372</v>
      </c>
      <c r="C29" s="499"/>
      <c r="D29" s="502"/>
      <c r="E29" s="1605" t="s">
        <v>1100</v>
      </c>
      <c r="F29" s="1605"/>
      <c r="G29" s="1606"/>
    </row>
    <row r="30" spans="1:8" ht="17.100000000000001" customHeight="1" thickBot="1" x14ac:dyDescent="0.3">
      <c r="A30" s="465" t="s">
        <v>1026</v>
      </c>
      <c r="B30" s="322" t="s">
        <v>1027</v>
      </c>
      <c r="C30" s="1256">
        <v>2016</v>
      </c>
      <c r="D30" s="471"/>
      <c r="E30" s="1602"/>
      <c r="F30" s="1602"/>
      <c r="G30" s="1591"/>
    </row>
    <row r="31" spans="1:8" ht="17.100000000000001" customHeight="1" thickBot="1" x14ac:dyDescent="0.3">
      <c r="A31" s="465" t="s">
        <v>182</v>
      </c>
      <c r="B31" s="321" t="s">
        <v>373</v>
      </c>
      <c r="C31" s="1256">
        <v>2015</v>
      </c>
      <c r="D31" s="471"/>
      <c r="E31" s="1602"/>
      <c r="F31" s="1602"/>
      <c r="G31" s="1591"/>
    </row>
    <row r="32" spans="1:8" ht="17.100000000000001" customHeight="1" thickBot="1" x14ac:dyDescent="0.3">
      <c r="A32" s="465"/>
      <c r="B32" s="321" t="s">
        <v>842</v>
      </c>
      <c r="C32" s="853">
        <v>2007</v>
      </c>
      <c r="D32" s="1603" t="s">
        <v>1099</v>
      </c>
      <c r="E32" s="993"/>
      <c r="F32" s="993"/>
      <c r="G32" s="994"/>
    </row>
    <row r="33" spans="1:7" ht="17.100000000000001" customHeight="1" thickBot="1" x14ac:dyDescent="0.3">
      <c r="A33" s="465" t="s">
        <v>10</v>
      </c>
      <c r="B33" s="321" t="s">
        <v>374</v>
      </c>
      <c r="C33" s="853">
        <v>3</v>
      </c>
      <c r="D33" s="1603"/>
      <c r="E33" s="1610"/>
      <c r="F33" s="1610"/>
      <c r="G33" s="1611"/>
    </row>
    <row r="34" spans="1:7" ht="17.100000000000001" customHeight="1" thickBot="1" x14ac:dyDescent="0.3">
      <c r="A34" s="465" t="s">
        <v>161</v>
      </c>
      <c r="B34" s="321" t="s">
        <v>946</v>
      </c>
      <c r="C34" s="854">
        <v>0.4</v>
      </c>
      <c r="D34" s="978"/>
      <c r="E34" s="1602"/>
      <c r="F34" s="1602"/>
      <c r="G34" s="1591"/>
    </row>
    <row r="35" spans="1:7" ht="17.100000000000001" customHeight="1" thickBot="1" x14ac:dyDescent="0.3">
      <c r="A35" s="465" t="s">
        <v>162</v>
      </c>
      <c r="B35" s="321" t="s">
        <v>375</v>
      </c>
      <c r="C35" s="854">
        <v>0.35</v>
      </c>
      <c r="D35" s="978"/>
      <c r="E35" s="1602"/>
      <c r="F35" s="1602"/>
      <c r="G35" s="1591"/>
    </row>
    <row r="36" spans="1:7" ht="17.100000000000001" customHeight="1" thickBot="1" x14ac:dyDescent="0.3">
      <c r="A36" s="465" t="s">
        <v>163</v>
      </c>
      <c r="B36" s="323" t="s">
        <v>376</v>
      </c>
      <c r="C36" s="854">
        <v>0.25</v>
      </c>
      <c r="D36" s="978"/>
      <c r="E36" s="1602"/>
      <c r="F36" s="1602"/>
      <c r="G36" s="1591"/>
    </row>
    <row r="37" spans="1:7" ht="17.100000000000001" customHeight="1" thickBot="1" x14ac:dyDescent="0.3">
      <c r="A37" s="465" t="s">
        <v>164</v>
      </c>
      <c r="B37" s="323" t="s">
        <v>323</v>
      </c>
      <c r="C37" s="854"/>
      <c r="D37" s="471"/>
      <c r="E37" s="1602"/>
      <c r="F37" s="1602"/>
      <c r="G37" s="1591"/>
    </row>
    <row r="38" spans="1:7" ht="17.100000000000001" customHeight="1" thickBot="1" x14ac:dyDescent="0.3">
      <c r="A38" s="465" t="s">
        <v>181</v>
      </c>
      <c r="B38" s="321" t="s">
        <v>378</v>
      </c>
      <c r="C38" s="853">
        <v>0.5</v>
      </c>
      <c r="D38" s="471"/>
      <c r="E38" s="1602"/>
      <c r="F38" s="1602"/>
      <c r="G38" s="1591"/>
    </row>
    <row r="39" spans="1:7" ht="17.100000000000001" customHeight="1" thickBot="1" x14ac:dyDescent="0.3">
      <c r="A39" s="465" t="s">
        <v>170</v>
      </c>
      <c r="B39" s="321" t="s">
        <v>379</v>
      </c>
      <c r="C39" s="1573">
        <v>30</v>
      </c>
      <c r="D39" s="471"/>
      <c r="E39" s="1602"/>
      <c r="F39" s="1602"/>
      <c r="G39" s="1591"/>
    </row>
    <row r="40" spans="1:7" ht="17.100000000000001" customHeight="1" thickBot="1" x14ac:dyDescent="0.3">
      <c r="A40" s="465" t="s">
        <v>7</v>
      </c>
      <c r="B40" s="321" t="s">
        <v>380</v>
      </c>
      <c r="C40" s="1573">
        <v>30</v>
      </c>
      <c r="D40" s="471"/>
      <c r="E40" s="1602"/>
      <c r="F40" s="1602"/>
      <c r="G40" s="1591"/>
    </row>
    <row r="41" spans="1:7" ht="17.100000000000001" customHeight="1" thickBot="1" x14ac:dyDescent="0.3">
      <c r="A41" s="465" t="s">
        <v>24</v>
      </c>
      <c r="B41" s="321" t="s">
        <v>381</v>
      </c>
      <c r="C41" s="853">
        <v>20</v>
      </c>
      <c r="D41" s="471"/>
      <c r="E41" s="1602"/>
      <c r="F41" s="1602"/>
      <c r="G41" s="1591"/>
    </row>
    <row r="42" spans="1:7" ht="17.100000000000001" customHeight="1" thickBot="1" x14ac:dyDescent="0.3">
      <c r="A42" s="465" t="s">
        <v>25</v>
      </c>
      <c r="B42" s="321" t="s">
        <v>389</v>
      </c>
      <c r="C42" s="853" t="s">
        <v>438</v>
      </c>
      <c r="D42" s="471"/>
      <c r="E42" s="1602"/>
      <c r="F42" s="1602"/>
      <c r="G42" s="1591"/>
    </row>
    <row r="43" spans="1:7" ht="17.100000000000001" customHeight="1" thickBot="1" x14ac:dyDescent="0.3">
      <c r="A43" s="465" t="s">
        <v>247</v>
      </c>
      <c r="B43" s="321" t="s">
        <v>19</v>
      </c>
      <c r="C43" s="855">
        <v>0.4</v>
      </c>
      <c r="D43" s="471"/>
      <c r="E43" s="1602"/>
      <c r="F43" s="1602"/>
      <c r="G43" s="1591"/>
    </row>
    <row r="44" spans="1:7" ht="17.100000000000001" customHeight="1" thickBot="1" x14ac:dyDescent="0.3">
      <c r="A44" s="465" t="s">
        <v>13</v>
      </c>
      <c r="B44" s="321" t="s">
        <v>388</v>
      </c>
      <c r="C44" s="1432">
        <v>3.6999999999999998E-2</v>
      </c>
      <c r="D44" s="471"/>
      <c r="E44" s="1604"/>
      <c r="F44" s="1602"/>
      <c r="G44" s="1591"/>
    </row>
    <row r="45" spans="1:7" ht="17.100000000000001" customHeight="1" thickBot="1" x14ac:dyDescent="0.3">
      <c r="A45" s="465" t="s">
        <v>14</v>
      </c>
      <c r="B45" s="321" t="s">
        <v>382</v>
      </c>
      <c r="C45" s="1477">
        <v>0</v>
      </c>
      <c r="D45" s="471"/>
      <c r="E45" s="1604" t="s">
        <v>1364</v>
      </c>
      <c r="F45" s="1604"/>
      <c r="G45" s="1577"/>
    </row>
    <row r="46" spans="1:7" ht="17.100000000000001" customHeight="1" thickBot="1" x14ac:dyDescent="0.3">
      <c r="A46" s="465" t="s">
        <v>165</v>
      </c>
      <c r="B46" s="321" t="s">
        <v>383</v>
      </c>
      <c r="C46" s="854">
        <v>0.75</v>
      </c>
      <c r="D46" s="471"/>
      <c r="E46" s="1602"/>
      <c r="F46" s="1602"/>
      <c r="G46" s="1591"/>
    </row>
    <row r="47" spans="1:7" ht="17.100000000000001" customHeight="1" thickBot="1" x14ac:dyDescent="0.3">
      <c r="A47" s="465" t="s">
        <v>167</v>
      </c>
      <c r="B47" s="321" t="s">
        <v>384</v>
      </c>
      <c r="C47" s="854">
        <v>0.5</v>
      </c>
      <c r="D47" s="471"/>
      <c r="E47" s="1602"/>
      <c r="F47" s="1602"/>
      <c r="G47" s="1591"/>
    </row>
    <row r="48" spans="1:7" ht="17.100000000000001" customHeight="1" thickBot="1" x14ac:dyDescent="0.3">
      <c r="A48" s="465" t="s">
        <v>168</v>
      </c>
      <c r="B48" s="321" t="s">
        <v>385</v>
      </c>
      <c r="C48" s="854">
        <v>0.75</v>
      </c>
      <c r="D48" s="471"/>
      <c r="E48" s="1602"/>
      <c r="F48" s="1602"/>
      <c r="G48" s="1591"/>
    </row>
    <row r="49" spans="1:7" ht="17.100000000000001" customHeight="1" thickBot="1" x14ac:dyDescent="0.3">
      <c r="A49" s="465" t="s">
        <v>18</v>
      </c>
      <c r="B49" s="321" t="s">
        <v>386</v>
      </c>
      <c r="C49" s="854">
        <v>0.1</v>
      </c>
      <c r="D49" s="471"/>
      <c r="E49" s="1602"/>
      <c r="F49" s="1602"/>
      <c r="G49" s="1591"/>
    </row>
    <row r="50" spans="1:7" ht="17.100000000000001" customHeight="1" thickBot="1" x14ac:dyDescent="0.3">
      <c r="A50" s="465" t="s">
        <v>178</v>
      </c>
      <c r="B50" s="321" t="s">
        <v>387</v>
      </c>
      <c r="C50" s="854">
        <v>0.1</v>
      </c>
      <c r="D50" s="471"/>
      <c r="E50" s="1602"/>
      <c r="F50" s="1602"/>
      <c r="G50" s="1591"/>
    </row>
    <row r="51" spans="1:7" ht="17.100000000000001" customHeight="1" thickBot="1" x14ac:dyDescent="0.3">
      <c r="A51" s="465" t="s">
        <v>30</v>
      </c>
      <c r="B51" s="321" t="s">
        <v>979</v>
      </c>
      <c r="C51" s="851">
        <v>1.9E-2</v>
      </c>
      <c r="D51" s="471"/>
      <c r="E51" s="1602"/>
      <c r="F51" s="1602"/>
      <c r="G51" s="1591"/>
    </row>
    <row r="52" spans="1:7" ht="17.100000000000001" customHeight="1" thickBot="1" x14ac:dyDescent="0.3">
      <c r="A52" s="465" t="s">
        <v>174</v>
      </c>
      <c r="B52" s="321" t="s">
        <v>1021</v>
      </c>
      <c r="C52" s="851">
        <f ca="1">0.08*sensitivity_03</f>
        <v>0.08</v>
      </c>
      <c r="D52" s="471"/>
      <c r="E52" s="1604"/>
      <c r="F52" s="1602"/>
      <c r="G52" s="1591"/>
    </row>
    <row r="53" spans="1:7" ht="17.100000000000001" customHeight="1" thickBot="1" x14ac:dyDescent="0.3">
      <c r="A53" s="465" t="s">
        <v>184</v>
      </c>
      <c r="B53" s="321" t="s">
        <v>1022</v>
      </c>
      <c r="C53" s="851">
        <v>0.06</v>
      </c>
      <c r="D53" s="471"/>
      <c r="E53" s="1602"/>
      <c r="F53" s="1602"/>
      <c r="G53" s="1591"/>
    </row>
    <row r="54" spans="1:7" ht="17.100000000000001" customHeight="1" thickBot="1" x14ac:dyDescent="0.3">
      <c r="A54" s="465" t="s">
        <v>28</v>
      </c>
      <c r="B54" s="321" t="s">
        <v>978</v>
      </c>
      <c r="C54" s="470">
        <v>0.21</v>
      </c>
      <c r="D54" s="471"/>
      <c r="E54" s="1602"/>
      <c r="F54" s="1602"/>
      <c r="G54" s="1591"/>
    </row>
    <row r="55" spans="1:7" ht="17.100000000000001" customHeight="1" thickBot="1" x14ac:dyDescent="0.3">
      <c r="A55" s="465" t="s">
        <v>1018</v>
      </c>
      <c r="B55" s="321" t="s">
        <v>21</v>
      </c>
      <c r="C55" s="856">
        <f>fed_tax_rate+state_tax_rate*(1-fed_tax_rate)</f>
        <v>0.25739999999999996</v>
      </c>
      <c r="D55" s="472"/>
      <c r="E55" s="1613"/>
      <c r="F55" s="1602"/>
      <c r="G55" s="1591"/>
    </row>
    <row r="56" spans="1:7" ht="17.100000000000001" customHeight="1" thickBot="1" x14ac:dyDescent="0.3">
      <c r="A56" s="465" t="s">
        <v>189</v>
      </c>
      <c r="B56" s="321" t="s">
        <v>371</v>
      </c>
      <c r="C56" s="473">
        <v>0.15</v>
      </c>
      <c r="D56" s="471"/>
      <c r="E56" s="1602"/>
      <c r="F56" s="1602"/>
      <c r="G56" s="1591"/>
    </row>
    <row r="57" spans="1:7" ht="18.75" customHeight="1" thickTop="1" x14ac:dyDescent="0.25">
      <c r="A57" s="465"/>
      <c r="B57" s="505" t="s">
        <v>1044</v>
      </c>
      <c r="C57" s="828"/>
      <c r="D57" s="822"/>
      <c r="E57" s="822"/>
      <c r="F57" s="822"/>
      <c r="G57" s="823"/>
    </row>
    <row r="58" spans="1:7" ht="21" customHeight="1" thickBot="1" x14ac:dyDescent="0.3">
      <c r="A58" s="465"/>
      <c r="B58" s="432" t="s">
        <v>275</v>
      </c>
      <c r="C58" s="489"/>
      <c r="D58" s="434"/>
      <c r="E58" s="433"/>
      <c r="F58" s="433"/>
      <c r="G58" s="435"/>
    </row>
    <row r="59" spans="1:7" ht="23.25" customHeight="1" thickBot="1" x14ac:dyDescent="0.3">
      <c r="A59" s="465"/>
      <c r="B59" s="476" t="s">
        <v>1292</v>
      </c>
      <c r="C59" s="489"/>
      <c r="D59" s="434"/>
      <c r="E59" s="433"/>
      <c r="F59" s="1612" t="s">
        <v>714</v>
      </c>
      <c r="G59" s="435"/>
    </row>
    <row r="60" spans="1:7" ht="18.75" customHeight="1" thickBot="1" x14ac:dyDescent="0.3">
      <c r="A60" s="465"/>
      <c r="B60" s="432" t="s">
        <v>696</v>
      </c>
      <c r="C60" s="433"/>
      <c r="D60" s="434"/>
      <c r="E60" s="433"/>
      <c r="F60" s="1612"/>
      <c r="G60" s="435"/>
    </row>
    <row r="61" spans="1:7" ht="17.100000000000001" customHeight="1" thickBot="1" x14ac:dyDescent="0.3">
      <c r="A61" s="465"/>
      <c r="B61" s="476" t="s">
        <v>1437</v>
      </c>
      <c r="C61" s="436" t="str">
        <f>IF(OR(TMP_FeedType="Feedstock",TMP_FeedType = "Utility")," Enter usage in","Enter production in")</f>
        <v xml:space="preserve"> Enter usage in</v>
      </c>
      <c r="D61" s="436" t="str">
        <f ca="1">VLOOKUP(TMP_FeedName,INDIRECT(TMP_PriceTable),4,FALSE)</f>
        <v>kWh</v>
      </c>
      <c r="E61" s="433"/>
      <c r="F61" s="1612"/>
      <c r="G61" s="435"/>
    </row>
    <row r="62" spans="1:7" ht="17.100000000000001" customHeight="1" thickBot="1" x14ac:dyDescent="0.3">
      <c r="A62" s="465"/>
      <c r="B62" s="432" t="s">
        <v>697</v>
      </c>
      <c r="C62" s="436"/>
      <c r="D62" s="436"/>
      <c r="E62" s="433"/>
      <c r="F62" s="1612"/>
      <c r="G62" s="435"/>
    </row>
    <row r="63" spans="1:7" ht="17.100000000000001" customHeight="1" thickBot="1" x14ac:dyDescent="0.3">
      <c r="A63" s="465"/>
      <c r="B63" s="1185" t="s">
        <v>698</v>
      </c>
      <c r="C63" s="434"/>
      <c r="D63" s="434"/>
      <c r="E63" s="433"/>
      <c r="F63" s="1612"/>
      <c r="G63" s="435"/>
    </row>
    <row r="64" spans="1:7" ht="17.100000000000001" customHeight="1" thickBot="1" x14ac:dyDescent="0.3">
      <c r="A64" s="465"/>
      <c r="B64" s="887"/>
      <c r="C64" s="434"/>
      <c r="D64" s="434"/>
      <c r="E64" s="433"/>
      <c r="F64" s="1612"/>
      <c r="G64" s="435"/>
    </row>
    <row r="65" spans="1:7" ht="37.5" customHeight="1" thickBot="1" x14ac:dyDescent="0.3">
      <c r="A65" s="465"/>
      <c r="B65" s="445" t="str">
        <f>SELECTED_FEED</f>
        <v>utility</v>
      </c>
      <c r="C65" s="546" t="str">
        <f>TMP_FeedName</f>
        <v>Industrial Electricity</v>
      </c>
      <c r="D65" s="547"/>
      <c r="E65" s="438"/>
      <c r="F65" s="1612"/>
      <c r="G65" s="435"/>
    </row>
    <row r="66" spans="1:7" ht="18.899999999999999" customHeight="1" thickBot="1" x14ac:dyDescent="0.3">
      <c r="A66" s="465"/>
      <c r="B66" s="446" t="str">
        <f ca="1">"Price Conversion Factor (GJ/"&amp;TMP_Units&amp;")"</f>
        <v>Price Conversion Factor (GJ/kWh)</v>
      </c>
      <c r="C66" s="457">
        <f ca="1">VLOOKUP(TMP_FeedName,MASTER_PROPERTY_TABLE,9,FALSE)</f>
        <v>3.5999999999999995E-3</v>
      </c>
      <c r="D66" s="439"/>
      <c r="E66" s="438"/>
      <c r="F66" s="1612"/>
      <c r="G66" s="435"/>
    </row>
    <row r="67" spans="1:7" ht="18.899999999999999" customHeight="1" thickBot="1" x14ac:dyDescent="0.3">
      <c r="A67" s="465"/>
      <c r="B67" s="832" t="str">
        <f ca="1">"Price in Startup Year ($" &amp; ref_year &amp; ")/" &amp; TMP_Units</f>
        <v>Price in Startup Year ($2016)/kWh</v>
      </c>
      <c r="C67" s="1531">
        <f ca="1">HLOOKUP(startup_year,INDIRECT(TMP_PriceTable),MATCH(TMP_FeedName,INDIRECT(Energy_Feed_List),0),FALSE)*TMP_Conversion</f>
        <v>6.9980611257164108E-2</v>
      </c>
      <c r="D67" s="440"/>
      <c r="E67" s="441"/>
      <c r="F67" s="1612"/>
      <c r="G67" s="435"/>
    </row>
    <row r="68" spans="1:7" ht="18.899999999999999" customHeight="1" thickBot="1" x14ac:dyDescent="0.3">
      <c r="A68" s="465"/>
      <c r="B68" s="446" t="str">
        <f ca="1">IF(OR(TMP_FeedType="Feedstock",TMP_FeedType = "Utility"),"Usage ("&amp;TMP_Units&amp;"/kg H2)","Production ("&amp;TMP_Units&amp;"/kg H2)")</f>
        <v>Usage (kWh/kg H2)</v>
      </c>
      <c r="C68" s="1569">
        <f>+ProcessFlow!I13</f>
        <v>1.3622086936290667</v>
      </c>
      <c r="D68" s="441"/>
      <c r="E68" s="438"/>
      <c r="F68" s="1612"/>
      <c r="G68" s="435"/>
    </row>
    <row r="69" spans="1:7" ht="18.899999999999999" customHeight="1" thickBot="1" x14ac:dyDescent="0.3">
      <c r="A69" s="465"/>
      <c r="B69" s="447" t="str">
        <f>IF(OR(TMP_FeedType = "Feedstock",TMP_FeedType = "Utility"), "Cost in Startup Year","Income in Startup Year")</f>
        <v>Cost in Startup Year</v>
      </c>
      <c r="C69" s="462">
        <f ca="1">design_cap*365*cap_factor*TMP_Usage*TMP_StartPrice</f>
        <v>19382174.398391556</v>
      </c>
      <c r="D69" s="439"/>
      <c r="E69" s="438"/>
      <c r="F69" s="433"/>
      <c r="G69" s="435"/>
    </row>
    <row r="70" spans="1:7" ht="18.899999999999999" customHeight="1" thickBot="1" x14ac:dyDescent="0.3">
      <c r="A70" s="465"/>
      <c r="B70" s="446" t="s">
        <v>262</v>
      </c>
      <c r="C70" s="456" t="s">
        <v>711</v>
      </c>
      <c r="D70" s="439"/>
      <c r="E70" s="438"/>
      <c r="F70" s="433"/>
      <c r="G70" s="435"/>
    </row>
    <row r="71" spans="1:7" s="434" customFormat="1" ht="18.899999999999999" customHeight="1" x14ac:dyDescent="0.25">
      <c r="A71" s="899"/>
      <c r="B71" s="900"/>
      <c r="C71" s="901"/>
      <c r="D71" s="439"/>
      <c r="E71" s="438"/>
      <c r="F71" s="433"/>
      <c r="G71" s="435"/>
    </row>
    <row r="72" spans="1:7" ht="27" customHeight="1" thickBot="1" x14ac:dyDescent="0.3">
      <c r="A72" s="466"/>
      <c r="B72" s="902" t="s">
        <v>715</v>
      </c>
      <c r="C72" s="443"/>
      <c r="D72" s="443"/>
      <c r="E72" s="443"/>
      <c r="F72" s="443"/>
      <c r="G72" s="444"/>
    </row>
    <row r="73" spans="1:7" ht="27.9" customHeight="1" x14ac:dyDescent="0.25">
      <c r="A73" s="466" t="s">
        <v>15</v>
      </c>
      <c r="B73" s="458"/>
      <c r="C73" s="459"/>
      <c r="D73" s="459"/>
      <c r="E73" s="459"/>
      <c r="F73" s="460"/>
      <c r="G73" s="461"/>
    </row>
    <row r="74" spans="1:7" ht="27.9" customHeight="1" x14ac:dyDescent="0.25">
      <c r="A74" s="466"/>
      <c r="B74" s="458" t="s">
        <v>835</v>
      </c>
      <c r="C74" s="459" t="s">
        <v>1313</v>
      </c>
      <c r="D74" s="459" t="s">
        <v>1314</v>
      </c>
      <c r="E74" s="459" t="s">
        <v>1315</v>
      </c>
      <c r="F74" s="460" t="s">
        <v>836</v>
      </c>
      <c r="G74" s="461" t="s">
        <v>262</v>
      </c>
    </row>
    <row r="75" spans="1:7" ht="27.9" customHeight="1" x14ac:dyDescent="0.25">
      <c r="A75" s="466"/>
      <c r="B75" s="458" t="s">
        <v>1088</v>
      </c>
      <c r="C75" s="459">
        <v>2.2735034516249999E-2</v>
      </c>
      <c r="D75" s="459">
        <v>4.7562530330660567E-2</v>
      </c>
      <c r="E75" s="1532">
        <f>+ProcessFlow!I9</f>
        <v>9.6971406981268338</v>
      </c>
      <c r="F75" s="460">
        <v>46800468.681543432</v>
      </c>
      <c r="G75" s="461" t="s">
        <v>711</v>
      </c>
    </row>
    <row r="76" spans="1:7" ht="27.9" customHeight="1" x14ac:dyDescent="0.25">
      <c r="A76" s="466" t="s">
        <v>15</v>
      </c>
      <c r="B76" s="458"/>
      <c r="C76" s="459"/>
      <c r="D76" s="459"/>
      <c r="E76" s="459"/>
      <c r="F76" s="460"/>
      <c r="G76" s="461"/>
    </row>
    <row r="77" spans="1:7" ht="27.9" customHeight="1" x14ac:dyDescent="0.25">
      <c r="A77" s="466"/>
      <c r="B77" s="458" t="s">
        <v>1437</v>
      </c>
      <c r="C77" s="459" t="s">
        <v>1417</v>
      </c>
      <c r="D77" s="459" t="s">
        <v>1418</v>
      </c>
      <c r="E77" s="459" t="s">
        <v>1438</v>
      </c>
      <c r="F77" s="460" t="s">
        <v>836</v>
      </c>
      <c r="G77" s="461" t="s">
        <v>262</v>
      </c>
    </row>
    <row r="78" spans="1:7" ht="27.9" customHeight="1" x14ac:dyDescent="0.25">
      <c r="A78" s="466"/>
      <c r="B78" s="458" t="s">
        <v>698</v>
      </c>
      <c r="C78" s="459">
        <v>3.5999999999999995E-3</v>
      </c>
      <c r="D78" s="459">
        <v>6.9980611257164108E-2</v>
      </c>
      <c r="E78" s="459">
        <v>1.3622086936290667</v>
      </c>
      <c r="F78" s="460">
        <v>19382174.398391556</v>
      </c>
      <c r="G78" s="461" t="s">
        <v>711</v>
      </c>
    </row>
    <row r="79" spans="1:7" ht="27.9" customHeight="1" x14ac:dyDescent="0.25">
      <c r="A79" s="465" t="s">
        <v>273</v>
      </c>
      <c r="B79" s="458"/>
      <c r="C79" s="459"/>
      <c r="D79" s="459"/>
      <c r="E79" s="459"/>
      <c r="F79" s="460"/>
      <c r="G79" s="461"/>
    </row>
    <row r="80" spans="1:7" ht="27.9" customHeight="1" x14ac:dyDescent="0.25">
      <c r="A80" s="467" t="s">
        <v>274</v>
      </c>
      <c r="B80" s="459"/>
      <c r="C80" s="459"/>
      <c r="D80" s="459"/>
      <c r="E80" s="459"/>
      <c r="F80" s="460"/>
      <c r="G80" s="461"/>
    </row>
    <row r="81" spans="1:7" ht="17.100000000000001" customHeight="1" thickBot="1" x14ac:dyDescent="0.3">
      <c r="A81" s="467"/>
      <c r="B81" s="326"/>
      <c r="C81" s="326"/>
      <c r="D81" s="332"/>
      <c r="E81" s="332"/>
      <c r="F81" s="329" t="s">
        <v>58</v>
      </c>
      <c r="G81" s="331"/>
    </row>
    <row r="82" spans="1:7" ht="17.100000000000001" customHeight="1" thickBot="1" x14ac:dyDescent="0.3">
      <c r="A82" s="465" t="s">
        <v>251</v>
      </c>
      <c r="B82" s="333" t="s">
        <v>277</v>
      </c>
      <c r="C82" s="329"/>
      <c r="D82" s="332"/>
      <c r="E82" s="332"/>
      <c r="F82" s="245">
        <f>SUM(Dynamic_Feed_Total)</f>
        <v>46800468.681543432</v>
      </c>
      <c r="G82" s="331"/>
    </row>
    <row r="83" spans="1:7" ht="17.100000000000001" customHeight="1" thickBot="1" x14ac:dyDescent="0.3">
      <c r="A83" s="465" t="s">
        <v>252</v>
      </c>
      <c r="B83" s="333" t="s">
        <v>278</v>
      </c>
      <c r="C83" s="329"/>
      <c r="D83" s="332"/>
      <c r="E83" s="332"/>
      <c r="F83" s="245">
        <f>SUM(Dynamic_Utilities_Total)</f>
        <v>19382174.398391556</v>
      </c>
      <c r="G83" s="331"/>
    </row>
    <row r="84" spans="1:7" ht="17.100000000000001" customHeight="1" thickBot="1" x14ac:dyDescent="0.3">
      <c r="A84" s="465" t="s">
        <v>256</v>
      </c>
      <c r="B84" s="324" t="s">
        <v>276</v>
      </c>
      <c r="C84" s="329"/>
      <c r="D84" s="332"/>
      <c r="E84" s="332"/>
      <c r="F84" s="245">
        <f>SUM(Dynamic_Byproduct_Total)</f>
        <v>0</v>
      </c>
      <c r="G84" s="331"/>
    </row>
    <row r="85" spans="1:7" ht="38.25" customHeight="1" x14ac:dyDescent="0.25">
      <c r="A85" s="465"/>
      <c r="B85" s="324"/>
      <c r="C85" s="319"/>
      <c r="D85" s="829" t="s">
        <v>317</v>
      </c>
      <c r="E85" s="1607"/>
      <c r="F85" s="1607"/>
      <c r="G85" s="1608"/>
    </row>
    <row r="86" spans="1:7" ht="28.5" customHeight="1" thickBot="1" x14ac:dyDescent="0.3">
      <c r="A86" s="465"/>
      <c r="B86" s="324"/>
      <c r="C86" s="319"/>
      <c r="D86" s="434"/>
      <c r="E86" s="1614"/>
      <c r="F86" s="1614"/>
      <c r="G86" s="1615"/>
    </row>
    <row r="87" spans="1:7" ht="17.100000000000001" customHeight="1" thickTop="1" thickBot="1" x14ac:dyDescent="0.3">
      <c r="A87" s="465"/>
      <c r="B87" s="497" t="s">
        <v>83</v>
      </c>
      <c r="C87" s="498"/>
      <c r="D87" s="498"/>
      <c r="E87" s="1605" t="s">
        <v>441</v>
      </c>
      <c r="F87" s="1605"/>
      <c r="G87" s="1606"/>
    </row>
    <row r="88" spans="1:7" ht="20.100000000000001" customHeight="1" thickBot="1" x14ac:dyDescent="0.3">
      <c r="A88" s="465" t="s">
        <v>246</v>
      </c>
      <c r="B88" s="327" t="s">
        <v>336</v>
      </c>
      <c r="C88" s="243">
        <f>Det_scaled_cap</f>
        <v>1254786606.7766659</v>
      </c>
      <c r="D88" s="471"/>
      <c r="E88" s="1585" t="s">
        <v>531</v>
      </c>
      <c r="F88" s="1585"/>
      <c r="G88" s="1586"/>
    </row>
    <row r="89" spans="1:7" ht="28.95" customHeight="1" thickBot="1" x14ac:dyDescent="0.3">
      <c r="A89" s="465"/>
      <c r="B89" s="327" t="s">
        <v>1004</v>
      </c>
      <c r="C89" s="1264">
        <f ca="1">Det_CO2_seq</f>
        <v>46547136.223881312</v>
      </c>
      <c r="D89" s="471"/>
      <c r="E89" s="1585" t="s">
        <v>844</v>
      </c>
      <c r="F89" s="1585"/>
      <c r="G89" s="1586"/>
    </row>
    <row r="90" spans="1:7" ht="21.75" customHeight="1" x14ac:dyDescent="0.25">
      <c r="A90" s="465"/>
      <c r="B90" s="327"/>
      <c r="C90"/>
      <c r="D90"/>
      <c r="E90"/>
      <c r="F90"/>
      <c r="G90" s="449"/>
    </row>
    <row r="91" spans="1:7" ht="45.75" customHeight="1" thickBot="1" x14ac:dyDescent="0.3">
      <c r="A91" s="465"/>
      <c r="B91" s="327" t="s">
        <v>337</v>
      </c>
      <c r="C91" s="979" t="str">
        <f>"Enter values in basis year (" &amp; BasisYear &amp; ") dollars"</f>
        <v>Enter values in basis year (2007) dollars</v>
      </c>
      <c r="D91" s="979" t="s">
        <v>845</v>
      </c>
      <c r="E91" s="979" t="str">
        <f xml:space="preserve"> "Reference Year ("&amp; ref_year &amp; ") Dollars"</f>
        <v>Reference Year (2016) Dollars</v>
      </c>
      <c r="F91"/>
      <c r="G91" s="449"/>
    </row>
    <row r="92" spans="1:7" ht="17.100000000000001" customHeight="1" x14ac:dyDescent="0.25">
      <c r="A92" s="465" t="s">
        <v>179</v>
      </c>
      <c r="B92" s="322" t="s">
        <v>712</v>
      </c>
      <c r="C92" s="1004">
        <f ca="1">0.0278091700781222*(direct_cap)/(CEPCIinflator*CPIinflator)
+0.02*(CO2_seq)/(CEPCIinflator*CPIinflator)</f>
        <v>31298611.104683697</v>
      </c>
      <c r="D92" s="1023">
        <f t="shared" ref="D92:D98" si="0">CEPCIinflator*CPIinflator</f>
        <v>1.1446359956438654</v>
      </c>
      <c r="E92" s="1006">
        <f ca="1">C92*D92</f>
        <v>35825516.884079769</v>
      </c>
      <c r="F92" s="1566" t="s">
        <v>1435</v>
      </c>
      <c r="G92" s="995"/>
    </row>
    <row r="93" spans="1:7" ht="29.25" customHeight="1" x14ac:dyDescent="0.25">
      <c r="A93" s="465" t="s">
        <v>27</v>
      </c>
      <c r="B93" s="321" t="s">
        <v>338</v>
      </c>
      <c r="C93" s="1007">
        <f ca="1">0.1*(direct_cap/(CEPCIinflator*CPIinflator)+C92)
+0.1*(CO2_seq)/(CEPCIinflator*CPIinflator)</f>
        <v>116819605.96848659</v>
      </c>
      <c r="D93" s="1024">
        <f t="shared" si="0"/>
        <v>1.1446359956438654</v>
      </c>
      <c r="E93" s="1009">
        <f t="shared" ref="E93:E98" ca="1" si="1">C93*D93</f>
        <v>133715925.9884627</v>
      </c>
      <c r="F93" s="1546"/>
      <c r="G93" s="995"/>
    </row>
    <row r="94" spans="1:7" ht="17.100000000000001" customHeight="1" x14ac:dyDescent="0.25">
      <c r="A94" s="465" t="s">
        <v>171</v>
      </c>
      <c r="B94" s="321" t="s">
        <v>347</v>
      </c>
      <c r="C94" s="1007">
        <v>61446000</v>
      </c>
      <c r="D94" s="1024">
        <f t="shared" si="0"/>
        <v>1.1446359956438654</v>
      </c>
      <c r="E94" s="1009">
        <f t="shared" si="1"/>
        <v>70333303.388332948</v>
      </c>
      <c r="F94" s="1546"/>
      <c r="G94" s="995"/>
    </row>
    <row r="95" spans="1:7" ht="17.100000000000001" customHeight="1" x14ac:dyDescent="0.25">
      <c r="A95" s="465" t="s">
        <v>173</v>
      </c>
      <c r="B95" s="321" t="s">
        <v>348</v>
      </c>
      <c r="C95" s="1007">
        <f ca="1">190503000
+0.15*(CO2_seq)/(CEPCIinflator*CPIinflator)</f>
        <v>196602817.28702733</v>
      </c>
      <c r="D95" s="1024">
        <f t="shared" si="0"/>
        <v>1.1446359956438654</v>
      </c>
      <c r="E95" s="1009">
        <f t="shared" ca="1" si="1"/>
        <v>225038661.51172549</v>
      </c>
      <c r="F95" s="1546"/>
      <c r="G95" s="995"/>
    </row>
    <row r="96" spans="1:7" ht="31.5" customHeight="1" x14ac:dyDescent="0.25">
      <c r="A96" s="465" t="s">
        <v>159</v>
      </c>
      <c r="B96" s="321" t="s">
        <v>350</v>
      </c>
      <c r="C96" s="1007"/>
      <c r="D96" s="1024">
        <f t="shared" si="0"/>
        <v>1.1446359956438654</v>
      </c>
      <c r="E96" s="1009">
        <f t="shared" si="1"/>
        <v>0</v>
      </c>
      <c r="F96" s="992"/>
      <c r="G96" s="1547"/>
    </row>
    <row r="97" spans="1:7" ht="17.100000000000001" customHeight="1" x14ac:dyDescent="0.25">
      <c r="A97" s="465" t="s">
        <v>29</v>
      </c>
      <c r="B97" s="321" t="s">
        <v>349</v>
      </c>
      <c r="C97" s="1007"/>
      <c r="D97" s="1024">
        <f t="shared" si="0"/>
        <v>1.1446359956438654</v>
      </c>
      <c r="E97" s="1009">
        <f t="shared" si="1"/>
        <v>0</v>
      </c>
      <c r="F97" s="1546"/>
      <c r="G97" s="995"/>
    </row>
    <row r="98" spans="1:7" ht="21.75" customHeight="1" thickBot="1" x14ac:dyDescent="0.3">
      <c r="A98" s="465" t="s">
        <v>169</v>
      </c>
      <c r="B98" s="322" t="s">
        <v>713</v>
      </c>
      <c r="C98" s="1007">
        <v>0</v>
      </c>
      <c r="D98" s="1025">
        <f t="shared" si="0"/>
        <v>1.1446359956438654</v>
      </c>
      <c r="E98" s="1010">
        <f t="shared" si="1"/>
        <v>0</v>
      </c>
      <c r="F98" s="1485"/>
      <c r="G98" s="995"/>
    </row>
    <row r="99" spans="1:7" ht="20.100000000000001" customHeight="1" thickBot="1" x14ac:dyDescent="0.3">
      <c r="A99" s="465" t="s">
        <v>1011</v>
      </c>
      <c r="B99" s="327" t="s">
        <v>980</v>
      </c>
      <c r="C99"/>
      <c r="E99" s="857">
        <f ca="1">direct_cap+CO2_seq+SUM($E$92:$E$98)</f>
        <v>1766247150.7731481</v>
      </c>
      <c r="F99" s="996"/>
      <c r="G99" s="997"/>
    </row>
    <row r="100" spans="1:7" x14ac:dyDescent="0.25">
      <c r="A100" s="465"/>
      <c r="B100" s="321"/>
      <c r="C100" s="319"/>
      <c r="D100" s="1583" t="s">
        <v>845</v>
      </c>
      <c r="E100"/>
      <c r="F100" s="996"/>
      <c r="G100" s="474"/>
    </row>
    <row r="101" spans="1:7" ht="30.75" customHeight="1" thickBot="1" x14ac:dyDescent="0.3">
      <c r="A101" s="465"/>
      <c r="B101" s="327" t="s">
        <v>351</v>
      </c>
      <c r="C101" s="979" t="str">
        <f>"Enter values in basis year (" &amp; BasisYear &amp; ") dollars"</f>
        <v>Enter values in basis year (2007) dollars</v>
      </c>
      <c r="D101" s="1584"/>
      <c r="E101" s="979" t="str">
        <f xml:space="preserve"> "Reference Year ("&amp; ref_year &amp; ") Dollars"</f>
        <v>Reference Year (2016) Dollars</v>
      </c>
      <c r="F101" s="996"/>
      <c r="G101" s="474"/>
    </row>
    <row r="102" spans="1:7" ht="27.75" customHeight="1" thickBot="1" x14ac:dyDescent="0.3">
      <c r="A102" s="465" t="s">
        <v>1094</v>
      </c>
      <c r="B102" s="321" t="s">
        <v>352</v>
      </c>
      <c r="C102" s="1004">
        <v>5000</v>
      </c>
      <c r="D102" s="1023">
        <f>CPIinflator</f>
        <v>1.1446359956438654</v>
      </c>
      <c r="E102" s="989">
        <f>C102*D102</f>
        <v>5723.1799782193275</v>
      </c>
      <c r="F102" s="996"/>
      <c r="G102" s="474"/>
    </row>
    <row r="103" spans="1:7" ht="25.5" customHeight="1" thickBot="1" x14ac:dyDescent="0.3">
      <c r="A103" s="465" t="s">
        <v>1095</v>
      </c>
      <c r="B103" s="321" t="s">
        <v>353</v>
      </c>
      <c r="C103" s="1572">
        <v>180</v>
      </c>
      <c r="D103" s="1008">
        <f>Scale_Factor *1</f>
        <v>1</v>
      </c>
      <c r="E103" s="986">
        <f>C103*D103</f>
        <v>180</v>
      </c>
      <c r="F103" s="996"/>
      <c r="G103" s="474"/>
    </row>
    <row r="104" spans="1:7" ht="27" customHeight="1" thickBot="1" x14ac:dyDescent="0.3">
      <c r="A104" s="465" t="s">
        <v>1012</v>
      </c>
      <c r="B104" s="321" t="s">
        <v>981</v>
      </c>
      <c r="C104" s="1012"/>
      <c r="D104" s="1012"/>
      <c r="E104" s="857">
        <f>acre_cost*acres</f>
        <v>1030172.3960794789</v>
      </c>
      <c r="F104" s="996"/>
      <c r="G104" s="474"/>
    </row>
    <row r="105" spans="1:7" ht="17.100000000000001" customHeight="1" thickBot="1" x14ac:dyDescent="0.3">
      <c r="A105" s="465"/>
      <c r="B105" s="321" t="s">
        <v>1013</v>
      </c>
      <c r="C105" s="1004"/>
      <c r="D105" s="1023">
        <f>CPIinflator</f>
        <v>1.1446359956438654</v>
      </c>
      <c r="E105" s="857">
        <f>C105*D105</f>
        <v>0</v>
      </c>
      <c r="F105" s="996"/>
      <c r="G105" s="997"/>
    </row>
    <row r="106" spans="1:7" ht="20.100000000000001" customHeight="1" thickBot="1" x14ac:dyDescent="0.3">
      <c r="A106" s="465" t="s">
        <v>1019</v>
      </c>
      <c r="B106" s="327" t="s">
        <v>982</v>
      </c>
      <c r="C106" s="1012"/>
      <c r="D106" s="1012"/>
      <c r="E106" s="244">
        <f>land_cost+$E$105</f>
        <v>1030172.3960794789</v>
      </c>
      <c r="F106" s="475"/>
      <c r="G106" s="474"/>
    </row>
    <row r="107" spans="1:7" ht="13.8" thickBot="1" x14ac:dyDescent="0.3">
      <c r="A107" s="465"/>
      <c r="B107" s="321"/>
      <c r="C107" s="319"/>
      <c r="D107" s="1012"/>
      <c r="E107" s="475"/>
      <c r="F107" s="475"/>
      <c r="G107" s="474"/>
    </row>
    <row r="108" spans="1:7" ht="20.100000000000001" customHeight="1" thickBot="1" x14ac:dyDescent="0.3">
      <c r="A108" s="465" t="s">
        <v>1020</v>
      </c>
      <c r="B108" s="327" t="s">
        <v>996</v>
      </c>
      <c r="C108" s="243">
        <f ca="1">(depr_cap+non_dep_cap)*sensitivity_06</f>
        <v>1767277323.1692276</v>
      </c>
      <c r="D108" s="1012"/>
      <c r="E108" s="1011"/>
      <c r="F108" s="475"/>
      <c r="G108" s="474"/>
    </row>
    <row r="109" spans="1:7" ht="13.8" thickBot="1" x14ac:dyDescent="0.3">
      <c r="A109" s="465"/>
      <c r="B109" s="321"/>
      <c r="C109" s="319"/>
      <c r="D109" s="1012"/>
      <c r="E109" s="475"/>
      <c r="F109" s="475"/>
      <c r="G109" s="474"/>
    </row>
    <row r="110" spans="1:7" ht="44.25" customHeight="1" thickTop="1" thickBot="1" x14ac:dyDescent="0.3">
      <c r="A110" s="465"/>
      <c r="B110" s="497" t="s">
        <v>354</v>
      </c>
      <c r="C110" s="1018" t="str">
        <f>"Enter values in basis year (" &amp; BasisYear &amp; ") dollars"</f>
        <v>Enter values in basis year (2007) dollars</v>
      </c>
      <c r="D110" s="1018" t="s">
        <v>845</v>
      </c>
      <c r="E110" s="1018" t="str">
        <f xml:space="preserve"> "Reference Year ("&amp; ref_year &amp; ") Dollars"</f>
        <v>Reference Year (2016) Dollars</v>
      </c>
      <c r="F110" s="498"/>
      <c r="G110" s="500"/>
    </row>
    <row r="111" spans="1:7" s="35" customFormat="1" ht="29.25" customHeight="1" thickBot="1" x14ac:dyDescent="0.3">
      <c r="A111" s="465" t="s">
        <v>1023</v>
      </c>
      <c r="B111" s="322" t="s">
        <v>355</v>
      </c>
      <c r="C111" s="1551">
        <f>16*3</f>
        <v>48</v>
      </c>
      <c r="D111" s="1005">
        <f>Scale_Ratio^0.25</f>
        <v>1</v>
      </c>
      <c r="E111" s="1016">
        <f>C111*D111</f>
        <v>48</v>
      </c>
      <c r="F111" s="998"/>
      <c r="G111" s="1014"/>
    </row>
    <row r="112" spans="1:7" s="35" customFormat="1" ht="17.25" customHeight="1" thickBot="1" x14ac:dyDescent="0.3">
      <c r="A112" s="465" t="s">
        <v>1024</v>
      </c>
      <c r="B112" s="322" t="s">
        <v>356</v>
      </c>
      <c r="C112" s="1564">
        <f>34.65*1.3</f>
        <v>45.045000000000002</v>
      </c>
      <c r="D112" s="1023">
        <f>VLOOKUP(ref_year,Tbl_labor_indexes,2,FALSE)/VLOOKUP(BasisYear,Tbl_labor_indexes,2,FALSE)</f>
        <v>1.1618925831202043</v>
      </c>
      <c r="E112" s="991">
        <f>C112*D112</f>
        <v>52.337451406649606</v>
      </c>
      <c r="F112" s="1565"/>
      <c r="G112" s="1014"/>
    </row>
    <row r="113" spans="1:8" s="35" customFormat="1" ht="17.100000000000001" customHeight="1" thickBot="1" x14ac:dyDescent="0.3">
      <c r="A113" s="465" t="s">
        <v>1014</v>
      </c>
      <c r="B113" s="322" t="s">
        <v>997</v>
      </c>
      <c r="C113" s="1012"/>
      <c r="D113" s="1012"/>
      <c r="E113" s="858">
        <f>FTEs*2080*FTE_cost</f>
        <v>5225371.1484398963</v>
      </c>
      <c r="F113" s="998"/>
      <c r="G113" s="1014"/>
    </row>
    <row r="114" spans="1:8" s="35" customFormat="1" ht="17.100000000000001" customHeight="1" thickBot="1" x14ac:dyDescent="0.3">
      <c r="A114" s="465" t="s">
        <v>160</v>
      </c>
      <c r="B114" s="322" t="s">
        <v>357</v>
      </c>
      <c r="C114" s="477">
        <v>0.25</v>
      </c>
      <c r="D114" s="1012"/>
      <c r="F114" s="998"/>
      <c r="G114" s="1014"/>
    </row>
    <row r="115" spans="1:8" s="35" customFormat="1" ht="17.100000000000001" customHeight="1" thickBot="1" x14ac:dyDescent="0.3">
      <c r="A115" s="465" t="s">
        <v>1017</v>
      </c>
      <c r="B115" s="322" t="s">
        <v>990</v>
      </c>
      <c r="C115" s="1012"/>
      <c r="D115" s="1012"/>
      <c r="E115" s="981">
        <f>labor_cost*overhead_rate</f>
        <v>1306342.7871099741</v>
      </c>
      <c r="F115" s="1565"/>
      <c r="G115" s="1014"/>
    </row>
    <row r="116" spans="1:8" s="35" customFormat="1" ht="17.100000000000001" customHeight="1" thickBot="1" x14ac:dyDescent="0.3">
      <c r="A116" s="465" t="s">
        <v>31</v>
      </c>
      <c r="B116" s="322" t="s">
        <v>358</v>
      </c>
      <c r="C116" s="1004">
        <v>0</v>
      </c>
      <c r="D116" s="1023">
        <f>Scale_Factor *CEPCIinflator*CPIinflator</f>
        <v>1.1446359956438654</v>
      </c>
      <c r="E116" s="987">
        <f>C116*D116</f>
        <v>0</v>
      </c>
      <c r="F116" s="998"/>
      <c r="G116" s="1014"/>
    </row>
    <row r="117" spans="1:8" s="35" customFormat="1" ht="26.25" customHeight="1" thickBot="1" x14ac:dyDescent="0.3">
      <c r="A117" s="465" t="s">
        <v>186</v>
      </c>
      <c r="B117" s="322" t="s">
        <v>1098</v>
      </c>
      <c r="C117" s="988">
        <v>0.02</v>
      </c>
      <c r="D117" s="1026"/>
      <c r="F117" s="998"/>
      <c r="G117" s="1014"/>
    </row>
    <row r="118" spans="1:8" s="35" customFormat="1" ht="17.100000000000001" customHeight="1" thickBot="1" x14ac:dyDescent="0.3">
      <c r="A118" s="465" t="s">
        <v>1015</v>
      </c>
      <c r="B118" s="321" t="s">
        <v>995</v>
      </c>
      <c r="C118" s="1012"/>
      <c r="D118" s="1026"/>
      <c r="E118" s="894">
        <f ca="1">tax_ins_rate*total_cap</f>
        <v>35345546.463384554</v>
      </c>
      <c r="F118" s="998"/>
      <c r="G118" s="1014"/>
    </row>
    <row r="119" spans="1:8" s="35" customFormat="1" ht="17.100000000000001" customHeight="1" thickBot="1" x14ac:dyDescent="0.3">
      <c r="A119" s="465" t="s">
        <v>175</v>
      </c>
      <c r="B119" s="321" t="s">
        <v>359</v>
      </c>
      <c r="C119" s="1004">
        <v>0</v>
      </c>
      <c r="D119" s="1023">
        <f>Scale_Factor *CPIinflator</f>
        <v>1.1446359956438654</v>
      </c>
      <c r="E119" s="989">
        <f>C119*D119</f>
        <v>0</v>
      </c>
      <c r="F119" s="998"/>
      <c r="G119" s="1014"/>
    </row>
    <row r="120" spans="1:8" s="35" customFormat="1" ht="27" customHeight="1" thickBot="1" x14ac:dyDescent="0.3">
      <c r="A120" s="465" t="s">
        <v>1025</v>
      </c>
      <c r="B120" s="322" t="s">
        <v>360</v>
      </c>
      <c r="C120" s="1004">
        <v>28217867</v>
      </c>
      <c r="D120" s="1023">
        <f>Scale_Factor *CEPCIinflator*CPIinflator</f>
        <v>1.1446359956438654</v>
      </c>
      <c r="E120" s="990">
        <f>C120*D120</f>
        <v>32299186.288491175</v>
      </c>
      <c r="F120" s="1570" t="s">
        <v>1464</v>
      </c>
      <c r="G120" s="1014"/>
      <c r="H120" s="830"/>
    </row>
    <row r="121" spans="1:8" s="35" customFormat="1" ht="17.100000000000001" customHeight="1" thickBot="1" x14ac:dyDescent="0.3">
      <c r="A121" s="465" t="s">
        <v>172</v>
      </c>
      <c r="B121" s="322" t="s">
        <v>361</v>
      </c>
      <c r="C121" s="1004">
        <v>13063827</v>
      </c>
      <c r="D121" s="1023">
        <f>Scale_Factor *CEPCIinflator*CPIinflator</f>
        <v>1.1446359956438654</v>
      </c>
      <c r="E121" s="1567">
        <f>C121*D121</f>
        <v>14953326.625064211</v>
      </c>
      <c r="F121" s="1570" t="s">
        <v>1464</v>
      </c>
      <c r="G121" s="1014"/>
    </row>
    <row r="122" spans="1:8" s="35" customFormat="1" ht="17.100000000000001" customHeight="1" thickBot="1" x14ac:dyDescent="0.3">
      <c r="A122" s="465" t="s">
        <v>157</v>
      </c>
      <c r="B122" s="321" t="s">
        <v>362</v>
      </c>
      <c r="C122" s="1004">
        <v>1578377</v>
      </c>
      <c r="D122" s="1023">
        <f>Scale_Ratio * CEPCIinflator*CPIinflator</f>
        <v>1.1446359956438654</v>
      </c>
      <c r="E122" s="508">
        <f>C122*D122</f>
        <v>1806667.1288963773</v>
      </c>
      <c r="F122" s="1570" t="s">
        <v>1447</v>
      </c>
      <c r="G122" s="1014"/>
    </row>
    <row r="123" spans="1:8" s="35" customFormat="1" ht="17.100000000000001" customHeight="1" thickBot="1" x14ac:dyDescent="0.3">
      <c r="A123" s="465" t="s">
        <v>158</v>
      </c>
      <c r="B123" s="321" t="s">
        <v>363</v>
      </c>
      <c r="C123" s="1004">
        <f>430000+210000</f>
        <v>640000</v>
      </c>
      <c r="D123" s="1023">
        <f>Scale_Factor *CEPCIinflator*CPIinflator</f>
        <v>1.1446359956438654</v>
      </c>
      <c r="E123" s="244">
        <f>C123*D123</f>
        <v>732567.03721207392</v>
      </c>
      <c r="F123" s="1570" t="s">
        <v>1450</v>
      </c>
      <c r="G123" s="1014"/>
    </row>
    <row r="124" spans="1:8" s="35" customFormat="1" ht="24" customHeight="1" thickBot="1" x14ac:dyDescent="0.3">
      <c r="A124" s="465" t="s">
        <v>1016</v>
      </c>
      <c r="B124" s="327" t="s">
        <v>998</v>
      </c>
      <c r="C124" s="1012"/>
      <c r="D124" s="1012"/>
      <c r="E124" s="857">
        <f ca="1">(labor_cost+overhead_GA+tax_insurance+licensing+SUM(E119:E123))*sensitivity_07</f>
        <v>91669007.478598267</v>
      </c>
      <c r="F124" s="1013"/>
      <c r="G124" s="1015"/>
    </row>
    <row r="125" spans="1:8" s="35" customFormat="1" ht="13.8" thickBot="1" x14ac:dyDescent="0.3">
      <c r="A125" s="465"/>
      <c r="B125" s="322"/>
      <c r="C125" s="325"/>
      <c r="D125" s="511"/>
      <c r="E125" s="319"/>
      <c r="F125" s="319"/>
      <c r="G125" s="320"/>
    </row>
    <row r="126" spans="1:8" s="35" customFormat="1" ht="26.25" customHeight="1" thickTop="1" thickBot="1" x14ac:dyDescent="0.3">
      <c r="A126" s="465"/>
      <c r="B126" s="490" t="s">
        <v>949</v>
      </c>
      <c r="C126" s="491"/>
      <c r="D126" s="492"/>
      <c r="E126" s="493"/>
      <c r="F126" s="492"/>
      <c r="G126" s="494"/>
    </row>
    <row r="127" spans="1:8" customFormat="1" ht="15" customHeight="1" thickTop="1" x14ac:dyDescent="0.25">
      <c r="A127" s="465"/>
      <c r="B127" s="505" t="s">
        <v>1045</v>
      </c>
      <c r="C127" s="506"/>
      <c r="D127" s="506"/>
      <c r="E127" s="506"/>
      <c r="F127" s="506"/>
      <c r="G127" s="507"/>
    </row>
    <row r="128" spans="1:8" customFormat="1" ht="15" customHeight="1" x14ac:dyDescent="0.25">
      <c r="A128" s="465"/>
      <c r="B128" s="450"/>
      <c r="C128" s="448"/>
      <c r="D128" s="448"/>
      <c r="E128" s="448"/>
      <c r="F128" s="448"/>
      <c r="G128" s="449"/>
    </row>
    <row r="129" spans="1:7" customFormat="1" ht="24" customHeight="1" thickBot="1" x14ac:dyDescent="0.3">
      <c r="A129" s="465"/>
      <c r="B129" s="432" t="s">
        <v>1052</v>
      </c>
      <c r="C129" s="448"/>
      <c r="D129" s="448"/>
      <c r="E129" s="448"/>
      <c r="F129" s="448"/>
      <c r="G129" s="449"/>
    </row>
    <row r="130" spans="1:7" customFormat="1" ht="24" customHeight="1" thickBot="1" x14ac:dyDescent="0.3">
      <c r="A130" s="465"/>
      <c r="B130" s="476" t="s">
        <v>1048</v>
      </c>
      <c r="C130" s="448"/>
      <c r="D130" s="448"/>
      <c r="E130" s="448"/>
      <c r="F130" s="448"/>
      <c r="G130" s="449"/>
    </row>
    <row r="131" spans="1:7" customFormat="1" ht="24" customHeight="1" thickBot="1" x14ac:dyDescent="0.3">
      <c r="A131" s="465"/>
      <c r="B131" s="454" t="s">
        <v>1073</v>
      </c>
      <c r="C131" s="1579" t="str">
        <f>B130</f>
        <v>Process Water</v>
      </c>
      <c r="D131" s="1580"/>
      <c r="E131" s="448"/>
      <c r="F131" s="448"/>
      <c r="G131" s="449"/>
    </row>
    <row r="132" spans="1:7" customFormat="1" ht="18.75" customHeight="1" thickBot="1" x14ac:dyDescent="0.3">
      <c r="A132" s="465"/>
      <c r="B132" s="437" t="str">
        <f ca="1">"$(" &amp; ref_year &amp; ")/ " &amp; VLOOKUP(TMP_NonE_Feed,Tbl_Other_Inputs_and_Byproducts,2,FALSE)</f>
        <v>$(2016)/ gal</v>
      </c>
      <c r="C132" s="480">
        <f ca="1">HLOOKUP(startup_year,Tbl_Other_Inputs_and_Byproducts,MATCH(TMP_NonE_Feed,Other_Inputs_List,0),FALSE)</f>
        <v>2.374951094500801E-3</v>
      </c>
      <c r="D132" s="448"/>
      <c r="E132" s="448"/>
      <c r="F132" s="448"/>
      <c r="G132" s="449"/>
    </row>
    <row r="133" spans="1:7" customFormat="1" ht="18" customHeight="1" thickBot="1" x14ac:dyDescent="0.3">
      <c r="A133" s="465"/>
      <c r="B133" s="442" t="str">
        <f>IF(TMP_NonE_Type="Feed or utility","Usage per kg H2","Production per kg H2")</f>
        <v>Usage per kg H2</v>
      </c>
      <c r="C133" s="1539"/>
      <c r="D133" s="448"/>
      <c r="E133" s="448"/>
      <c r="F133" s="448"/>
      <c r="G133" s="449"/>
    </row>
    <row r="134" spans="1:7" customFormat="1" ht="19.5" customHeight="1" thickBot="1" x14ac:dyDescent="0.3">
      <c r="A134" s="465"/>
      <c r="B134" s="442" t="str">
        <f>IF(TMP_NonE_Type = "Feed or utility", "Cost in Startup Year","Income in Startup Year")</f>
        <v>Cost in Startup Year</v>
      </c>
      <c r="C134" s="453">
        <f ca="1">design_cap*365*cap_factor*TMP_NonE_Usage*TMP_NonE_StartPrice</f>
        <v>0</v>
      </c>
      <c r="D134" s="448"/>
      <c r="E134" s="448"/>
      <c r="F134" s="448"/>
      <c r="G134" s="449"/>
    </row>
    <row r="135" spans="1:7" customFormat="1" ht="24" customHeight="1" thickBot="1" x14ac:dyDescent="0.3">
      <c r="A135" s="465"/>
      <c r="B135" s="451" t="s">
        <v>262</v>
      </c>
      <c r="C135" s="455" t="s">
        <v>23</v>
      </c>
      <c r="D135" s="452"/>
      <c r="E135" s="452"/>
      <c r="F135" s="452"/>
      <c r="G135" s="444"/>
    </row>
    <row r="136" spans="1:7" customFormat="1" ht="24" customHeight="1" x14ac:dyDescent="0.25">
      <c r="A136" s="468" t="s">
        <v>1054</v>
      </c>
      <c r="B136" s="328"/>
      <c r="C136" s="329"/>
      <c r="D136" s="329"/>
      <c r="E136" s="330"/>
      <c r="F136" s="329"/>
      <c r="G136" s="331"/>
    </row>
    <row r="137" spans="1:7" customFormat="1" ht="24" customHeight="1" x14ac:dyDescent="0.25">
      <c r="A137" s="468"/>
      <c r="B137" s="328" t="s">
        <v>1073</v>
      </c>
      <c r="C137" s="329" t="s">
        <v>1433</v>
      </c>
      <c r="D137" s="329" t="s">
        <v>1434</v>
      </c>
      <c r="E137" s="330" t="s">
        <v>836</v>
      </c>
      <c r="F137" s="329" t="s">
        <v>262</v>
      </c>
      <c r="G137" s="331"/>
    </row>
    <row r="138" spans="1:7" customFormat="1" ht="24" customHeight="1" x14ac:dyDescent="0.25">
      <c r="A138" s="468"/>
      <c r="B138" s="328" t="s">
        <v>1048</v>
      </c>
      <c r="C138" s="329">
        <v>2.374951094500801E-3</v>
      </c>
      <c r="D138" s="329">
        <v>10.060103144751638</v>
      </c>
      <c r="E138" s="330">
        <v>4857784.2474712571</v>
      </c>
      <c r="F138" s="329" t="s">
        <v>23</v>
      </c>
      <c r="G138" s="331"/>
    </row>
    <row r="139" spans="1:7" customFormat="1" ht="15.9" customHeight="1" x14ac:dyDescent="0.25">
      <c r="A139" s="465" t="s">
        <v>1055</v>
      </c>
      <c r="B139" s="328"/>
      <c r="C139" s="334"/>
      <c r="D139" s="334"/>
      <c r="E139" s="335"/>
      <c r="F139" s="334"/>
      <c r="G139" s="331"/>
    </row>
    <row r="140" spans="1:7" customFormat="1" ht="15.9" customHeight="1" thickBot="1" x14ac:dyDescent="0.3">
      <c r="A140" s="465" t="s">
        <v>1056</v>
      </c>
      <c r="B140" s="328"/>
      <c r="C140" s="329"/>
      <c r="D140" s="329"/>
      <c r="E140" s="335"/>
      <c r="F140" s="329"/>
      <c r="G140" s="331"/>
    </row>
    <row r="141" spans="1:7" customFormat="1" ht="17.100000000000001" customHeight="1" thickBot="1" x14ac:dyDescent="0.3">
      <c r="A141" s="465"/>
      <c r="B141" s="333" t="s">
        <v>863</v>
      </c>
      <c r="C141" s="245">
        <f>SUM(Dynamic_NonE_Feed_Total)</f>
        <v>4857784.2474712571</v>
      </c>
      <c r="D141" s="472"/>
      <c r="E141" s="1587"/>
      <c r="F141" s="1587"/>
      <c r="G141" s="1577"/>
    </row>
    <row r="142" spans="1:7" customFormat="1" ht="17.100000000000001" customHeight="1" thickBot="1" x14ac:dyDescent="0.3">
      <c r="A142" s="465" t="s">
        <v>257</v>
      </c>
      <c r="B142" s="333" t="s">
        <v>279</v>
      </c>
      <c r="C142" s="245">
        <f>SUM(Dynamic_NonE_Byprod_Total)</f>
        <v>0</v>
      </c>
      <c r="D142" s="472"/>
      <c r="E142" s="1587"/>
      <c r="F142" s="1587"/>
      <c r="G142" s="1577"/>
    </row>
    <row r="143" spans="1:7" customFormat="1" ht="26.4" customHeight="1" thickBot="1" x14ac:dyDescent="0.3">
      <c r="A143" s="465"/>
      <c r="B143" s="333"/>
      <c r="C143" s="329"/>
      <c r="D143" s="478"/>
      <c r="E143" s="1587"/>
      <c r="F143" s="1587"/>
      <c r="G143" s="1577"/>
    </row>
    <row r="144" spans="1:7" customFormat="1" ht="17.100000000000001" customHeight="1" thickBot="1" x14ac:dyDescent="0.3">
      <c r="A144" s="465" t="s">
        <v>250</v>
      </c>
      <c r="B144" s="327" t="s">
        <v>253</v>
      </c>
      <c r="C144" s="243">
        <f>Total_Energy_Feed_Cost</f>
        <v>46800468.681543432</v>
      </c>
      <c r="D144" s="472"/>
      <c r="E144" s="1581"/>
      <c r="F144" s="1581"/>
      <c r="G144" s="1582"/>
    </row>
    <row r="145" spans="1:7" customFormat="1" ht="17.100000000000001" customHeight="1" thickBot="1" x14ac:dyDescent="0.3">
      <c r="A145" s="465" t="s">
        <v>664</v>
      </c>
      <c r="B145" s="327" t="s">
        <v>254</v>
      </c>
      <c r="C145" s="243">
        <f>Total_Energy_Utilities_Cost+Total_Non_Energy_Feed_Cost</f>
        <v>24239958.645862814</v>
      </c>
      <c r="D145" s="472"/>
      <c r="E145" s="1581"/>
      <c r="F145" s="1581"/>
      <c r="G145" s="1582"/>
    </row>
    <row r="146" spans="1:7" customFormat="1" ht="31.5" customHeight="1" thickBot="1" x14ac:dyDescent="0.3">
      <c r="A146" s="465" t="s">
        <v>665</v>
      </c>
      <c r="B146" s="327" t="s">
        <v>255</v>
      </c>
      <c r="C146" s="508">
        <f>Total_Energy_Byproduct_Credit+total_non_energy_byproduct_credit</f>
        <v>0</v>
      </c>
      <c r="D146" s="472"/>
      <c r="E146" s="1592"/>
      <c r="F146" s="1592"/>
      <c r="G146" s="1593"/>
    </row>
    <row r="147" spans="1:7" customFormat="1" ht="45.75" customHeight="1" thickTop="1" thickBot="1" x14ac:dyDescent="0.3">
      <c r="A147" s="465"/>
      <c r="B147" s="505" t="s">
        <v>816</v>
      </c>
      <c r="C147" s="1018" t="str">
        <f>"Enter values in basis year (" &amp; BasisYear &amp; ") dollars"</f>
        <v>Enter values in basis year (2007) dollars</v>
      </c>
      <c r="D147" s="1018" t="s">
        <v>845</v>
      </c>
      <c r="E147" s="1018" t="str">
        <f xml:space="preserve"> "Reference Year ("&amp; ref_year &amp; ") Dollars"</f>
        <v>Reference Year (2016) Dollars</v>
      </c>
      <c r="F147" s="509"/>
      <c r="G147" s="510"/>
    </row>
    <row r="148" spans="1:7" s="35" customFormat="1" ht="39" customHeight="1" thickBot="1" x14ac:dyDescent="0.3">
      <c r="A148" s="465" t="s">
        <v>187</v>
      </c>
      <c r="B148" s="321" t="s">
        <v>364</v>
      </c>
      <c r="C148" s="1004">
        <v>40000</v>
      </c>
      <c r="D148" s="1023">
        <f>Scale_Ratio * VLOOKUP(ref_year,Chemical_price_indexes,2,FALSE)/VLOOKUP(BasisYear,Chemical_price_indexes,2,FALSE)</f>
        <v>1.3138219380226268</v>
      </c>
      <c r="E148" s="508">
        <f>C148*D148</f>
        <v>52552.877520905073</v>
      </c>
      <c r="F148" s="1590" t="s">
        <v>1451</v>
      </c>
      <c r="G148" s="1591"/>
    </row>
    <row r="149" spans="1:7" s="35" customFormat="1" ht="38.25" customHeight="1" thickBot="1" x14ac:dyDescent="0.3">
      <c r="A149" s="465" t="s">
        <v>280</v>
      </c>
      <c r="B149" s="611" t="s">
        <v>930</v>
      </c>
      <c r="C149" s="1004">
        <f>705659+422527+98008</f>
        <v>1226194</v>
      </c>
      <c r="D149" s="1023">
        <f>Scale_Ratio * VLOOKUP(ref_year,Chemical_price_indexes,2,FALSE)/VLOOKUP(BasisYear,Chemical_price_indexes,2,FALSE)</f>
        <v>1.3138219380226268</v>
      </c>
      <c r="E149" s="508">
        <f>C149*D149</f>
        <v>1611000.5774717168</v>
      </c>
      <c r="F149" s="998"/>
      <c r="G149" s="1014"/>
    </row>
    <row r="150" spans="1:7" s="35" customFormat="1" ht="17.100000000000001" customHeight="1" thickBot="1" x14ac:dyDescent="0.3">
      <c r="A150" s="465" t="s">
        <v>188</v>
      </c>
      <c r="B150" s="322" t="s">
        <v>365</v>
      </c>
      <c r="C150" s="1004">
        <f>1475332+35878</f>
        <v>1511210</v>
      </c>
      <c r="D150" s="1023">
        <f>Scale_Ratio * VLOOKUP(ref_year,Chemical_price_indexes,2,FALSE)/VLOOKUP(BasisYear,Chemical_price_indexes,2,FALSE)</f>
        <v>1.3138219380226268</v>
      </c>
      <c r="E150" s="508">
        <f>C150*D150</f>
        <v>1985460.8509591739</v>
      </c>
      <c r="F150" s="998"/>
      <c r="G150" s="1014"/>
    </row>
    <row r="151" spans="1:7" s="35" customFormat="1" ht="17.100000000000001" customHeight="1" thickBot="1" x14ac:dyDescent="0.3">
      <c r="A151" s="465" t="s">
        <v>180</v>
      </c>
      <c r="B151" s="322" t="s">
        <v>366</v>
      </c>
      <c r="C151" s="1004">
        <v>3417604</v>
      </c>
      <c r="D151" s="1023">
        <f>Scale_Ratio * VLOOKUP(ref_year,Chemical_price_indexes,2,FALSE)/VLOOKUP(BasisYear,Chemical_price_indexes,2,FALSE)</f>
        <v>1.3138219380226268</v>
      </c>
      <c r="E151" s="508">
        <f>C151*D151</f>
        <v>4490123.1106738811</v>
      </c>
      <c r="F151" s="998"/>
      <c r="G151" s="1014"/>
    </row>
    <row r="152" spans="1:7" s="35" customFormat="1" ht="28.5" customHeight="1" thickBot="1" x14ac:dyDescent="0.3">
      <c r="A152" s="465" t="s">
        <v>176</v>
      </c>
      <c r="B152" s="322" t="s">
        <v>367</v>
      </c>
      <c r="C152" s="1257">
        <v>5.0000000000000001E-3</v>
      </c>
      <c r="D152"/>
      <c r="E152" s="1588" t="s">
        <v>1206</v>
      </c>
      <c r="F152" s="1588"/>
      <c r="G152" s="1589"/>
    </row>
    <row r="153" spans="1:7" s="35" customFormat="1" ht="17.100000000000001" customHeight="1" thickBot="1" x14ac:dyDescent="0.3">
      <c r="A153" s="465" t="s">
        <v>177</v>
      </c>
      <c r="B153" s="322" t="s">
        <v>368</v>
      </c>
      <c r="C153" s="1004">
        <v>0</v>
      </c>
      <c r="D153" s="1023">
        <f>Scale_Ratio * CPIinflator</f>
        <v>1.1446359956438654</v>
      </c>
      <c r="E153" s="990">
        <v>0</v>
      </c>
      <c r="F153" s="998"/>
      <c r="G153" s="1014"/>
    </row>
    <row r="154" spans="1:7" s="35" customFormat="1" ht="17.100000000000001" customHeight="1" thickBot="1" x14ac:dyDescent="0.3">
      <c r="A154" s="465" t="s">
        <v>156</v>
      </c>
      <c r="B154" s="322" t="s">
        <v>369</v>
      </c>
      <c r="C154" s="1004">
        <v>0</v>
      </c>
      <c r="D154" s="1023">
        <f>Scale_Ratio * CPIinflator</f>
        <v>1.1446359956438654</v>
      </c>
      <c r="E154" s="990">
        <v>0</v>
      </c>
      <c r="F154" s="998"/>
      <c r="G154" s="1014"/>
    </row>
    <row r="155" spans="1:7" s="35" customFormat="1" ht="17.100000000000001" customHeight="1" thickBot="1" x14ac:dyDescent="0.3">
      <c r="A155" s="465" t="s">
        <v>185</v>
      </c>
      <c r="B155" s="322" t="s">
        <v>370</v>
      </c>
      <c r="C155" s="1004">
        <v>0</v>
      </c>
      <c r="D155" s="1023">
        <f>Scale_Ratio * CPIinflator</f>
        <v>1.1446359956438654</v>
      </c>
      <c r="E155" s="990">
        <v>0</v>
      </c>
      <c r="F155" s="1002"/>
      <c r="G155" s="1003"/>
    </row>
    <row r="156" spans="1:7" s="35" customFormat="1" ht="17.100000000000001" customHeight="1" thickBot="1" x14ac:dyDescent="0.3">
      <c r="A156" s="465" t="s">
        <v>9</v>
      </c>
      <c r="B156" s="322" t="s">
        <v>961</v>
      </c>
      <c r="C156"/>
      <c r="D156" s="1027"/>
      <c r="E156" s="990">
        <f ca="1">Det_CO2_OandMcost</f>
        <v>24275151.817691971</v>
      </c>
      <c r="F156" s="1002"/>
      <c r="G156" s="1577"/>
    </row>
    <row r="157" spans="1:7" s="35" customFormat="1" ht="17.100000000000001" customHeight="1" thickBot="1" x14ac:dyDescent="0.3">
      <c r="A157" s="465"/>
      <c r="B157" s="322" t="s">
        <v>958</v>
      </c>
      <c r="C157" s="1004">
        <v>0</v>
      </c>
      <c r="D157" s="1023">
        <f>CPIinflator</f>
        <v>1.1446359956438654</v>
      </c>
      <c r="E157" s="990">
        <v>0</v>
      </c>
      <c r="F157" s="1002"/>
      <c r="G157" s="1577"/>
    </row>
    <row r="158" spans="1:7" s="35" customFormat="1" ht="17.100000000000001" customHeight="1" thickBot="1" x14ac:dyDescent="0.3">
      <c r="A158" s="465"/>
      <c r="B158" s="322" t="s">
        <v>957</v>
      </c>
      <c r="C158"/>
      <c r="D158" s="1027"/>
      <c r="E158" s="825">
        <f ca="1">ROUND(Proc_CO2_tax*12/44*Proc_CO2_MTpY,-2)</f>
        <v>0</v>
      </c>
      <c r="F158" s="1002"/>
      <c r="G158" s="1577"/>
    </row>
    <row r="159" spans="1:7" s="35" customFormat="1" ht="17.100000000000001" customHeight="1" thickBot="1" x14ac:dyDescent="0.3">
      <c r="A159" s="465"/>
      <c r="B159" s="322" t="s">
        <v>959</v>
      </c>
      <c r="C159" s="1004">
        <v>0</v>
      </c>
      <c r="D159" s="1023">
        <f>CPIinflator</f>
        <v>1.1446359956438654</v>
      </c>
      <c r="E159" s="825">
        <v>0</v>
      </c>
      <c r="F159" s="1002"/>
      <c r="G159" s="1577"/>
    </row>
    <row r="160" spans="1:7" s="35" customFormat="1" ht="17.100000000000001" customHeight="1" thickBot="1" x14ac:dyDescent="0.3">
      <c r="A160" s="465"/>
      <c r="B160" s="322" t="s">
        <v>960</v>
      </c>
      <c r="C160" s="1021"/>
      <c r="D160" s="1022"/>
      <c r="E160" s="825">
        <f ca="1">ROUND(Upstream_CO2_tax/1000*Upstream_GHG_total*output_kgyear,2)</f>
        <v>0</v>
      </c>
      <c r="F160" s="821"/>
      <c r="G160" s="1577"/>
    </row>
    <row r="161" spans="1:7" s="35" customFormat="1" ht="23.25" customHeight="1" thickBot="1" x14ac:dyDescent="0.3">
      <c r="A161" s="465" t="s">
        <v>260</v>
      </c>
      <c r="B161" s="336" t="s">
        <v>258</v>
      </c>
      <c r="C161" s="1019"/>
      <c r="D161" s="1020"/>
      <c r="E161" s="827">
        <f ca="1">ROUND(total_feedstock+total_utilities+total_other_raw-total_byproducts+var_misc+waste_treat+solidwaste_treat+royalties+operator_profit-tax_credit+CO2_OandMcost+Proc_CO2_taxpYear + Upstream_CO2_taxpYear,-2)</f>
        <v>103454700</v>
      </c>
      <c r="F161" s="1017"/>
      <c r="G161" s="1578"/>
    </row>
    <row r="162" spans="1:7" s="35" customFormat="1" x14ac:dyDescent="0.25">
      <c r="A162" s="464"/>
    </row>
    <row r="163" spans="1:7" s="35" customFormat="1" x14ac:dyDescent="0.25">
      <c r="A163" s="464"/>
    </row>
    <row r="164" spans="1:7" s="35" customFormat="1" x14ac:dyDescent="0.25">
      <c r="A164" s="464"/>
    </row>
    <row r="165" spans="1:7" s="35" customFormat="1" x14ac:dyDescent="0.25">
      <c r="A165" s="464"/>
    </row>
    <row r="166" spans="1:7" s="35" customFormat="1" x14ac:dyDescent="0.25">
      <c r="A166" s="464"/>
    </row>
    <row r="167" spans="1:7" s="35" customFormat="1" x14ac:dyDescent="0.25">
      <c r="A167" s="464"/>
    </row>
    <row r="168" spans="1:7" s="35" customFormat="1" x14ac:dyDescent="0.25">
      <c r="A168" s="464"/>
    </row>
    <row r="169" spans="1:7" s="35" customFormat="1" x14ac:dyDescent="0.25">
      <c r="A169" s="464"/>
    </row>
    <row r="170" spans="1:7" s="35" customFormat="1" x14ac:dyDescent="0.25">
      <c r="A170" s="464"/>
    </row>
    <row r="171" spans="1:7" s="35" customFormat="1" x14ac:dyDescent="0.25">
      <c r="A171" s="464"/>
    </row>
    <row r="172" spans="1:7" s="35" customFormat="1" x14ac:dyDescent="0.25">
      <c r="A172" s="464"/>
    </row>
    <row r="173" spans="1:7" s="35" customFormat="1" x14ac:dyDescent="0.25">
      <c r="A173" s="464"/>
    </row>
    <row r="174" spans="1:7" s="35" customFormat="1" x14ac:dyDescent="0.25">
      <c r="A174" s="464"/>
    </row>
    <row r="175" spans="1:7" s="35" customFormat="1" x14ac:dyDescent="0.25">
      <c r="A175" s="464"/>
    </row>
    <row r="176" spans="1:7" s="35" customFormat="1" x14ac:dyDescent="0.25">
      <c r="A176" s="464"/>
    </row>
    <row r="177" spans="1:4" s="35" customFormat="1" x14ac:dyDescent="0.25">
      <c r="A177" s="464"/>
    </row>
    <row r="178" spans="1:4" s="35" customFormat="1" x14ac:dyDescent="0.25">
      <c r="A178" s="464"/>
    </row>
    <row r="179" spans="1:4" s="35" customFormat="1" x14ac:dyDescent="0.25">
      <c r="A179" s="464"/>
    </row>
    <row r="180" spans="1:4" s="35" customFormat="1" x14ac:dyDescent="0.25">
      <c r="A180" s="464"/>
    </row>
    <row r="181" spans="1:4" s="35" customFormat="1" x14ac:dyDescent="0.25">
      <c r="A181" s="464"/>
    </row>
    <row r="182" spans="1:4" s="35" customFormat="1" x14ac:dyDescent="0.25">
      <c r="A182" s="464"/>
    </row>
    <row r="183" spans="1:4" s="35" customFormat="1" x14ac:dyDescent="0.25">
      <c r="A183" s="464"/>
    </row>
    <row r="184" spans="1:4" s="35" customFormat="1" x14ac:dyDescent="0.25">
      <c r="A184" s="464"/>
    </row>
    <row r="185" spans="1:4" s="35" customFormat="1" x14ac:dyDescent="0.25">
      <c r="A185" s="464"/>
    </row>
    <row r="186" spans="1:4" s="35" customFormat="1" x14ac:dyDescent="0.25">
      <c r="A186" s="464"/>
    </row>
    <row r="187" spans="1:4" s="35" customFormat="1" x14ac:dyDescent="0.25">
      <c r="A187" s="464"/>
    </row>
    <row r="188" spans="1:4" s="35" customFormat="1" x14ac:dyDescent="0.25">
      <c r="A188" s="464"/>
      <c r="B188" s="29"/>
      <c r="C188" s="34"/>
      <c r="D188" s="29"/>
    </row>
    <row r="189" spans="1:4" s="35" customFormat="1" x14ac:dyDescent="0.25">
      <c r="A189" s="464"/>
      <c r="B189" s="29"/>
      <c r="C189" s="34"/>
      <c r="D189" s="29"/>
    </row>
    <row r="190" spans="1:4" s="35" customFormat="1" x14ac:dyDescent="0.25">
      <c r="A190" s="464"/>
      <c r="B190" s="29"/>
      <c r="C190" s="34"/>
      <c r="D190" s="29"/>
    </row>
    <row r="191" spans="1:4" s="35" customFormat="1" x14ac:dyDescent="0.25">
      <c r="A191" s="464"/>
      <c r="B191" s="29"/>
      <c r="C191" s="34"/>
      <c r="D191" s="29"/>
    </row>
    <row r="192" spans="1:4" s="35" customFormat="1" x14ac:dyDescent="0.25">
      <c r="A192" s="464"/>
      <c r="B192" s="29"/>
      <c r="C192" s="34"/>
      <c r="D192" s="29"/>
    </row>
    <row r="193" spans="1:4" s="35" customFormat="1" x14ac:dyDescent="0.25">
      <c r="A193" s="464"/>
      <c r="B193" s="29"/>
      <c r="C193" s="34"/>
      <c r="D193" s="29"/>
    </row>
    <row r="194" spans="1:4" s="35" customFormat="1" x14ac:dyDescent="0.25">
      <c r="A194" s="464"/>
      <c r="B194" s="29"/>
      <c r="C194" s="34"/>
      <c r="D194" s="29"/>
    </row>
    <row r="195" spans="1:4" s="35" customFormat="1" x14ac:dyDescent="0.25">
      <c r="A195" s="464"/>
      <c r="B195" s="29"/>
      <c r="C195" s="34"/>
      <c r="D195" s="29"/>
    </row>
    <row r="196" spans="1:4" s="35" customFormat="1" x14ac:dyDescent="0.25">
      <c r="A196" s="464"/>
      <c r="B196" s="29"/>
      <c r="C196" s="34"/>
      <c r="D196" s="29"/>
    </row>
    <row r="197" spans="1:4" s="35" customFormat="1" x14ac:dyDescent="0.25">
      <c r="A197" s="464"/>
      <c r="B197" s="29"/>
      <c r="C197" s="34"/>
      <c r="D197" s="29"/>
    </row>
    <row r="198" spans="1:4" s="35" customFormat="1" x14ac:dyDescent="0.25">
      <c r="A198" s="464"/>
      <c r="B198" s="29"/>
      <c r="C198" s="34"/>
      <c r="D198" s="29"/>
    </row>
    <row r="199" spans="1:4" s="35" customFormat="1" x14ac:dyDescent="0.25">
      <c r="A199" s="464"/>
      <c r="B199" s="29"/>
      <c r="C199" s="34"/>
      <c r="D199" s="29"/>
    </row>
    <row r="200" spans="1:4" s="35" customFormat="1" x14ac:dyDescent="0.25">
      <c r="A200" s="464"/>
      <c r="B200" s="29"/>
      <c r="C200" s="34"/>
      <c r="D200" s="29"/>
    </row>
    <row r="201" spans="1:4" s="35" customFormat="1" x14ac:dyDescent="0.25">
      <c r="A201" s="464"/>
      <c r="B201" s="29"/>
      <c r="C201" s="34"/>
      <c r="D201" s="29"/>
    </row>
    <row r="202" spans="1:4" s="35" customFormat="1" x14ac:dyDescent="0.25">
      <c r="A202" s="464"/>
      <c r="B202" s="29"/>
      <c r="C202" s="34"/>
      <c r="D202" s="29"/>
    </row>
    <row r="203" spans="1:4" s="35" customFormat="1" x14ac:dyDescent="0.25">
      <c r="A203" s="464"/>
      <c r="B203" s="29"/>
      <c r="C203" s="34"/>
      <c r="D203" s="29"/>
    </row>
    <row r="204" spans="1:4" s="35" customFormat="1" x14ac:dyDescent="0.25">
      <c r="A204" s="464"/>
      <c r="B204" s="29"/>
      <c r="C204" s="34"/>
      <c r="D204" s="29"/>
    </row>
    <row r="205" spans="1:4" s="35" customFormat="1" x14ac:dyDescent="0.25">
      <c r="A205" s="464"/>
      <c r="B205" s="29"/>
      <c r="C205" s="34"/>
      <c r="D205" s="29"/>
    </row>
    <row r="206" spans="1:4" s="35" customFormat="1" x14ac:dyDescent="0.25">
      <c r="A206" s="464"/>
      <c r="B206" s="29"/>
      <c r="C206" s="34"/>
      <c r="D206" s="29"/>
    </row>
    <row r="207" spans="1:4" s="35" customFormat="1" x14ac:dyDescent="0.25">
      <c r="A207" s="464"/>
      <c r="B207" s="29"/>
      <c r="C207" s="34"/>
      <c r="D207" s="29"/>
    </row>
    <row r="208" spans="1:4" s="35" customFormat="1" x14ac:dyDescent="0.25">
      <c r="A208" s="464"/>
      <c r="B208" s="29"/>
      <c r="C208" s="34"/>
      <c r="D208" s="29"/>
    </row>
    <row r="209" spans="1:4" s="35" customFormat="1" x14ac:dyDescent="0.25">
      <c r="A209" s="464"/>
      <c r="B209" s="29"/>
      <c r="C209" s="34"/>
      <c r="D209" s="29"/>
    </row>
    <row r="210" spans="1:4" s="35" customFormat="1" x14ac:dyDescent="0.25">
      <c r="A210" s="464"/>
      <c r="B210" s="29"/>
      <c r="C210" s="34"/>
      <c r="D210" s="29"/>
    </row>
    <row r="211" spans="1:4" s="35" customFormat="1" x14ac:dyDescent="0.25">
      <c r="A211" s="464"/>
      <c r="B211" s="29"/>
      <c r="C211" s="34"/>
      <c r="D211" s="29"/>
    </row>
    <row r="212" spans="1:4" s="35" customFormat="1" x14ac:dyDescent="0.25">
      <c r="A212" s="464"/>
      <c r="B212" s="29"/>
      <c r="C212" s="34"/>
      <c r="D212" s="29"/>
    </row>
    <row r="213" spans="1:4" s="35" customFormat="1" x14ac:dyDescent="0.25">
      <c r="A213" s="464"/>
      <c r="B213" s="29"/>
      <c r="C213" s="34"/>
      <c r="D213" s="29"/>
    </row>
    <row r="214" spans="1:4" s="35" customFormat="1" x14ac:dyDescent="0.25">
      <c r="A214" s="464"/>
      <c r="B214" s="29"/>
      <c r="C214" s="34"/>
      <c r="D214" s="29"/>
    </row>
    <row r="215" spans="1:4" s="35" customFormat="1" x14ac:dyDescent="0.25">
      <c r="A215" s="464"/>
      <c r="B215" s="29"/>
      <c r="C215" s="34"/>
      <c r="D215" s="29"/>
    </row>
    <row r="216" spans="1:4" s="35" customFormat="1" x14ac:dyDescent="0.25">
      <c r="A216" s="464"/>
      <c r="B216" s="29"/>
      <c r="C216" s="34"/>
      <c r="D216" s="29"/>
    </row>
    <row r="217" spans="1:4" s="35" customFormat="1" x14ac:dyDescent="0.25">
      <c r="A217" s="464"/>
      <c r="B217" s="29"/>
      <c r="C217" s="34"/>
      <c r="D217" s="29"/>
    </row>
    <row r="218" spans="1:4" s="35" customFormat="1" x14ac:dyDescent="0.25">
      <c r="A218" s="464"/>
      <c r="B218" s="29"/>
      <c r="C218" s="34"/>
      <c r="D218" s="29"/>
    </row>
    <row r="219" spans="1:4" s="35" customFormat="1" x14ac:dyDescent="0.25">
      <c r="A219" s="464"/>
      <c r="B219" s="29"/>
      <c r="C219" s="34"/>
      <c r="D219" s="29"/>
    </row>
    <row r="220" spans="1:4" s="35" customFormat="1" x14ac:dyDescent="0.25">
      <c r="A220" s="464"/>
      <c r="B220" s="29"/>
      <c r="C220" s="34"/>
      <c r="D220" s="29"/>
    </row>
    <row r="221" spans="1:4" s="35" customFormat="1" x14ac:dyDescent="0.25">
      <c r="A221" s="464"/>
      <c r="B221" s="29"/>
      <c r="C221" s="34"/>
      <c r="D221" s="29"/>
    </row>
    <row r="222" spans="1:4" s="35" customFormat="1" x14ac:dyDescent="0.25">
      <c r="A222" s="464"/>
      <c r="B222" s="29"/>
      <c r="C222" s="34"/>
      <c r="D222" s="29"/>
    </row>
    <row r="223" spans="1:4" s="35" customFormat="1" x14ac:dyDescent="0.25">
      <c r="A223" s="464"/>
      <c r="B223" s="29"/>
      <c r="C223" s="34"/>
      <c r="D223" s="29"/>
    </row>
  </sheetData>
  <mergeCells count="50">
    <mergeCell ref="E48:G48"/>
    <mergeCell ref="E87:G87"/>
    <mergeCell ref="F59:F68"/>
    <mergeCell ref="E56:G56"/>
    <mergeCell ref="E89:G89"/>
    <mergeCell ref="E53:G53"/>
    <mergeCell ref="E52:G52"/>
    <mergeCell ref="E51:G51"/>
    <mergeCell ref="E55:G55"/>
    <mergeCell ref="E85:G85"/>
    <mergeCell ref="E86:G86"/>
    <mergeCell ref="E26:G26"/>
    <mergeCell ref="E28:G28"/>
    <mergeCell ref="E35:G35"/>
    <mergeCell ref="E29:G29"/>
    <mergeCell ref="E44:G44"/>
    <mergeCell ref="E37:G37"/>
    <mergeCell ref="E30:G30"/>
    <mergeCell ref="E31:G31"/>
    <mergeCell ref="E34:G34"/>
    <mergeCell ref="E33:G33"/>
    <mergeCell ref="E40:G40"/>
    <mergeCell ref="E38:G38"/>
    <mergeCell ref="E39:G39"/>
    <mergeCell ref="B2:G2"/>
    <mergeCell ref="B3:D3"/>
    <mergeCell ref="D4:E4"/>
    <mergeCell ref="E54:G54"/>
    <mergeCell ref="E50:G50"/>
    <mergeCell ref="E47:G47"/>
    <mergeCell ref="D32:D33"/>
    <mergeCell ref="E45:G45"/>
    <mergeCell ref="E36:G36"/>
    <mergeCell ref="E43:G43"/>
    <mergeCell ref="E42:G42"/>
    <mergeCell ref="E41:G41"/>
    <mergeCell ref="E49:G49"/>
    <mergeCell ref="E46:G46"/>
    <mergeCell ref="E24:G24"/>
    <mergeCell ref="E25:G25"/>
    <mergeCell ref="G156:G161"/>
    <mergeCell ref="C131:D131"/>
    <mergeCell ref="E144:G144"/>
    <mergeCell ref="D100:D101"/>
    <mergeCell ref="E88:G88"/>
    <mergeCell ref="E141:G143"/>
    <mergeCell ref="E152:G152"/>
    <mergeCell ref="F148:G148"/>
    <mergeCell ref="E145:G145"/>
    <mergeCell ref="E146:G146"/>
  </mergeCells>
  <phoneticPr fontId="4" type="noConversion"/>
  <conditionalFormatting sqref="H16:H17">
    <cfRule type="expression" dxfId="2" priority="9">
      <formula>$H$17 &gt; 0.3</formula>
    </cfRule>
  </conditionalFormatting>
  <dataValidations xWindow="543" yWindow="734" count="17">
    <dataValidation allowBlank="1" showInputMessage="1" showErrorMessage="1" prompt="Tax covers all fuel and utilities.  Result may be negative (credit) for biomass derived feed." sqref="E159" xr:uid="{00000000-0002-0000-0300-000000000000}"/>
    <dataValidation allowBlank="1" showInputMessage="1" showErrorMessage="1" prompt="Enter specific year replacement costs on Replacement Costs sheet" sqref="C152" xr:uid="{00000000-0002-0000-0300-000001000000}"/>
    <dataValidation allowBlank="1" showInputMessage="1" showErrorMessage="1" prompt="View or change values for the original design estimate on the &quot;Capital Cost&quot; sheet only. Plant scaling values will use the original design estimate as the basis for scaling" sqref="C88" xr:uid="{00000000-0002-0000-0300-000002000000}"/>
    <dataValidation allowBlank="1" showInputMessage="1" showErrorMessage="1" prompt="If the field is blue (linked), enter values on the &quot;Carbon Sequestration&quot; sheet only. If gold (unlinked) enter values here. Click the button to link or unlink the field." sqref="C89:C90" xr:uid="{00000000-0002-0000-0300-000003000000}"/>
    <dataValidation type="list" allowBlank="1" showInputMessage="1" showErrorMessage="1" sqref="B130" xr:uid="{00000000-0002-0000-0300-000004000000}">
      <formula1>Other_Materials_List</formula1>
    </dataValidation>
    <dataValidation type="list" allowBlank="1" showInputMessage="1" showErrorMessage="1" sqref="C42" xr:uid="{00000000-0002-0000-0300-000005000000}">
      <formula1>"Straight Line, MACRS"</formula1>
    </dataValidation>
    <dataValidation type="whole" operator="greaterThanOrEqual" showInputMessage="1" showErrorMessage="1" error="This cell cannot be left blank" sqref="C31" xr:uid="{00000000-0002-0000-0300-000006000000}">
      <formula1>2005</formula1>
    </dataValidation>
    <dataValidation type="decimal" showInputMessage="1" showErrorMessage="1" error="This cell cannot be left blank" sqref="C25" xr:uid="{00000000-0002-0000-0300-000007000000}">
      <formula1>0.01</formula1>
      <formula2>1</formula2>
    </dataValidation>
    <dataValidation type="list" allowBlank="1" showInputMessage="1" showErrorMessage="1" sqref="C41" xr:uid="{00000000-0002-0000-0300-000008000000}">
      <formula1>"3,5,7,10,15,20"</formula1>
    </dataValidation>
    <dataValidation type="list" showInputMessage="1" showErrorMessage="1" error="This cell cannot be blank.  Enter a whole number between 1 and 4 years" prompt="Enter a whole number between 1 and 4 years" sqref="C33" xr:uid="{00000000-0002-0000-0300-000009000000}">
      <formula1>"1,2,3,4"</formula1>
    </dataValidation>
    <dataValidation type="decimal" operator="greaterThan" showInputMessage="1" showErrorMessage="1" error="A value greater than zero is required" prompt="Required input" sqref="C27" xr:uid="{00000000-0002-0000-0300-00000A000000}">
      <formula1>0</formula1>
    </dataValidation>
    <dataValidation type="list" allowBlank="1" showInputMessage="1" showErrorMessage="1" sqref="B59" xr:uid="{00000000-0002-0000-0300-00000B000000}">
      <formula1>INDIRECT(Price_Table_List)</formula1>
    </dataValidation>
    <dataValidation type="list" allowBlank="1" showInputMessage="1" showErrorMessage="1" sqref="B61" xr:uid="{00000000-0002-0000-0300-00000C000000}">
      <formula1>"feedstock, utility, byproduct"</formula1>
    </dataValidation>
    <dataValidation type="list" allowBlank="1" showInputMessage="1" showErrorMessage="1" sqref="B63" xr:uid="{00000000-0002-0000-0300-00000D000000}">
      <formula1>INDIRECT(Energy_Feed_List)</formula1>
    </dataValidation>
    <dataValidation type="whole" showInputMessage="1" showErrorMessage="1" error="Enter years between 1992 and 2016." prompt="Enter a number between 1992 and 2016." sqref="C32" xr:uid="{00000000-0002-0000-0300-00000E000000}">
      <formula1>1992</formula1>
      <formula2>2016</formula2>
    </dataValidation>
    <dataValidation type="whole" showInputMessage="1" showErrorMessage="1" error="This cell cannot be left blank.  Enter a value between 1992 and 2016" prompt="The reference year must be between 1992 and 2016." sqref="C30" xr:uid="{00000000-0002-0000-0300-00000F000000}">
      <formula1>1992</formula1>
      <formula2>2016</formula2>
    </dataValidation>
    <dataValidation type="whole" allowBlank="1" showInputMessage="1" showErrorMessage="1" error="Debt period may not exceed analysis period" sqref="C45" xr:uid="{00000000-0002-0000-0300-000010000000}">
      <formula1>0</formula1>
      <formula2>C40</formula2>
    </dataValidation>
  </dataValidations>
  <hyperlinks>
    <hyperlink ref="B14" location="Input_Sheet_Template!B21" display="Technical Operating Parameters and Specifications" xr:uid="{00000000-0004-0000-0300-000000000000}"/>
    <hyperlink ref="B15" location="Input_Sheet_Template!B26" display="Financial Input Values" xr:uid="{00000000-0004-0000-0300-000001000000}"/>
    <hyperlink ref="B16" location="Input_Sheet_Template!B53" display="Energy Feedstocks, Utilities and Byproducts" xr:uid="{00000000-0004-0000-0300-000002000000}"/>
    <hyperlink ref="B17" location="direct_cap" display="Capital Cost" xr:uid="{00000000-0004-0000-0300-000003000000}"/>
    <hyperlink ref="B18" location="FTEs" display="Fixed Operating Costs" xr:uid="{00000000-0004-0000-0300-000004000000}"/>
    <hyperlink ref="B20" location="var_misc" display="Variable Operating Costs - Other Variable Operating Costs" xr:uid="{00000000-0004-0000-0300-000005000000}"/>
    <hyperlink ref="B19" location="Input_Sheet_Template!B122" display="Variable Operating Costs - Other Materials and Byproducts" xr:uid="{00000000-0004-0000-0300-000006000000}"/>
  </hyperlinks>
  <printOptions horizontalCentered="1"/>
  <pageMargins left="0.75" right="0.75" top="1" bottom="0.75" header="0.5" footer="0.4"/>
  <pageSetup scale="64" orientation="landscape" r:id="rId1"/>
  <headerFooter alignWithMargins="0">
    <oddHeader>&amp;R&amp;D&amp;LCentral Biomass Gasification - Current Timeframe</oddHeader>
    <oddFooter>&amp;CPage 4 of 7</oddFooter>
  </headerFooter>
  <drawing r:id="rId2"/>
  <legacyDrawing r:id="rId3"/>
  <controls>
    <mc:AlternateContent xmlns:mc="http://schemas.openxmlformats.org/markup-compatibility/2006">
      <mc:Choice Requires="x14">
        <control shapeId="1224" r:id="rId4" name="chk_Upstream_CO2_tax">
          <controlPr defaultSize="0" disabled="1" autoLine="0" r:id="rId5">
            <anchor moveWithCells="1">
              <from>
                <xdr:col>5</xdr:col>
                <xdr:colOff>182880</xdr:colOff>
                <xdr:row>158</xdr:row>
                <xdr:rowOff>0</xdr:rowOff>
              </from>
              <to>
                <xdr:col>5</xdr:col>
                <xdr:colOff>1211580</xdr:colOff>
                <xdr:row>159</xdr:row>
                <xdr:rowOff>0</xdr:rowOff>
              </to>
            </anchor>
          </controlPr>
        </control>
      </mc:Choice>
      <mc:Fallback>
        <control shapeId="1224" r:id="rId4" name="chk_Upstream_CO2_tax"/>
      </mc:Fallback>
    </mc:AlternateContent>
    <mc:AlternateContent xmlns:mc="http://schemas.openxmlformats.org/markup-compatibility/2006">
      <mc:Choice Requires="x14">
        <control shapeId="1223" r:id="rId6" name="chk_Proc_CO2_tax">
          <controlPr defaultSize="0" disabled="1" autoLine="0" r:id="rId7">
            <anchor moveWithCells="1">
              <from>
                <xdr:col>5</xdr:col>
                <xdr:colOff>182880</xdr:colOff>
                <xdr:row>156</xdr:row>
                <xdr:rowOff>0</xdr:rowOff>
              </from>
              <to>
                <xdr:col>5</xdr:col>
                <xdr:colOff>1211580</xdr:colOff>
                <xdr:row>157</xdr:row>
                <xdr:rowOff>0</xdr:rowOff>
              </to>
            </anchor>
          </controlPr>
        </control>
      </mc:Choice>
      <mc:Fallback>
        <control shapeId="1223" r:id="rId6" name="chk_Proc_CO2_tax"/>
      </mc:Fallback>
    </mc:AlternateContent>
    <mc:AlternateContent xmlns:mc="http://schemas.openxmlformats.org/markup-compatibility/2006">
      <mc:Choice Requires="x14">
        <control shapeId="1177" r:id="rId8" name="chk_tax_credit">
          <controlPr defaultSize="0" disabled="1" autoLine="0" r:id="rId9">
            <anchor moveWithCells="1">
              <from>
                <xdr:col>5</xdr:col>
                <xdr:colOff>182880</xdr:colOff>
                <xdr:row>154</xdr:row>
                <xdr:rowOff>0</xdr:rowOff>
              </from>
              <to>
                <xdr:col>5</xdr:col>
                <xdr:colOff>1211580</xdr:colOff>
                <xdr:row>155</xdr:row>
                <xdr:rowOff>0</xdr:rowOff>
              </to>
            </anchor>
          </controlPr>
        </control>
      </mc:Choice>
      <mc:Fallback>
        <control shapeId="1177" r:id="rId8" name="chk_tax_credit"/>
      </mc:Fallback>
    </mc:AlternateContent>
    <mc:AlternateContent xmlns:mc="http://schemas.openxmlformats.org/markup-compatibility/2006">
      <mc:Choice Requires="x14">
        <control shapeId="1176" r:id="rId10" name="chk_operator_profit">
          <controlPr defaultSize="0" disabled="1" autoLine="0" r:id="rId11">
            <anchor moveWithCells="1">
              <from>
                <xdr:col>5</xdr:col>
                <xdr:colOff>182880</xdr:colOff>
                <xdr:row>153</xdr:row>
                <xdr:rowOff>7620</xdr:rowOff>
              </from>
              <to>
                <xdr:col>5</xdr:col>
                <xdr:colOff>1211580</xdr:colOff>
                <xdr:row>154</xdr:row>
                <xdr:rowOff>0</xdr:rowOff>
              </to>
            </anchor>
          </controlPr>
        </control>
      </mc:Choice>
      <mc:Fallback>
        <control shapeId="1176" r:id="rId10" name="chk_operator_profit"/>
      </mc:Fallback>
    </mc:AlternateContent>
    <mc:AlternateContent xmlns:mc="http://schemas.openxmlformats.org/markup-compatibility/2006">
      <mc:Choice Requires="x14">
        <control shapeId="1175" r:id="rId12" name="chk_royalties">
          <controlPr defaultSize="0" disabled="1" autoLine="0" r:id="rId13">
            <anchor moveWithCells="1">
              <from>
                <xdr:col>5</xdr:col>
                <xdr:colOff>182880</xdr:colOff>
                <xdr:row>152</xdr:row>
                <xdr:rowOff>7620</xdr:rowOff>
              </from>
              <to>
                <xdr:col>5</xdr:col>
                <xdr:colOff>1211580</xdr:colOff>
                <xdr:row>153</xdr:row>
                <xdr:rowOff>0</xdr:rowOff>
              </to>
            </anchor>
          </controlPr>
        </control>
      </mc:Choice>
      <mc:Fallback>
        <control shapeId="1175" r:id="rId12" name="chk_royalties"/>
      </mc:Fallback>
    </mc:AlternateContent>
    <mc:AlternateContent xmlns:mc="http://schemas.openxmlformats.org/markup-compatibility/2006">
      <mc:Choice Requires="x14">
        <control shapeId="1174" r:id="rId14" name="chk_tax_ins_rate">
          <controlPr defaultSize="0" autoLine="0" r:id="rId15">
            <anchor moveWithCells="1">
              <from>
                <xdr:col>3</xdr:col>
                <xdr:colOff>60960</xdr:colOff>
                <xdr:row>116</xdr:row>
                <xdr:rowOff>38100</xdr:rowOff>
              </from>
              <to>
                <xdr:col>3</xdr:col>
                <xdr:colOff>1089660</xdr:colOff>
                <xdr:row>116</xdr:row>
                <xdr:rowOff>251460</xdr:rowOff>
              </to>
            </anchor>
          </controlPr>
        </control>
      </mc:Choice>
      <mc:Fallback>
        <control shapeId="1174" r:id="rId14" name="chk_tax_ins_rate"/>
      </mc:Fallback>
    </mc:AlternateContent>
    <mc:AlternateContent xmlns:mc="http://schemas.openxmlformats.org/markup-compatibility/2006">
      <mc:Choice Requires="x14">
        <control shapeId="1173" r:id="rId16" name="chk_overhead_rate">
          <controlPr defaultSize="0" autoLine="0" r:id="rId17">
            <anchor moveWithCells="1">
              <from>
                <xdr:col>3</xdr:col>
                <xdr:colOff>76200</xdr:colOff>
                <xdr:row>113</xdr:row>
                <xdr:rowOff>7620</xdr:rowOff>
              </from>
              <to>
                <xdr:col>3</xdr:col>
                <xdr:colOff>1165860</xdr:colOff>
                <xdr:row>114</xdr:row>
                <xdr:rowOff>22860</xdr:rowOff>
              </to>
            </anchor>
          </controlPr>
        </control>
      </mc:Choice>
      <mc:Fallback>
        <control shapeId="1173" r:id="rId16" name="chk_overhead_rate"/>
      </mc:Fallback>
    </mc:AlternateContent>
    <mc:AlternateContent xmlns:mc="http://schemas.openxmlformats.org/markup-compatibility/2006">
      <mc:Choice Requires="x14">
        <control shapeId="1114" r:id="rId18" name="chk_WorkingCap">
          <controlPr defaultSize="0" autoLine="0" r:id="rId19">
            <anchor moveWithCells="1">
              <from>
                <xdr:col>3</xdr:col>
                <xdr:colOff>198120</xdr:colOff>
                <xdr:row>55</xdr:row>
                <xdr:rowOff>7620</xdr:rowOff>
              </from>
              <to>
                <xdr:col>3</xdr:col>
                <xdr:colOff>1226820</xdr:colOff>
                <xdr:row>56</xdr:row>
                <xdr:rowOff>0</xdr:rowOff>
              </to>
            </anchor>
          </controlPr>
        </control>
      </mc:Choice>
      <mc:Fallback>
        <control shapeId="1114" r:id="rId18" name="chk_WorkingCap"/>
      </mc:Fallback>
    </mc:AlternateContent>
    <mc:AlternateContent xmlns:mc="http://schemas.openxmlformats.org/markup-compatibility/2006">
      <mc:Choice Requires="x14">
        <control shapeId="1113" r:id="rId20" name="chk_fed_tax_rate">
          <controlPr defaultSize="0" autoLine="0" r:id="rId21">
            <anchor moveWithCells="1">
              <from>
                <xdr:col>3</xdr:col>
                <xdr:colOff>198120</xdr:colOff>
                <xdr:row>53</xdr:row>
                <xdr:rowOff>7620</xdr:rowOff>
              </from>
              <to>
                <xdr:col>3</xdr:col>
                <xdr:colOff>1226820</xdr:colOff>
                <xdr:row>54</xdr:row>
                <xdr:rowOff>0</xdr:rowOff>
              </to>
            </anchor>
          </controlPr>
        </control>
      </mc:Choice>
      <mc:Fallback>
        <control shapeId="1113" r:id="rId20" name="chk_fed_tax_rate"/>
      </mc:Fallback>
    </mc:AlternateContent>
    <mc:AlternateContent xmlns:mc="http://schemas.openxmlformats.org/markup-compatibility/2006">
      <mc:Choice Requires="x14">
        <control shapeId="1112" r:id="rId22" name="chk_state_tax_rate">
          <controlPr defaultSize="0" autoLine="0" r:id="rId23">
            <anchor moveWithCells="1">
              <from>
                <xdr:col>3</xdr:col>
                <xdr:colOff>198120</xdr:colOff>
                <xdr:row>52</xdr:row>
                <xdr:rowOff>7620</xdr:rowOff>
              </from>
              <to>
                <xdr:col>3</xdr:col>
                <xdr:colOff>1226820</xdr:colOff>
                <xdr:row>53</xdr:row>
                <xdr:rowOff>0</xdr:rowOff>
              </to>
            </anchor>
          </controlPr>
        </control>
      </mc:Choice>
      <mc:Fallback>
        <control shapeId="1112" r:id="rId22" name="chk_state_tax_rate"/>
      </mc:Fallback>
    </mc:AlternateContent>
    <mc:AlternateContent xmlns:mc="http://schemas.openxmlformats.org/markup-compatibility/2006">
      <mc:Choice Requires="x14">
        <control shapeId="1111" r:id="rId24" name="chk_real_irr">
          <controlPr defaultSize="0" autoLine="0" r:id="rId25">
            <anchor moveWithCells="1">
              <from>
                <xdr:col>3</xdr:col>
                <xdr:colOff>198120</xdr:colOff>
                <xdr:row>51</xdr:row>
                <xdr:rowOff>7620</xdr:rowOff>
              </from>
              <to>
                <xdr:col>3</xdr:col>
                <xdr:colOff>1226820</xdr:colOff>
                <xdr:row>52</xdr:row>
                <xdr:rowOff>0</xdr:rowOff>
              </to>
            </anchor>
          </controlPr>
        </control>
      </mc:Choice>
      <mc:Fallback>
        <control shapeId="1111" r:id="rId24" name="chk_real_irr"/>
      </mc:Fallback>
    </mc:AlternateContent>
    <mc:AlternateContent xmlns:mc="http://schemas.openxmlformats.org/markup-compatibility/2006">
      <mc:Choice Requires="x14">
        <control shapeId="1110" r:id="rId26" name="chk_inflation_rate">
          <controlPr defaultSize="0" autoLine="0" r:id="rId27">
            <anchor moveWithCells="1">
              <from>
                <xdr:col>3</xdr:col>
                <xdr:colOff>198120</xdr:colOff>
                <xdr:row>50</xdr:row>
                <xdr:rowOff>7620</xdr:rowOff>
              </from>
              <to>
                <xdr:col>3</xdr:col>
                <xdr:colOff>1226820</xdr:colOff>
                <xdr:row>51</xdr:row>
                <xdr:rowOff>0</xdr:rowOff>
              </to>
            </anchor>
          </controlPr>
        </control>
      </mc:Choice>
      <mc:Fallback>
        <control shapeId="1110" r:id="rId26" name="chk_inflation_rate"/>
      </mc:Fallback>
    </mc:AlternateContent>
    <mc:AlternateContent xmlns:mc="http://schemas.openxmlformats.org/markup-compatibility/2006">
      <mc:Choice Requires="x14">
        <control shapeId="1109" r:id="rId28" name="chk_salvage_perct">
          <controlPr defaultSize="0" autoLine="0" r:id="rId29">
            <anchor moveWithCells="1">
              <from>
                <xdr:col>3</xdr:col>
                <xdr:colOff>198120</xdr:colOff>
                <xdr:row>49</xdr:row>
                <xdr:rowOff>7620</xdr:rowOff>
              </from>
              <to>
                <xdr:col>3</xdr:col>
                <xdr:colOff>1226820</xdr:colOff>
                <xdr:row>50</xdr:row>
                <xdr:rowOff>0</xdr:rowOff>
              </to>
            </anchor>
          </controlPr>
        </control>
      </mc:Choice>
      <mc:Fallback>
        <control shapeId="1109" r:id="rId28" name="chk_salvage_perct"/>
      </mc:Fallback>
    </mc:AlternateContent>
    <mc:AlternateContent xmlns:mc="http://schemas.openxmlformats.org/markup-compatibility/2006">
      <mc:Choice Requires="x14">
        <control shapeId="1098" r:id="rId30" name="chk_decom_percent">
          <controlPr defaultSize="0" autoLine="0" r:id="rId31">
            <anchor moveWithCells="1">
              <from>
                <xdr:col>3</xdr:col>
                <xdr:colOff>198120</xdr:colOff>
                <xdr:row>48</xdr:row>
                <xdr:rowOff>7620</xdr:rowOff>
              </from>
              <to>
                <xdr:col>3</xdr:col>
                <xdr:colOff>1226820</xdr:colOff>
                <xdr:row>49</xdr:row>
                <xdr:rowOff>0</xdr:rowOff>
              </to>
            </anchor>
          </controlPr>
        </control>
      </mc:Choice>
      <mc:Fallback>
        <control shapeId="1098" r:id="rId30" name="chk_decom_percent"/>
      </mc:Fallback>
    </mc:AlternateContent>
    <mc:AlternateContent xmlns:mc="http://schemas.openxmlformats.org/markup-compatibility/2006">
      <mc:Choice Requires="x14">
        <control shapeId="1097" r:id="rId32" name="chk_ref_year">
          <controlPr defaultSize="0" autoLine="0" r:id="rId33">
            <anchor moveWithCells="1">
              <from>
                <xdr:col>3</xdr:col>
                <xdr:colOff>198120</xdr:colOff>
                <xdr:row>29</xdr:row>
                <xdr:rowOff>7620</xdr:rowOff>
              </from>
              <to>
                <xdr:col>3</xdr:col>
                <xdr:colOff>1226820</xdr:colOff>
                <xdr:row>30</xdr:row>
                <xdr:rowOff>22860</xdr:rowOff>
              </to>
            </anchor>
          </controlPr>
        </control>
      </mc:Choice>
      <mc:Fallback>
        <control shapeId="1097" r:id="rId32" name="chk_ref_year"/>
      </mc:Fallback>
    </mc:AlternateContent>
    <mc:AlternateContent xmlns:mc="http://schemas.openxmlformats.org/markup-compatibility/2006">
      <mc:Choice Requires="x14">
        <control shapeId="1096" r:id="rId34" name="chk_equity">
          <controlPr defaultSize="0" autoLine="0" r:id="rId35">
            <anchor moveWithCells="1">
              <from>
                <xdr:col>3</xdr:col>
                <xdr:colOff>198120</xdr:colOff>
                <xdr:row>42</xdr:row>
                <xdr:rowOff>7620</xdr:rowOff>
              </from>
              <to>
                <xdr:col>3</xdr:col>
                <xdr:colOff>1226820</xdr:colOff>
                <xdr:row>43</xdr:row>
                <xdr:rowOff>0</xdr:rowOff>
              </to>
            </anchor>
          </controlPr>
        </control>
      </mc:Choice>
      <mc:Fallback>
        <control shapeId="1096" r:id="rId34" name="chk_equity"/>
      </mc:Fallback>
    </mc:AlternateContent>
    <mc:AlternateContent xmlns:mc="http://schemas.openxmlformats.org/markup-compatibility/2006">
      <mc:Choice Requires="x14">
        <control shapeId="1093" r:id="rId36" name="chk_depr_type">
          <controlPr defaultSize="0" autoLine="0" r:id="rId37">
            <anchor moveWithCells="1">
              <from>
                <xdr:col>3</xdr:col>
                <xdr:colOff>198120</xdr:colOff>
                <xdr:row>40</xdr:row>
                <xdr:rowOff>182880</xdr:rowOff>
              </from>
              <to>
                <xdr:col>3</xdr:col>
                <xdr:colOff>1226820</xdr:colOff>
                <xdr:row>41</xdr:row>
                <xdr:rowOff>175260</xdr:rowOff>
              </to>
            </anchor>
          </controlPr>
        </control>
      </mc:Choice>
      <mc:Fallback>
        <control shapeId="1093" r:id="rId36" name="chk_depr_type"/>
      </mc:Fallback>
    </mc:AlternateContent>
    <mc:AlternateContent xmlns:mc="http://schemas.openxmlformats.org/markup-compatibility/2006">
      <mc:Choice Requires="x14">
        <control shapeId="1085" r:id="rId38" name="Label3">
          <controlPr defaultSize="0" autoLine="0" r:id="rId39">
            <anchor moveWithCells="1">
              <from>
                <xdr:col>3</xdr:col>
                <xdr:colOff>297180</xdr:colOff>
                <xdr:row>131</xdr:row>
                <xdr:rowOff>45720</xdr:rowOff>
              </from>
              <to>
                <xdr:col>3</xdr:col>
                <xdr:colOff>609600</xdr:colOff>
                <xdr:row>131</xdr:row>
                <xdr:rowOff>228600</xdr:rowOff>
              </to>
            </anchor>
          </controlPr>
        </control>
      </mc:Choice>
      <mc:Fallback>
        <control shapeId="1085" r:id="rId38" name="Label3"/>
      </mc:Fallback>
    </mc:AlternateContent>
    <mc:AlternateContent xmlns:mc="http://schemas.openxmlformats.org/markup-compatibility/2006">
      <mc:Choice Requires="x14">
        <control shapeId="1083" r:id="rId40" name="lblUseOtherDefault">
          <controlPr defaultSize="0" autoLine="0" r:id="rId41">
            <anchor moveWithCells="1">
              <from>
                <xdr:col>1</xdr:col>
                <xdr:colOff>2217420</xdr:colOff>
                <xdr:row>131</xdr:row>
                <xdr:rowOff>38100</xdr:rowOff>
              </from>
              <to>
                <xdr:col>1</xdr:col>
                <xdr:colOff>3611880</xdr:colOff>
                <xdr:row>131</xdr:row>
                <xdr:rowOff>220980</xdr:rowOff>
              </to>
            </anchor>
          </controlPr>
        </control>
      </mc:Choice>
      <mc:Fallback>
        <control shapeId="1083" r:id="rId40" name="lblUseOtherDefault"/>
      </mc:Fallback>
    </mc:AlternateContent>
    <mc:AlternateContent xmlns:mc="http://schemas.openxmlformats.org/markup-compatibility/2006">
      <mc:Choice Requires="x14">
        <control shapeId="1076" r:id="rId42" name="chkNonEnergyByProd">
          <controlPr defaultSize="0" autoLine="0" r:id="rId43">
            <anchor moveWithCells="1">
              <from>
                <xdr:col>2</xdr:col>
                <xdr:colOff>289560</xdr:colOff>
                <xdr:row>128</xdr:row>
                <xdr:rowOff>251460</xdr:rowOff>
              </from>
              <to>
                <xdr:col>3</xdr:col>
                <xdr:colOff>144780</xdr:colOff>
                <xdr:row>129</xdr:row>
                <xdr:rowOff>236220</xdr:rowOff>
              </to>
            </anchor>
          </controlPr>
        </control>
      </mc:Choice>
      <mc:Fallback>
        <control shapeId="1076" r:id="rId42" name="chkNonEnergyByProd"/>
      </mc:Fallback>
    </mc:AlternateContent>
    <mc:AlternateContent xmlns:mc="http://schemas.openxmlformats.org/markup-compatibility/2006">
      <mc:Choice Requires="x14">
        <control shapeId="1063" r:id="rId44" name="lblUseDfltPrice">
          <controlPr defaultSize="0" autoLine="0" r:id="rId45">
            <anchor moveWithCells="1">
              <from>
                <xdr:col>1</xdr:col>
                <xdr:colOff>2499360</xdr:colOff>
                <xdr:row>66</xdr:row>
                <xdr:rowOff>30480</xdr:rowOff>
              </from>
              <to>
                <xdr:col>1</xdr:col>
                <xdr:colOff>3718560</xdr:colOff>
                <xdr:row>66</xdr:row>
                <xdr:rowOff>213360</xdr:rowOff>
              </to>
            </anchor>
          </controlPr>
        </control>
      </mc:Choice>
      <mc:Fallback>
        <control shapeId="1063" r:id="rId44" name="lblUseDfltPrice"/>
      </mc:Fallback>
    </mc:AlternateContent>
    <mc:AlternateContent xmlns:mc="http://schemas.openxmlformats.org/markup-compatibility/2006">
      <mc:Choice Requires="x14">
        <control shapeId="1061" r:id="rId46" name="Label1">
          <controlPr defaultSize="0" autoLine="0" r:id="rId47">
            <anchor moveWithCells="1">
              <from>
                <xdr:col>3</xdr:col>
                <xdr:colOff>160020</xdr:colOff>
                <xdr:row>66</xdr:row>
                <xdr:rowOff>7620</xdr:rowOff>
              </from>
              <to>
                <xdr:col>3</xdr:col>
                <xdr:colOff>480060</xdr:colOff>
                <xdr:row>66</xdr:row>
                <xdr:rowOff>190500</xdr:rowOff>
              </to>
            </anchor>
          </controlPr>
        </control>
      </mc:Choice>
      <mc:Fallback>
        <control shapeId="1061" r:id="rId46" name="Label1"/>
      </mc:Fallback>
    </mc:AlternateContent>
  </controls>
  <extLst>
    <ext xmlns:x14="http://schemas.microsoft.com/office/spreadsheetml/2009/9/main" uri="{CCE6A557-97BC-4b89-ADB6-D9C93CAAB3DF}">
      <x14:dataValidations xmlns:xm="http://schemas.microsoft.com/office/excel/2006/main" xWindow="543" yWindow="734" count="1">
        <x14:dataValidation type="decimal" errorStyle="warning" showInputMessage="1" showErrorMessage="1" error="Capacity is outside the recommended values in this case study.  Please see the Plant Scaling tab for more information." prompt="Required input" xr:uid="{00000000-0002-0000-0300-000011000000}">
          <x14:formula1>
            <xm:f>'Plant Scaling'!C7</xm:f>
          </x14:formula1>
          <x14:formula2>
            <xm:f>'Plant Scaling'!C8</xm:f>
          </x14:formula2>
          <xm:sqref>C26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L58"/>
  <sheetViews>
    <sheetView topLeftCell="A23" workbookViewId="0">
      <selection activeCell="J32" sqref="J32"/>
    </sheetView>
  </sheetViews>
  <sheetFormatPr defaultColWidth="9.109375" defaultRowHeight="13.2" x14ac:dyDescent="0.25"/>
  <cols>
    <col min="1" max="1" width="16.33203125" style="210" customWidth="1"/>
    <col min="2" max="2" width="17.44140625" style="210" customWidth="1"/>
    <col min="3" max="5" width="19.5546875" style="210" customWidth="1"/>
    <col min="6" max="6" width="19.44140625" style="210" customWidth="1"/>
    <col min="7" max="7" width="21.88671875" style="210" customWidth="1"/>
    <col min="8" max="8" width="23.33203125" style="210" customWidth="1"/>
    <col min="9" max="10" width="19.109375" style="210" customWidth="1"/>
    <col min="11" max="11" width="47.33203125" style="210" customWidth="1"/>
    <col min="12" max="12" width="30.33203125" style="210" customWidth="1"/>
    <col min="13" max="13" width="40.109375" style="210" customWidth="1"/>
    <col min="14" max="14" width="20" style="210" customWidth="1"/>
    <col min="15" max="16384" width="9.109375" style="210"/>
  </cols>
  <sheetData>
    <row r="1" spans="1:12" x14ac:dyDescent="0.25">
      <c r="B1" s="38"/>
      <c r="C1" s="38"/>
      <c r="D1" s="38"/>
      <c r="E1" s="38"/>
      <c r="F1" s="38"/>
      <c r="G1" s="38"/>
    </row>
    <row r="2" spans="1:12" ht="21" x14ac:dyDescent="0.5">
      <c r="A2" s="810" t="s">
        <v>1028</v>
      </c>
      <c r="B2" s="38"/>
      <c r="C2" s="38"/>
      <c r="D2" s="38"/>
      <c r="E2" s="38"/>
      <c r="F2" s="38"/>
      <c r="G2" s="38"/>
    </row>
    <row r="3" spans="1:12" x14ac:dyDescent="0.25">
      <c r="B3" s="41"/>
      <c r="C3" s="41"/>
      <c r="D3" s="41"/>
      <c r="E3" s="41"/>
      <c r="F3" s="41"/>
      <c r="G3" s="44"/>
      <c r="H3" s="211"/>
      <c r="I3" s="211"/>
      <c r="J3" s="211"/>
    </row>
    <row r="4" spans="1:12" x14ac:dyDescent="0.25">
      <c r="B4" s="41"/>
      <c r="C4" s="41"/>
      <c r="D4" s="41"/>
      <c r="E4" s="41"/>
      <c r="F4" s="41"/>
      <c r="G4" s="44"/>
      <c r="H4" s="211"/>
      <c r="I4" s="211"/>
      <c r="J4" s="211"/>
    </row>
    <row r="5" spans="1:12" customFormat="1" ht="15.6" x14ac:dyDescent="0.3">
      <c r="C5" s="812" t="s">
        <v>233</v>
      </c>
      <c r="D5" s="812"/>
      <c r="E5" s="812"/>
    </row>
    <row r="6" spans="1:12" customFormat="1" x14ac:dyDescent="0.25"/>
    <row r="7" spans="1:12" customFormat="1" x14ac:dyDescent="0.25"/>
    <row r="8" spans="1:12" customFormat="1" x14ac:dyDescent="0.25"/>
    <row r="9" spans="1:12" customFormat="1" x14ac:dyDescent="0.25">
      <c r="A9" s="811" t="str">
        <f>"NOTE: Enter costs in year "&amp;TEXT(BasisYear,"0")&amp;" $ - Do not inflate"</f>
        <v>NOTE: Enter costs in year 2007 $ - Do not inflate</v>
      </c>
    </row>
    <row r="10" spans="1:12" customFormat="1" x14ac:dyDescent="0.25">
      <c r="A10" s="811" t="s">
        <v>1029</v>
      </c>
    </row>
    <row r="11" spans="1:12" customFormat="1" x14ac:dyDescent="0.25"/>
    <row r="12" spans="1:12" ht="13.8" thickBot="1" x14ac:dyDescent="0.3">
      <c r="A12" s="212"/>
      <c r="B12" s="212"/>
      <c r="C12" s="212"/>
      <c r="D12" s="212"/>
      <c r="E12" s="212"/>
      <c r="F12" s="212"/>
      <c r="G12" s="212"/>
      <c r="H12" s="213"/>
      <c r="I12" s="213"/>
      <c r="J12" s="213"/>
    </row>
    <row r="13" spans="1:12" ht="14.4" thickTop="1" thickBot="1" x14ac:dyDescent="0.3">
      <c r="A13" s="337" t="s">
        <v>1030</v>
      </c>
      <c r="B13" s="338"/>
      <c r="C13" s="339"/>
      <c r="D13" s="339"/>
      <c r="E13" s="339"/>
      <c r="F13" s="340"/>
      <c r="G13" s="341"/>
    </row>
    <row r="14" spans="1:12" ht="14.4" thickTop="1" thickBot="1" x14ac:dyDescent="0.3">
      <c r="A14" s="342"/>
      <c r="B14" s="343"/>
      <c r="C14" s="344" t="s">
        <v>1031</v>
      </c>
      <c r="D14" s="344"/>
      <c r="E14" s="344"/>
      <c r="F14" s="344" t="s">
        <v>1032</v>
      </c>
      <c r="G14" s="345" t="s">
        <v>1033</v>
      </c>
    </row>
    <row r="15" spans="1:12" s="209" customFormat="1" ht="93.6" thickTop="1" thickBot="1" x14ac:dyDescent="0.3">
      <c r="A15" s="346" t="s">
        <v>183</v>
      </c>
      <c r="B15" s="528">
        <f>replace_factor</f>
        <v>5.0000000000000001E-3</v>
      </c>
      <c r="C15" s="347"/>
      <c r="D15" s="347"/>
      <c r="E15" s="347"/>
      <c r="F15" s="348"/>
      <c r="G15" s="349" t="s">
        <v>1034</v>
      </c>
      <c r="I15" s="221"/>
      <c r="J15" s="210"/>
      <c r="K15" s="214"/>
    </row>
    <row r="16" spans="1:12" ht="54" thickTop="1" thickBot="1" x14ac:dyDescent="0.3">
      <c r="A16" s="350" t="s">
        <v>1035</v>
      </c>
      <c r="B16" s="351" t="s">
        <v>40</v>
      </c>
      <c r="C16" s="352" t="s">
        <v>1036</v>
      </c>
      <c r="D16" s="352" t="s">
        <v>1037</v>
      </c>
      <c r="E16" s="352" t="s">
        <v>1294</v>
      </c>
      <c r="F16" s="352" t="s">
        <v>1037</v>
      </c>
      <c r="G16" s="352" t="s">
        <v>1038</v>
      </c>
      <c r="H16" s="352" t="s">
        <v>1076</v>
      </c>
      <c r="I16" s="352" t="s">
        <v>1077</v>
      </c>
      <c r="J16" s="352" t="s">
        <v>1078</v>
      </c>
      <c r="K16" s="353" t="s">
        <v>1079</v>
      </c>
      <c r="L16" s="354" t="s">
        <v>1080</v>
      </c>
    </row>
    <row r="17" spans="1:12" ht="14.4" thickTop="1" thickBot="1" x14ac:dyDescent="0.3">
      <c r="A17" s="355"/>
      <c r="B17" s="356"/>
      <c r="C17" s="356"/>
      <c r="D17" s="356" t="str">
        <f>"Year "&amp;TEXT(BasisYear,"0")&amp;" $"</f>
        <v>Year 2007 $</v>
      </c>
      <c r="E17" s="356" t="str">
        <f>"Year "&amp;TEXT(ref_year,"0")&amp;" $"</f>
        <v>Year 2016 $</v>
      </c>
      <c r="F17" s="356" t="str">
        <f>"Year "&amp;TEXT(ref_year,"0")&amp;" $"</f>
        <v>Year 2016 $</v>
      </c>
      <c r="G17" s="356" t="str">
        <f>"Year "&amp;TEXT(ref_year,"0")&amp;" $"</f>
        <v>Year 2016 $</v>
      </c>
      <c r="H17" s="356" t="s">
        <v>1081</v>
      </c>
      <c r="I17" s="356"/>
      <c r="J17" s="356"/>
      <c r="K17" s="357"/>
      <c r="L17" s="358"/>
    </row>
    <row r="18" spans="1:12" ht="13.8" thickTop="1" x14ac:dyDescent="0.25">
      <c r="A18" s="92">
        <f>IF(C18&lt;&gt;"",'Cash Flow Analysis'!A65,"")</f>
        <v>2012</v>
      </c>
      <c r="B18" s="313">
        <f>construct+1</f>
        <v>4</v>
      </c>
      <c r="C18" s="313">
        <v>1</v>
      </c>
      <c r="D18" s="481"/>
      <c r="E18" s="215">
        <f ca="1">+'Carbon Sequestration'!$C$100*(C18&lt;=anal_period)</f>
        <v>33043161.824759856</v>
      </c>
      <c r="F18" s="215">
        <f t="shared" ref="F18:F57" ca="1" si="0">(D18)*CPIinflator*CEPCIinflator+E18</f>
        <v>33043161.824759856</v>
      </c>
      <c r="G18" s="215">
        <f ca="1">IF(C18&gt;anal_period,0,IF(replace_factor&lt;&gt;"",replace_factor*depr_cap,0))</f>
        <v>8831235.7538657412</v>
      </c>
      <c r="H18" s="216">
        <f ca="1">(F18+G18)*((1+inflation_rate)^(startup_year-ref_year))</f>
        <v>41093618.821026109</v>
      </c>
      <c r="I18" s="359"/>
      <c r="J18" s="360"/>
      <c r="K18" s="361"/>
      <c r="L18" s="362"/>
    </row>
    <row r="19" spans="1:12" x14ac:dyDescent="0.25">
      <c r="A19" s="94">
        <f>IF(C19&lt;&gt;"",'Cash Flow Analysis'!A66,"")</f>
        <v>2013</v>
      </c>
      <c r="B19" s="314">
        <f t="shared" ref="B19:B57" si="1">IF(B18&lt;anal_period+construct,B18+1,"")</f>
        <v>5</v>
      </c>
      <c r="C19" s="314">
        <f t="shared" ref="C19:C57" si="2">IF(B19="","",C18+1)</f>
        <v>2</v>
      </c>
      <c r="D19" s="482"/>
      <c r="E19" s="217">
        <f ca="1">+'Carbon Sequestration'!$C$100*(C19&lt;=anal_period)</f>
        <v>33043161.824759856</v>
      </c>
      <c r="F19" s="217">
        <f t="shared" ca="1" si="0"/>
        <v>33043161.824759856</v>
      </c>
      <c r="G19" s="217">
        <f t="shared" ref="G19:G57" ca="1" si="3">IF(C19&gt;anal_period,0,IF(replace_factor&lt;&gt;"",replace_factor*depr_cap,0))</f>
        <v>8831235.7538657412</v>
      </c>
      <c r="H19" s="218">
        <f t="shared" ref="H19:H57" ca="1" si="4">(F19+G19)*((1+inflation_rate)^(startup_year-ref_year))</f>
        <v>41093618.821026109</v>
      </c>
      <c r="I19" s="363"/>
      <c r="J19" s="364"/>
      <c r="K19" s="365"/>
      <c r="L19" s="366"/>
    </row>
    <row r="20" spans="1:12" x14ac:dyDescent="0.25">
      <c r="A20" s="94">
        <f>IF(C20&lt;&gt;"",'Cash Flow Analysis'!A67,"")</f>
        <v>2014</v>
      </c>
      <c r="B20" s="314">
        <f t="shared" si="1"/>
        <v>6</v>
      </c>
      <c r="C20" s="314">
        <f t="shared" si="2"/>
        <v>3</v>
      </c>
      <c r="D20" s="482"/>
      <c r="E20" s="217">
        <f ca="1">+'Carbon Sequestration'!$C$100*(C20&lt;=anal_period)</f>
        <v>33043161.824759856</v>
      </c>
      <c r="F20" s="217">
        <f t="shared" ca="1" si="0"/>
        <v>33043161.824759856</v>
      </c>
      <c r="G20" s="217">
        <f t="shared" ca="1" si="3"/>
        <v>8831235.7538657412</v>
      </c>
      <c r="H20" s="218">
        <f t="shared" ca="1" si="4"/>
        <v>41093618.821026109</v>
      </c>
      <c r="I20" s="363"/>
      <c r="J20" s="364"/>
      <c r="K20" s="365"/>
      <c r="L20" s="366"/>
    </row>
    <row r="21" spans="1:12" x14ac:dyDescent="0.25">
      <c r="A21" s="94">
        <f>IF(C21&lt;&gt;"",'Cash Flow Analysis'!A68,"")</f>
        <v>2015</v>
      </c>
      <c r="B21" s="314">
        <f t="shared" si="1"/>
        <v>7</v>
      </c>
      <c r="C21" s="314">
        <f t="shared" si="2"/>
        <v>4</v>
      </c>
      <c r="D21" s="482"/>
      <c r="E21" s="217">
        <f ca="1">+'Carbon Sequestration'!$C$100*(C21&lt;=anal_period)</f>
        <v>33043161.824759856</v>
      </c>
      <c r="F21" s="217">
        <f t="shared" ca="1" si="0"/>
        <v>33043161.824759856</v>
      </c>
      <c r="G21" s="217">
        <f t="shared" ca="1" si="3"/>
        <v>8831235.7538657412</v>
      </c>
      <c r="H21" s="218">
        <f t="shared" ca="1" si="4"/>
        <v>41093618.821026109</v>
      </c>
      <c r="I21" s="363"/>
      <c r="J21" s="364"/>
      <c r="K21" s="365"/>
      <c r="L21" s="366"/>
    </row>
    <row r="22" spans="1:12" x14ac:dyDescent="0.25">
      <c r="A22" s="94">
        <f>IF(C22&lt;&gt;"",'Cash Flow Analysis'!A69,"")</f>
        <v>2016</v>
      </c>
      <c r="B22" s="314">
        <f t="shared" si="1"/>
        <v>8</v>
      </c>
      <c r="C22" s="314">
        <f t="shared" si="2"/>
        <v>5</v>
      </c>
      <c r="D22" s="482"/>
      <c r="E22" s="217">
        <f ca="1">+'Carbon Sequestration'!$C$100*(C22&lt;=anal_period)</f>
        <v>33043161.824759856</v>
      </c>
      <c r="F22" s="217">
        <f t="shared" ca="1" si="0"/>
        <v>33043161.824759856</v>
      </c>
      <c r="G22" s="217">
        <f t="shared" ca="1" si="3"/>
        <v>8831235.7538657412</v>
      </c>
      <c r="H22" s="218">
        <f t="shared" ca="1" si="4"/>
        <v>41093618.821026109</v>
      </c>
      <c r="I22" s="363"/>
      <c r="J22" s="364"/>
      <c r="K22" s="897"/>
      <c r="L22" s="898"/>
    </row>
    <row r="23" spans="1:12" x14ac:dyDescent="0.25">
      <c r="A23" s="94">
        <f>IF(C23&lt;&gt;"",'Cash Flow Analysis'!A70,"")</f>
        <v>2017</v>
      </c>
      <c r="B23" s="314">
        <f t="shared" si="1"/>
        <v>9</v>
      </c>
      <c r="C23" s="314">
        <f t="shared" si="2"/>
        <v>6</v>
      </c>
      <c r="D23" s="482"/>
      <c r="E23" s="217">
        <f ca="1">+'Carbon Sequestration'!$C$100*(C23&lt;=anal_period)</f>
        <v>33043161.824759856</v>
      </c>
      <c r="F23" s="217">
        <f t="shared" ca="1" si="0"/>
        <v>33043161.824759856</v>
      </c>
      <c r="G23" s="217">
        <f t="shared" ca="1" si="3"/>
        <v>8831235.7538657412</v>
      </c>
      <c r="H23" s="218">
        <f t="shared" ca="1" si="4"/>
        <v>41093618.821026109</v>
      </c>
      <c r="I23" s="363"/>
      <c r="J23" s="364"/>
      <c r="K23" s="365"/>
      <c r="L23" s="366"/>
    </row>
    <row r="24" spans="1:12" x14ac:dyDescent="0.25">
      <c r="A24" s="94">
        <f>IF(C24&lt;&gt;"",'Cash Flow Analysis'!A71,"")</f>
        <v>2018</v>
      </c>
      <c r="B24" s="314">
        <f t="shared" si="1"/>
        <v>10</v>
      </c>
      <c r="C24" s="314">
        <f t="shared" si="2"/>
        <v>7</v>
      </c>
      <c r="D24" s="482"/>
      <c r="E24" s="217">
        <f ca="1">+'Carbon Sequestration'!$C$100*(C24&lt;=anal_period)</f>
        <v>33043161.824759856</v>
      </c>
      <c r="F24" s="217">
        <f t="shared" ca="1" si="0"/>
        <v>33043161.824759856</v>
      </c>
      <c r="G24" s="217">
        <f t="shared" ca="1" si="3"/>
        <v>8831235.7538657412</v>
      </c>
      <c r="H24" s="218">
        <f t="shared" ca="1" si="4"/>
        <v>41093618.821026109</v>
      </c>
      <c r="I24" s="363"/>
      <c r="J24" s="364"/>
      <c r="K24" s="365"/>
      <c r="L24" s="366"/>
    </row>
    <row r="25" spans="1:12" x14ac:dyDescent="0.25">
      <c r="A25" s="94">
        <f>IF(C25&lt;&gt;"",'Cash Flow Analysis'!A72,"")</f>
        <v>2019</v>
      </c>
      <c r="B25" s="314">
        <f t="shared" si="1"/>
        <v>11</v>
      </c>
      <c r="C25" s="314">
        <f t="shared" si="2"/>
        <v>8</v>
      </c>
      <c r="D25" s="482"/>
      <c r="E25" s="217">
        <f ca="1">+'Carbon Sequestration'!$C$100*(C25&lt;=anal_period)</f>
        <v>33043161.824759856</v>
      </c>
      <c r="F25" s="217">
        <f t="shared" ca="1" si="0"/>
        <v>33043161.824759856</v>
      </c>
      <c r="G25" s="217">
        <f t="shared" ca="1" si="3"/>
        <v>8831235.7538657412</v>
      </c>
      <c r="H25" s="218">
        <f t="shared" ca="1" si="4"/>
        <v>41093618.821026109</v>
      </c>
      <c r="I25" s="363"/>
      <c r="J25" s="364"/>
      <c r="K25" s="365"/>
      <c r="L25" s="366"/>
    </row>
    <row r="26" spans="1:12" x14ac:dyDescent="0.25">
      <c r="A26" s="94">
        <f>IF(C26&lt;&gt;"",'Cash Flow Analysis'!A73,"")</f>
        <v>2020</v>
      </c>
      <c r="B26" s="314">
        <f t="shared" si="1"/>
        <v>12</v>
      </c>
      <c r="C26" s="314">
        <f t="shared" si="2"/>
        <v>9</v>
      </c>
      <c r="D26" s="482"/>
      <c r="E26" s="217">
        <f ca="1">+'Carbon Sequestration'!$C$100*(C26&lt;=anal_period)</f>
        <v>33043161.824759856</v>
      </c>
      <c r="F26" s="217">
        <f t="shared" ca="1" si="0"/>
        <v>33043161.824759856</v>
      </c>
      <c r="G26" s="217">
        <f t="shared" ca="1" si="3"/>
        <v>8831235.7538657412</v>
      </c>
      <c r="H26" s="218">
        <f t="shared" ca="1" si="4"/>
        <v>41093618.821026109</v>
      </c>
      <c r="I26" s="363"/>
      <c r="J26" s="364"/>
      <c r="K26" s="365"/>
      <c r="L26" s="366"/>
    </row>
    <row r="27" spans="1:12" x14ac:dyDescent="0.25">
      <c r="A27" s="94">
        <f>IF(C27&lt;&gt;"",'Cash Flow Analysis'!A74,"")</f>
        <v>2021</v>
      </c>
      <c r="B27" s="314">
        <f t="shared" si="1"/>
        <v>13</v>
      </c>
      <c r="C27" s="314">
        <f t="shared" si="2"/>
        <v>10</v>
      </c>
      <c r="D27" s="482"/>
      <c r="E27" s="217">
        <f ca="1">+'Carbon Sequestration'!$C$100*(C27&lt;=anal_period)</f>
        <v>33043161.824759856</v>
      </c>
      <c r="F27" s="217">
        <f t="shared" ca="1" si="0"/>
        <v>33043161.824759856</v>
      </c>
      <c r="G27" s="217">
        <f t="shared" ca="1" si="3"/>
        <v>8831235.7538657412</v>
      </c>
      <c r="H27" s="218">
        <f t="shared" ca="1" si="4"/>
        <v>41093618.821026109</v>
      </c>
      <c r="I27" s="363"/>
      <c r="J27" s="364"/>
      <c r="K27" s="365"/>
      <c r="L27" s="366"/>
    </row>
    <row r="28" spans="1:12" x14ac:dyDescent="0.25">
      <c r="A28" s="94">
        <f>IF(C28&lt;&gt;"",'Cash Flow Analysis'!A75,"")</f>
        <v>2022</v>
      </c>
      <c r="B28" s="314">
        <f t="shared" si="1"/>
        <v>14</v>
      </c>
      <c r="C28" s="314">
        <f t="shared" si="2"/>
        <v>11</v>
      </c>
      <c r="D28" s="482"/>
      <c r="E28" s="217">
        <f ca="1">+'Carbon Sequestration'!$C$100*(C28&lt;=anal_period)</f>
        <v>33043161.824759856</v>
      </c>
      <c r="F28" s="217">
        <f t="shared" ca="1" si="0"/>
        <v>33043161.824759856</v>
      </c>
      <c r="G28" s="217">
        <f t="shared" ca="1" si="3"/>
        <v>8831235.7538657412</v>
      </c>
      <c r="H28" s="218">
        <f t="shared" ca="1" si="4"/>
        <v>41093618.821026109</v>
      </c>
      <c r="I28" s="363"/>
      <c r="J28" s="364"/>
      <c r="K28" s="365"/>
      <c r="L28" s="366"/>
    </row>
    <row r="29" spans="1:12" x14ac:dyDescent="0.25">
      <c r="A29" s="94">
        <f>IF(C29&lt;&gt;"",'Cash Flow Analysis'!A76,"")</f>
        <v>2023</v>
      </c>
      <c r="B29" s="314">
        <f t="shared" si="1"/>
        <v>15</v>
      </c>
      <c r="C29" s="314">
        <f t="shared" si="2"/>
        <v>12</v>
      </c>
      <c r="D29" s="482"/>
      <c r="E29" s="217">
        <f ca="1">+'Carbon Sequestration'!$C$100*(C29&lt;=anal_period)</f>
        <v>33043161.824759856</v>
      </c>
      <c r="F29" s="217">
        <f t="shared" ca="1" si="0"/>
        <v>33043161.824759856</v>
      </c>
      <c r="G29" s="217">
        <f t="shared" ca="1" si="3"/>
        <v>8831235.7538657412</v>
      </c>
      <c r="H29" s="218">
        <f t="shared" ca="1" si="4"/>
        <v>41093618.821026109</v>
      </c>
      <c r="I29" s="363"/>
      <c r="J29" s="364"/>
      <c r="K29" s="365"/>
      <c r="L29" s="366"/>
    </row>
    <row r="30" spans="1:12" x14ac:dyDescent="0.25">
      <c r="A30" s="94">
        <f>IF(C30&lt;&gt;"",'Cash Flow Analysis'!A77,"")</f>
        <v>2024</v>
      </c>
      <c r="B30" s="314">
        <f t="shared" si="1"/>
        <v>16</v>
      </c>
      <c r="C30" s="314">
        <f t="shared" si="2"/>
        <v>13</v>
      </c>
      <c r="D30" s="482"/>
      <c r="E30" s="217">
        <f ca="1">+'Carbon Sequestration'!$C$100*(C30&lt;=anal_period)</f>
        <v>33043161.824759856</v>
      </c>
      <c r="F30" s="217">
        <f t="shared" ca="1" si="0"/>
        <v>33043161.824759856</v>
      </c>
      <c r="G30" s="217">
        <f t="shared" ca="1" si="3"/>
        <v>8831235.7538657412</v>
      </c>
      <c r="H30" s="218">
        <f t="shared" ca="1" si="4"/>
        <v>41093618.821026109</v>
      </c>
      <c r="I30" s="363"/>
      <c r="J30" s="364"/>
      <c r="K30" s="365"/>
      <c r="L30" s="366"/>
    </row>
    <row r="31" spans="1:12" x14ac:dyDescent="0.25">
      <c r="A31" s="94">
        <f>IF(C31&lt;&gt;"",'Cash Flow Analysis'!A78,"")</f>
        <v>2025</v>
      </c>
      <c r="B31" s="314">
        <f t="shared" si="1"/>
        <v>17</v>
      </c>
      <c r="C31" s="314">
        <f t="shared" si="2"/>
        <v>14</v>
      </c>
      <c r="D31" s="482"/>
      <c r="E31" s="217">
        <f ca="1">+'Carbon Sequestration'!$C$100*(C31&lt;=anal_period)</f>
        <v>33043161.824759856</v>
      </c>
      <c r="F31" s="217">
        <f t="shared" ca="1" si="0"/>
        <v>33043161.824759856</v>
      </c>
      <c r="G31" s="217">
        <f t="shared" ca="1" si="3"/>
        <v>8831235.7538657412</v>
      </c>
      <c r="H31" s="218">
        <f t="shared" ca="1" si="4"/>
        <v>41093618.821026109</v>
      </c>
      <c r="I31" s="363"/>
      <c r="J31" s="364"/>
      <c r="K31" s="365"/>
      <c r="L31" s="366"/>
    </row>
    <row r="32" spans="1:12" x14ac:dyDescent="0.25">
      <c r="A32" s="94">
        <f>IF(C32&lt;&gt;"",'Cash Flow Analysis'!A79,"")</f>
        <v>2026</v>
      </c>
      <c r="B32" s="314">
        <f t="shared" si="1"/>
        <v>18</v>
      </c>
      <c r="C32" s="314">
        <f t="shared" si="2"/>
        <v>15</v>
      </c>
      <c r="D32" s="482"/>
      <c r="E32" s="217">
        <f ca="1">+'Carbon Sequestration'!$C$100*(C32&lt;=anal_period)</f>
        <v>33043161.824759856</v>
      </c>
      <c r="F32" s="217">
        <f t="shared" ca="1" si="0"/>
        <v>33043161.824759856</v>
      </c>
      <c r="G32" s="217">
        <f t="shared" ca="1" si="3"/>
        <v>8831235.7538657412</v>
      </c>
      <c r="H32" s="218">
        <f t="shared" ca="1" si="4"/>
        <v>41093618.821026109</v>
      </c>
      <c r="I32" s="363"/>
      <c r="J32" s="364"/>
      <c r="K32" s="365"/>
      <c r="L32" s="366"/>
    </row>
    <row r="33" spans="1:12" x14ac:dyDescent="0.25">
      <c r="A33" s="94">
        <f>IF(C33&lt;&gt;"",'Cash Flow Analysis'!A80,"")</f>
        <v>2027</v>
      </c>
      <c r="B33" s="314">
        <f t="shared" si="1"/>
        <v>19</v>
      </c>
      <c r="C33" s="314">
        <f t="shared" si="2"/>
        <v>16</v>
      </c>
      <c r="D33" s="482"/>
      <c r="E33" s="217">
        <f ca="1">+'Carbon Sequestration'!$C$100*(C33&lt;=anal_period)</f>
        <v>33043161.824759856</v>
      </c>
      <c r="F33" s="217">
        <f t="shared" ca="1" si="0"/>
        <v>33043161.824759856</v>
      </c>
      <c r="G33" s="217">
        <f t="shared" ca="1" si="3"/>
        <v>8831235.7538657412</v>
      </c>
      <c r="H33" s="218">
        <f t="shared" ca="1" si="4"/>
        <v>41093618.821026109</v>
      </c>
      <c r="I33" s="363"/>
      <c r="J33" s="364"/>
      <c r="K33" s="365"/>
      <c r="L33" s="366"/>
    </row>
    <row r="34" spans="1:12" x14ac:dyDescent="0.25">
      <c r="A34" s="94">
        <f>IF(C34&lt;&gt;"",'Cash Flow Analysis'!A81,"")</f>
        <v>2028</v>
      </c>
      <c r="B34" s="314">
        <f t="shared" si="1"/>
        <v>20</v>
      </c>
      <c r="C34" s="314">
        <f t="shared" si="2"/>
        <v>17</v>
      </c>
      <c r="D34" s="482"/>
      <c r="E34" s="217">
        <f ca="1">+'Carbon Sequestration'!$C$100*(C34&lt;=anal_period)</f>
        <v>33043161.824759856</v>
      </c>
      <c r="F34" s="217">
        <f t="shared" ca="1" si="0"/>
        <v>33043161.824759856</v>
      </c>
      <c r="G34" s="217">
        <f t="shared" ca="1" si="3"/>
        <v>8831235.7538657412</v>
      </c>
      <c r="H34" s="218">
        <f t="shared" ca="1" si="4"/>
        <v>41093618.821026109</v>
      </c>
      <c r="I34" s="363"/>
      <c r="J34" s="364"/>
      <c r="K34" s="365"/>
      <c r="L34" s="366"/>
    </row>
    <row r="35" spans="1:12" x14ac:dyDescent="0.25">
      <c r="A35" s="94">
        <f>IF(C35&lt;&gt;"",'Cash Flow Analysis'!A82,"")</f>
        <v>2029</v>
      </c>
      <c r="B35" s="314">
        <f t="shared" si="1"/>
        <v>21</v>
      </c>
      <c r="C35" s="314">
        <f t="shared" si="2"/>
        <v>18</v>
      </c>
      <c r="D35" s="482"/>
      <c r="E35" s="217">
        <f ca="1">+'Carbon Sequestration'!$C$100*(C35&lt;=anal_period)</f>
        <v>33043161.824759856</v>
      </c>
      <c r="F35" s="217">
        <f t="shared" ca="1" si="0"/>
        <v>33043161.824759856</v>
      </c>
      <c r="G35" s="217">
        <f t="shared" ca="1" si="3"/>
        <v>8831235.7538657412</v>
      </c>
      <c r="H35" s="218">
        <f t="shared" ca="1" si="4"/>
        <v>41093618.821026109</v>
      </c>
      <c r="I35" s="363"/>
      <c r="J35" s="364"/>
      <c r="K35" s="365"/>
      <c r="L35" s="366"/>
    </row>
    <row r="36" spans="1:12" x14ac:dyDescent="0.25">
      <c r="A36" s="94">
        <f>IF(C36&lt;&gt;"",'Cash Flow Analysis'!A83,"")</f>
        <v>2030</v>
      </c>
      <c r="B36" s="314">
        <f t="shared" si="1"/>
        <v>22</v>
      </c>
      <c r="C36" s="314">
        <f t="shared" si="2"/>
        <v>19</v>
      </c>
      <c r="D36" s="482"/>
      <c r="E36" s="217">
        <f ca="1">+'Carbon Sequestration'!$C$100*(C36&lt;=anal_period)</f>
        <v>33043161.824759856</v>
      </c>
      <c r="F36" s="217">
        <f t="shared" ca="1" si="0"/>
        <v>33043161.824759856</v>
      </c>
      <c r="G36" s="217">
        <f t="shared" ca="1" si="3"/>
        <v>8831235.7538657412</v>
      </c>
      <c r="H36" s="218">
        <f t="shared" ca="1" si="4"/>
        <v>41093618.821026109</v>
      </c>
      <c r="I36" s="363"/>
      <c r="J36" s="364"/>
      <c r="K36" s="365"/>
      <c r="L36" s="366"/>
    </row>
    <row r="37" spans="1:12" x14ac:dyDescent="0.25">
      <c r="A37" s="94">
        <f>IF(C37&lt;&gt;"",'Cash Flow Analysis'!A84,"")</f>
        <v>2031</v>
      </c>
      <c r="B37" s="314">
        <f t="shared" si="1"/>
        <v>23</v>
      </c>
      <c r="C37" s="314">
        <f t="shared" si="2"/>
        <v>20</v>
      </c>
      <c r="D37" s="482"/>
      <c r="E37" s="217">
        <f ca="1">+'Carbon Sequestration'!$C$100*(C37&lt;=anal_period)</f>
        <v>33043161.824759856</v>
      </c>
      <c r="F37" s="217">
        <f t="shared" ca="1" si="0"/>
        <v>33043161.824759856</v>
      </c>
      <c r="G37" s="217">
        <f t="shared" ca="1" si="3"/>
        <v>8831235.7538657412</v>
      </c>
      <c r="H37" s="218">
        <f t="shared" ca="1" si="4"/>
        <v>41093618.821026109</v>
      </c>
      <c r="I37" s="363"/>
      <c r="J37" s="364"/>
      <c r="K37" s="365"/>
      <c r="L37" s="366"/>
    </row>
    <row r="38" spans="1:12" x14ac:dyDescent="0.25">
      <c r="A38" s="94">
        <f>IF(C38&lt;&gt;"",'Cash Flow Analysis'!A85,"")</f>
        <v>2032</v>
      </c>
      <c r="B38" s="314">
        <f t="shared" si="1"/>
        <v>24</v>
      </c>
      <c r="C38" s="314">
        <f t="shared" si="2"/>
        <v>21</v>
      </c>
      <c r="D38" s="482"/>
      <c r="E38" s="217">
        <f ca="1">+'Carbon Sequestration'!$C$100*(C38&lt;=anal_period)</f>
        <v>33043161.824759856</v>
      </c>
      <c r="F38" s="217">
        <f t="shared" ca="1" si="0"/>
        <v>33043161.824759856</v>
      </c>
      <c r="G38" s="217">
        <f t="shared" ca="1" si="3"/>
        <v>8831235.7538657412</v>
      </c>
      <c r="H38" s="218">
        <f t="shared" ca="1" si="4"/>
        <v>41093618.821026109</v>
      </c>
      <c r="I38" s="363"/>
      <c r="J38" s="364"/>
      <c r="K38" s="365"/>
      <c r="L38" s="366"/>
    </row>
    <row r="39" spans="1:12" x14ac:dyDescent="0.25">
      <c r="A39" s="94">
        <f>IF(C39&lt;&gt;"",'Cash Flow Analysis'!A86,"")</f>
        <v>2033</v>
      </c>
      <c r="B39" s="314">
        <f t="shared" si="1"/>
        <v>25</v>
      </c>
      <c r="C39" s="314">
        <f t="shared" si="2"/>
        <v>22</v>
      </c>
      <c r="D39" s="482"/>
      <c r="E39" s="217">
        <f ca="1">+'Carbon Sequestration'!$C$100*(C39&lt;=anal_period)</f>
        <v>33043161.824759856</v>
      </c>
      <c r="F39" s="217">
        <f t="shared" ca="1" si="0"/>
        <v>33043161.824759856</v>
      </c>
      <c r="G39" s="217">
        <f t="shared" ca="1" si="3"/>
        <v>8831235.7538657412</v>
      </c>
      <c r="H39" s="218">
        <f t="shared" ca="1" si="4"/>
        <v>41093618.821026109</v>
      </c>
      <c r="I39" s="363"/>
      <c r="J39" s="364"/>
      <c r="K39" s="365"/>
      <c r="L39" s="366"/>
    </row>
    <row r="40" spans="1:12" x14ac:dyDescent="0.25">
      <c r="A40" s="94">
        <f>IF(C40&lt;&gt;"",'Cash Flow Analysis'!A87,"")</f>
        <v>2034</v>
      </c>
      <c r="B40" s="314">
        <f t="shared" si="1"/>
        <v>26</v>
      </c>
      <c r="C40" s="314">
        <f t="shared" si="2"/>
        <v>23</v>
      </c>
      <c r="D40" s="482"/>
      <c r="E40" s="217">
        <f ca="1">+'Carbon Sequestration'!$C$100*(C40&lt;=anal_period)</f>
        <v>33043161.824759856</v>
      </c>
      <c r="F40" s="217">
        <f t="shared" ca="1" si="0"/>
        <v>33043161.824759856</v>
      </c>
      <c r="G40" s="217">
        <f t="shared" ca="1" si="3"/>
        <v>8831235.7538657412</v>
      </c>
      <c r="H40" s="218">
        <f t="shared" ca="1" si="4"/>
        <v>41093618.821026109</v>
      </c>
      <c r="I40" s="363"/>
      <c r="J40" s="364"/>
      <c r="K40" s="365"/>
      <c r="L40" s="366"/>
    </row>
    <row r="41" spans="1:12" x14ac:dyDescent="0.25">
      <c r="A41" s="94">
        <f>IF(C41&lt;&gt;"",'Cash Flow Analysis'!A88,"")</f>
        <v>2035</v>
      </c>
      <c r="B41" s="314">
        <f t="shared" si="1"/>
        <v>27</v>
      </c>
      <c r="C41" s="314">
        <f t="shared" si="2"/>
        <v>24</v>
      </c>
      <c r="D41" s="482"/>
      <c r="E41" s="217">
        <f ca="1">+'Carbon Sequestration'!$C$100*(C41&lt;=anal_period)</f>
        <v>33043161.824759856</v>
      </c>
      <c r="F41" s="217">
        <f t="shared" ca="1" si="0"/>
        <v>33043161.824759856</v>
      </c>
      <c r="G41" s="217">
        <f t="shared" ca="1" si="3"/>
        <v>8831235.7538657412</v>
      </c>
      <c r="H41" s="218">
        <f t="shared" ca="1" si="4"/>
        <v>41093618.821026109</v>
      </c>
      <c r="I41" s="363"/>
      <c r="J41" s="364"/>
      <c r="K41" s="365"/>
      <c r="L41" s="366"/>
    </row>
    <row r="42" spans="1:12" x14ac:dyDescent="0.25">
      <c r="A42" s="94">
        <f>IF(C42&lt;&gt;"",'Cash Flow Analysis'!A89,"")</f>
        <v>2036</v>
      </c>
      <c r="B42" s="314">
        <f t="shared" si="1"/>
        <v>28</v>
      </c>
      <c r="C42" s="314">
        <f t="shared" si="2"/>
        <v>25</v>
      </c>
      <c r="D42" s="482"/>
      <c r="E42" s="217">
        <f ca="1">+'Carbon Sequestration'!$C$100*(C42&lt;=anal_period)</f>
        <v>33043161.824759856</v>
      </c>
      <c r="F42" s="217">
        <f t="shared" ca="1" si="0"/>
        <v>33043161.824759856</v>
      </c>
      <c r="G42" s="217">
        <f t="shared" ca="1" si="3"/>
        <v>8831235.7538657412</v>
      </c>
      <c r="H42" s="218">
        <f t="shared" ca="1" si="4"/>
        <v>41093618.821026109</v>
      </c>
      <c r="I42" s="363"/>
      <c r="J42" s="364"/>
      <c r="K42" s="365"/>
      <c r="L42" s="366"/>
    </row>
    <row r="43" spans="1:12" x14ac:dyDescent="0.25">
      <c r="A43" s="94">
        <f>IF(C43&lt;&gt;"",'Cash Flow Analysis'!A90,"")</f>
        <v>2037</v>
      </c>
      <c r="B43" s="314">
        <f t="shared" si="1"/>
        <v>29</v>
      </c>
      <c r="C43" s="314">
        <f t="shared" si="2"/>
        <v>26</v>
      </c>
      <c r="D43" s="482"/>
      <c r="E43" s="217">
        <f ca="1">+'Carbon Sequestration'!$C$100*(C43&lt;=anal_period)</f>
        <v>33043161.824759856</v>
      </c>
      <c r="F43" s="217">
        <f t="shared" ca="1" si="0"/>
        <v>33043161.824759856</v>
      </c>
      <c r="G43" s="217">
        <f t="shared" ca="1" si="3"/>
        <v>8831235.7538657412</v>
      </c>
      <c r="H43" s="218">
        <f t="shared" ca="1" si="4"/>
        <v>41093618.821026109</v>
      </c>
      <c r="I43" s="363"/>
      <c r="J43" s="364"/>
      <c r="K43" s="365"/>
      <c r="L43" s="366"/>
    </row>
    <row r="44" spans="1:12" x14ac:dyDescent="0.25">
      <c r="A44" s="94">
        <f>IF(C44&lt;&gt;"",'Cash Flow Analysis'!A91,"")</f>
        <v>2038</v>
      </c>
      <c r="B44" s="314">
        <f t="shared" si="1"/>
        <v>30</v>
      </c>
      <c r="C44" s="314">
        <f t="shared" si="2"/>
        <v>27</v>
      </c>
      <c r="D44" s="482"/>
      <c r="E44" s="217">
        <f ca="1">+'Carbon Sequestration'!$C$100*(C44&lt;=anal_period)</f>
        <v>33043161.824759856</v>
      </c>
      <c r="F44" s="217">
        <f t="shared" ca="1" si="0"/>
        <v>33043161.824759856</v>
      </c>
      <c r="G44" s="217">
        <f t="shared" ca="1" si="3"/>
        <v>8831235.7538657412</v>
      </c>
      <c r="H44" s="218">
        <f t="shared" ca="1" si="4"/>
        <v>41093618.821026109</v>
      </c>
      <c r="I44" s="363"/>
      <c r="J44" s="364"/>
      <c r="K44" s="365"/>
      <c r="L44" s="366"/>
    </row>
    <row r="45" spans="1:12" x14ac:dyDescent="0.25">
      <c r="A45" s="94">
        <f>IF(C45&lt;&gt;"",'Cash Flow Analysis'!A92,"")</f>
        <v>2039</v>
      </c>
      <c r="B45" s="314">
        <f t="shared" si="1"/>
        <v>31</v>
      </c>
      <c r="C45" s="314">
        <f t="shared" si="2"/>
        <v>28</v>
      </c>
      <c r="D45" s="482"/>
      <c r="E45" s="217">
        <f ca="1">+'Carbon Sequestration'!$C$100*(C45&lt;=anal_period)</f>
        <v>33043161.824759856</v>
      </c>
      <c r="F45" s="217">
        <f t="shared" ca="1" si="0"/>
        <v>33043161.824759856</v>
      </c>
      <c r="G45" s="217">
        <f t="shared" ca="1" si="3"/>
        <v>8831235.7538657412</v>
      </c>
      <c r="H45" s="218">
        <f t="shared" ca="1" si="4"/>
        <v>41093618.821026109</v>
      </c>
      <c r="I45" s="363"/>
      <c r="J45" s="364"/>
      <c r="K45" s="365"/>
      <c r="L45" s="366"/>
    </row>
    <row r="46" spans="1:12" x14ac:dyDescent="0.25">
      <c r="A46" s="94">
        <f>IF(C46&lt;&gt;"",'Cash Flow Analysis'!A93,"")</f>
        <v>2040</v>
      </c>
      <c r="B46" s="314">
        <f t="shared" si="1"/>
        <v>32</v>
      </c>
      <c r="C46" s="314">
        <f t="shared" si="2"/>
        <v>29</v>
      </c>
      <c r="D46" s="482"/>
      <c r="E46" s="217">
        <f ca="1">+'Carbon Sequestration'!$C$100*(C46&lt;=anal_period)</f>
        <v>33043161.824759856</v>
      </c>
      <c r="F46" s="217">
        <f t="shared" ca="1" si="0"/>
        <v>33043161.824759856</v>
      </c>
      <c r="G46" s="217">
        <f t="shared" ca="1" si="3"/>
        <v>8831235.7538657412</v>
      </c>
      <c r="H46" s="218">
        <f t="shared" ca="1" si="4"/>
        <v>41093618.821026109</v>
      </c>
      <c r="I46" s="363"/>
      <c r="J46" s="364"/>
      <c r="K46" s="365"/>
      <c r="L46" s="366"/>
    </row>
    <row r="47" spans="1:12" x14ac:dyDescent="0.25">
      <c r="A47" s="94">
        <f>IF(C47&lt;&gt;"",'Cash Flow Analysis'!A94,"")</f>
        <v>2041</v>
      </c>
      <c r="B47" s="314">
        <f t="shared" si="1"/>
        <v>33</v>
      </c>
      <c r="C47" s="314">
        <f t="shared" si="2"/>
        <v>30</v>
      </c>
      <c r="D47" s="482"/>
      <c r="E47" s="217">
        <f ca="1">+'Carbon Sequestration'!$C$100*(C47&lt;=anal_period)</f>
        <v>33043161.824759856</v>
      </c>
      <c r="F47" s="217">
        <f t="shared" ca="1" si="0"/>
        <v>33043161.824759856</v>
      </c>
      <c r="G47" s="217">
        <f t="shared" ca="1" si="3"/>
        <v>8831235.7538657412</v>
      </c>
      <c r="H47" s="218">
        <f t="shared" ca="1" si="4"/>
        <v>41093618.821026109</v>
      </c>
      <c r="I47" s="363"/>
      <c r="J47" s="364"/>
      <c r="K47" s="365"/>
      <c r="L47" s="366"/>
    </row>
    <row r="48" spans="1:12" x14ac:dyDescent="0.25">
      <c r="A48" s="94" t="str">
        <f>IF(C48&lt;&gt;"",'Cash Flow Analysis'!A95,"")</f>
        <v/>
      </c>
      <c r="B48" s="314" t="str">
        <f t="shared" si="1"/>
        <v/>
      </c>
      <c r="C48" s="314" t="str">
        <f t="shared" si="2"/>
        <v/>
      </c>
      <c r="D48" s="482"/>
      <c r="E48" s="217">
        <f ca="1">+'Carbon Sequestration'!$C$100*(C48&lt;=anal_period)</f>
        <v>0</v>
      </c>
      <c r="F48" s="217">
        <f t="shared" ca="1" si="0"/>
        <v>0</v>
      </c>
      <c r="G48" s="217">
        <f t="shared" si="3"/>
        <v>0</v>
      </c>
      <c r="H48" s="218">
        <f t="shared" ca="1" si="4"/>
        <v>0</v>
      </c>
      <c r="I48" s="363"/>
      <c r="J48" s="364"/>
      <c r="K48" s="365"/>
      <c r="L48" s="366"/>
    </row>
    <row r="49" spans="1:12" x14ac:dyDescent="0.25">
      <c r="A49" s="94" t="str">
        <f>IF(C49&lt;&gt;"",'Cash Flow Analysis'!A96,"")</f>
        <v/>
      </c>
      <c r="B49" s="314" t="str">
        <f t="shared" si="1"/>
        <v/>
      </c>
      <c r="C49" s="314" t="str">
        <f t="shared" si="2"/>
        <v/>
      </c>
      <c r="D49" s="482"/>
      <c r="E49" s="217">
        <f ca="1">+'Carbon Sequestration'!$C$100*(C49&lt;=anal_period)</f>
        <v>0</v>
      </c>
      <c r="F49" s="217">
        <f t="shared" ca="1" si="0"/>
        <v>0</v>
      </c>
      <c r="G49" s="217">
        <f t="shared" si="3"/>
        <v>0</v>
      </c>
      <c r="H49" s="218">
        <f t="shared" ca="1" si="4"/>
        <v>0</v>
      </c>
      <c r="I49" s="363"/>
      <c r="J49" s="364"/>
      <c r="K49" s="365"/>
      <c r="L49" s="366"/>
    </row>
    <row r="50" spans="1:12" x14ac:dyDescent="0.25">
      <c r="A50" s="94" t="str">
        <f>IF(C50&lt;&gt;"",'Cash Flow Analysis'!A97,"")</f>
        <v/>
      </c>
      <c r="B50" s="314" t="str">
        <f t="shared" si="1"/>
        <v/>
      </c>
      <c r="C50" s="314" t="str">
        <f t="shared" si="2"/>
        <v/>
      </c>
      <c r="D50" s="482"/>
      <c r="E50" s="217">
        <f ca="1">+'Carbon Sequestration'!$C$100*(C50&lt;=anal_period)</f>
        <v>0</v>
      </c>
      <c r="F50" s="217">
        <f t="shared" ca="1" si="0"/>
        <v>0</v>
      </c>
      <c r="G50" s="217">
        <f t="shared" si="3"/>
        <v>0</v>
      </c>
      <c r="H50" s="218">
        <f t="shared" ca="1" si="4"/>
        <v>0</v>
      </c>
      <c r="I50" s="363"/>
      <c r="J50" s="364"/>
      <c r="K50" s="365"/>
      <c r="L50" s="366"/>
    </row>
    <row r="51" spans="1:12" x14ac:dyDescent="0.25">
      <c r="A51" s="94" t="str">
        <f>IF(C51&lt;&gt;"",'Cash Flow Analysis'!A98,"")</f>
        <v/>
      </c>
      <c r="B51" s="314" t="str">
        <f t="shared" si="1"/>
        <v/>
      </c>
      <c r="C51" s="314" t="str">
        <f t="shared" si="2"/>
        <v/>
      </c>
      <c r="D51" s="482"/>
      <c r="E51" s="217">
        <f ca="1">+'Carbon Sequestration'!$C$100*(C51&lt;=anal_period)</f>
        <v>0</v>
      </c>
      <c r="F51" s="217">
        <f t="shared" ca="1" si="0"/>
        <v>0</v>
      </c>
      <c r="G51" s="217">
        <f t="shared" si="3"/>
        <v>0</v>
      </c>
      <c r="H51" s="218">
        <f t="shared" ca="1" si="4"/>
        <v>0</v>
      </c>
      <c r="I51" s="363"/>
      <c r="J51" s="364"/>
      <c r="K51" s="365"/>
      <c r="L51" s="366"/>
    </row>
    <row r="52" spans="1:12" x14ac:dyDescent="0.25">
      <c r="A52" s="94" t="str">
        <f>IF(C52&lt;&gt;"",'Cash Flow Analysis'!A99,"")</f>
        <v/>
      </c>
      <c r="B52" s="314" t="str">
        <f t="shared" si="1"/>
        <v/>
      </c>
      <c r="C52" s="314" t="str">
        <f t="shared" si="2"/>
        <v/>
      </c>
      <c r="D52" s="482"/>
      <c r="E52" s="217">
        <f ca="1">+'Carbon Sequestration'!$C$100*(C52&lt;=anal_period)</f>
        <v>0</v>
      </c>
      <c r="F52" s="217">
        <f t="shared" ca="1" si="0"/>
        <v>0</v>
      </c>
      <c r="G52" s="217">
        <f t="shared" si="3"/>
        <v>0</v>
      </c>
      <c r="H52" s="218">
        <f t="shared" ca="1" si="4"/>
        <v>0</v>
      </c>
      <c r="I52" s="363"/>
      <c r="J52" s="364"/>
      <c r="K52" s="365"/>
      <c r="L52" s="366"/>
    </row>
    <row r="53" spans="1:12" x14ac:dyDescent="0.25">
      <c r="A53" s="94" t="str">
        <f>IF(C53&lt;&gt;"",'Cash Flow Analysis'!A100,"")</f>
        <v/>
      </c>
      <c r="B53" s="314" t="str">
        <f t="shared" si="1"/>
        <v/>
      </c>
      <c r="C53" s="314" t="str">
        <f t="shared" si="2"/>
        <v/>
      </c>
      <c r="D53" s="482"/>
      <c r="E53" s="217">
        <f ca="1">+'Carbon Sequestration'!$C$100*(C53&lt;=anal_period)</f>
        <v>0</v>
      </c>
      <c r="F53" s="217">
        <f t="shared" ca="1" si="0"/>
        <v>0</v>
      </c>
      <c r="G53" s="217">
        <f t="shared" si="3"/>
        <v>0</v>
      </c>
      <c r="H53" s="218">
        <f t="shared" ca="1" si="4"/>
        <v>0</v>
      </c>
      <c r="I53" s="363"/>
      <c r="J53" s="364"/>
      <c r="K53" s="365"/>
      <c r="L53" s="366"/>
    </row>
    <row r="54" spans="1:12" x14ac:dyDescent="0.25">
      <c r="A54" s="94" t="str">
        <f>IF(C54&lt;&gt;"",'Cash Flow Analysis'!A101,"")</f>
        <v/>
      </c>
      <c r="B54" s="314" t="str">
        <f t="shared" si="1"/>
        <v/>
      </c>
      <c r="C54" s="314" t="str">
        <f t="shared" si="2"/>
        <v/>
      </c>
      <c r="D54" s="482"/>
      <c r="E54" s="217">
        <f ca="1">+'Carbon Sequestration'!$C$100*(C54&lt;=anal_period)</f>
        <v>0</v>
      </c>
      <c r="F54" s="217">
        <f t="shared" ca="1" si="0"/>
        <v>0</v>
      </c>
      <c r="G54" s="217">
        <f t="shared" si="3"/>
        <v>0</v>
      </c>
      <c r="H54" s="218">
        <f t="shared" ca="1" si="4"/>
        <v>0</v>
      </c>
      <c r="I54" s="363"/>
      <c r="J54" s="364"/>
      <c r="K54" s="365"/>
      <c r="L54" s="366"/>
    </row>
    <row r="55" spans="1:12" x14ac:dyDescent="0.25">
      <c r="A55" s="94" t="str">
        <f>IF(C55&lt;&gt;"",'Cash Flow Analysis'!A102,"")</f>
        <v/>
      </c>
      <c r="B55" s="314" t="str">
        <f t="shared" si="1"/>
        <v/>
      </c>
      <c r="C55" s="314" t="str">
        <f t="shared" si="2"/>
        <v/>
      </c>
      <c r="D55" s="482"/>
      <c r="E55" s="217">
        <f ca="1">+'Carbon Sequestration'!$C$100*(C55&lt;=anal_period)</f>
        <v>0</v>
      </c>
      <c r="F55" s="217">
        <f t="shared" ca="1" si="0"/>
        <v>0</v>
      </c>
      <c r="G55" s="217">
        <f t="shared" si="3"/>
        <v>0</v>
      </c>
      <c r="H55" s="218">
        <f t="shared" ca="1" si="4"/>
        <v>0</v>
      </c>
      <c r="I55" s="363"/>
      <c r="J55" s="364"/>
      <c r="K55" s="365"/>
      <c r="L55" s="366"/>
    </row>
    <row r="56" spans="1:12" x14ac:dyDescent="0.25">
      <c r="A56" s="94" t="str">
        <f>IF(C56&lt;&gt;"",'Cash Flow Analysis'!A103,"")</f>
        <v/>
      </c>
      <c r="B56" s="314" t="str">
        <f t="shared" si="1"/>
        <v/>
      </c>
      <c r="C56" s="314" t="str">
        <f t="shared" si="2"/>
        <v/>
      </c>
      <c r="D56" s="482"/>
      <c r="E56" s="217">
        <f ca="1">+'Carbon Sequestration'!$C$100*(C56&lt;=anal_period)</f>
        <v>0</v>
      </c>
      <c r="F56" s="217">
        <f t="shared" ca="1" si="0"/>
        <v>0</v>
      </c>
      <c r="G56" s="217">
        <f t="shared" si="3"/>
        <v>0</v>
      </c>
      <c r="H56" s="218">
        <f t="shared" ca="1" si="4"/>
        <v>0</v>
      </c>
      <c r="I56" s="363"/>
      <c r="J56" s="364"/>
      <c r="K56" s="365"/>
      <c r="L56" s="366"/>
    </row>
    <row r="57" spans="1:12" ht="13.8" thickBot="1" x14ac:dyDescent="0.3">
      <c r="A57" s="96" t="str">
        <f>IF(C57&lt;&gt;"",'Cash Flow Analysis'!A104,"")</f>
        <v/>
      </c>
      <c r="B57" s="315" t="str">
        <f t="shared" si="1"/>
        <v/>
      </c>
      <c r="C57" s="315" t="str">
        <f t="shared" si="2"/>
        <v/>
      </c>
      <c r="D57" s="483"/>
      <c r="E57" s="219">
        <f ca="1">+'Carbon Sequestration'!$C$100*(C57&lt;=anal_period)</f>
        <v>0</v>
      </c>
      <c r="F57" s="219">
        <f t="shared" ca="1" si="0"/>
        <v>0</v>
      </c>
      <c r="G57" s="219">
        <f t="shared" si="3"/>
        <v>0</v>
      </c>
      <c r="H57" s="220">
        <f t="shared" ca="1" si="4"/>
        <v>0</v>
      </c>
      <c r="I57" s="367"/>
      <c r="J57" s="368"/>
      <c r="K57" s="369"/>
      <c r="L57" s="370"/>
    </row>
    <row r="58" spans="1:12" ht="13.8" thickTop="1" x14ac:dyDescent="0.25"/>
  </sheetData>
  <phoneticPr fontId="0" type="noConversion"/>
  <pageMargins left="0.75" right="0.75" top="1" bottom="1" header="0.5" footer="0.5"/>
  <pageSetup scale="55" orientation="landscape" r:id="rId1"/>
  <headerFooter alignWithMargins="0">
    <oddHeader>&amp;LCentral Biomass Gasification - Current Timeframe&amp;R&amp;D</oddHeader>
    <oddFooter>&amp;CPage 6 of 7</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B2:H52"/>
  <sheetViews>
    <sheetView workbookViewId="0">
      <selection activeCell="B30" sqref="B30"/>
    </sheetView>
  </sheetViews>
  <sheetFormatPr defaultRowHeight="13.2" x14ac:dyDescent="0.25"/>
  <cols>
    <col min="2" max="2" width="37" customWidth="1"/>
    <col min="3" max="3" width="19.6640625" customWidth="1"/>
    <col min="4" max="5" width="18.6640625" customWidth="1"/>
    <col min="6" max="6" width="22.5546875" customWidth="1"/>
    <col min="7" max="7" width="51.109375" customWidth="1"/>
    <col min="8" max="8" width="27.109375" customWidth="1"/>
  </cols>
  <sheetData>
    <row r="2" spans="2:8" ht="22.5" customHeight="1" x14ac:dyDescent="0.5">
      <c r="B2" s="813" t="s">
        <v>83</v>
      </c>
      <c r="F2" s="1623"/>
      <c r="G2" s="1623"/>
      <c r="H2" s="1623"/>
    </row>
    <row r="3" spans="2:8" x14ac:dyDescent="0.25">
      <c r="F3" s="1623"/>
      <c r="G3" s="1623"/>
      <c r="H3" s="1623"/>
    </row>
    <row r="4" spans="2:8" ht="15.6" x14ac:dyDescent="0.3">
      <c r="C4" s="812" t="s">
        <v>233</v>
      </c>
      <c r="F4" s="1623"/>
      <c r="G4" s="1623"/>
      <c r="H4" s="1623"/>
    </row>
    <row r="5" spans="2:8" ht="15.6" x14ac:dyDescent="0.3">
      <c r="C5" s="812"/>
    </row>
    <row r="6" spans="2:8" ht="16.2" thickBot="1" x14ac:dyDescent="0.35">
      <c r="C6" s="812"/>
    </row>
    <row r="7" spans="2:8" ht="27" thickBot="1" x14ac:dyDescent="0.3">
      <c r="B7" s="979" t="s">
        <v>827</v>
      </c>
      <c r="C7" s="980">
        <v>618936</v>
      </c>
      <c r="D7" s="1624" t="s">
        <v>828</v>
      </c>
      <c r="E7" s="1625"/>
      <c r="F7" s="1625"/>
      <c r="G7" s="1625"/>
      <c r="H7" s="1626"/>
    </row>
    <row r="8" spans="2:8" ht="13.8" thickBot="1" x14ac:dyDescent="0.3">
      <c r="D8" s="1622" t="s">
        <v>1031</v>
      </c>
      <c r="E8" s="1620"/>
      <c r="F8" s="1620"/>
      <c r="G8" s="1620"/>
      <c r="H8" s="1620"/>
    </row>
    <row r="9" spans="2:8" x14ac:dyDescent="0.25">
      <c r="B9" s="1" t="s">
        <v>843</v>
      </c>
      <c r="C9" s="1001">
        <f>BasisYear</f>
        <v>2007</v>
      </c>
      <c r="D9" s="1627"/>
      <c r="E9" s="1628"/>
      <c r="F9" s="1628"/>
      <c r="G9" s="1628"/>
      <c r="H9" s="1629"/>
    </row>
    <row r="10" spans="2:8" x14ac:dyDescent="0.25">
      <c r="B10" s="1" t="s">
        <v>773</v>
      </c>
      <c r="C10" s="977">
        <v>2007</v>
      </c>
      <c r="D10" s="1616"/>
      <c r="E10" s="1617"/>
      <c r="F10" s="1617"/>
      <c r="G10" s="1617"/>
      <c r="H10" s="1618"/>
    </row>
    <row r="11" spans="2:8" x14ac:dyDescent="0.25">
      <c r="B11" s="1" t="str">
        <f>"CEPCI Inflator ("&amp;BasisYear&amp;" to "&amp;CurrentYear&amp;")"</f>
        <v>CEPCI Inflator (2007 to 2007)</v>
      </c>
      <c r="C11" s="999">
        <f>VLOOKUP(CurrentYear,Tbl_PlantCostIndexes,2,FALSE)/VLOOKUP(BasisYear,Tbl_PlantCostIndexes,2,FALSE)</f>
        <v>1</v>
      </c>
      <c r="D11" s="1616" t="s">
        <v>820</v>
      </c>
      <c r="E11" s="1617"/>
      <c r="F11" s="1617"/>
      <c r="G11" s="1617"/>
      <c r="H11" s="1618"/>
    </row>
    <row r="12" spans="2:8" ht="13.8" thickBot="1" x14ac:dyDescent="0.3">
      <c r="B12" s="1" t="str">
        <f>"Consumer Price Inflator ("&amp;CurrentYear&amp;" to "&amp;ref_year&amp;")"</f>
        <v>Consumer Price Inflator (2007 to 2016)</v>
      </c>
      <c r="C12" s="1000">
        <f>VLOOKUP(ref_year,DeflatorTable,2,FALSE)/VLOOKUP(CurrentYear,DeflatorTable,2,FALSE)</f>
        <v>1.1446359956438654</v>
      </c>
      <c r="D12" s="1619" t="s">
        <v>821</v>
      </c>
      <c r="E12" s="1620"/>
      <c r="F12" s="1620"/>
      <c r="G12" s="1620"/>
      <c r="H12" s="1621"/>
    </row>
    <row r="13" spans="2:8" ht="13.8" thickBot="1" x14ac:dyDescent="0.3"/>
    <row r="14" spans="2:8" ht="16.8" thickTop="1" thickBot="1" x14ac:dyDescent="0.35">
      <c r="B14" s="963" t="str">
        <f xml:space="preserve"> "CAPITAL INVESTMENT (Inputs REQUIRED in Basis Year, (" &amp; BasisYear &amp; ") $)"</f>
        <v>CAPITAL INVESTMENT (Inputs REQUIRED in Basis Year, (2007) $)</v>
      </c>
      <c r="C14" s="964"/>
      <c r="D14" s="964"/>
      <c r="E14" s="964"/>
      <c r="F14" s="964"/>
      <c r="G14" s="964"/>
      <c r="H14" s="965"/>
    </row>
    <row r="15" spans="2:8" ht="41.4" thickTop="1" thickBot="1" x14ac:dyDescent="0.35">
      <c r="B15" s="512" t="s">
        <v>667</v>
      </c>
      <c r="C15" s="513" t="str">
        <f>"Baseline Uninstalled Costs $"&amp;BasisYear&amp;" Dollars"</f>
        <v>Baseline Uninstalled Costs $2007 Dollars</v>
      </c>
      <c r="D15" s="513" t="str">
        <f>"Baseline Uninstalled Costs $"&amp;ref_year&amp;" Dollars"</f>
        <v>Baseline Uninstalled Costs $2016 Dollars</v>
      </c>
      <c r="E15" s="513" t="s">
        <v>668</v>
      </c>
      <c r="F15" s="488" t="s">
        <v>1061</v>
      </c>
      <c r="G15" s="513" t="s">
        <v>1031</v>
      </c>
      <c r="H15" s="518" t="s">
        <v>670</v>
      </c>
    </row>
    <row r="16" spans="2:8" x14ac:dyDescent="0.25">
      <c r="B16" s="1258" t="s">
        <v>1423</v>
      </c>
      <c r="C16" s="1259">
        <v>28007000</v>
      </c>
      <c r="D16" s="516">
        <f t="shared" ref="D16:D39" si="0">C16*CEPCIinflator*CPIinflator</f>
        <v>32057820.329997741</v>
      </c>
      <c r="E16" s="1262">
        <v>1</v>
      </c>
      <c r="F16" s="516">
        <f>D16*E16</f>
        <v>32057820.329997741</v>
      </c>
      <c r="G16" s="525"/>
      <c r="H16" s="735"/>
    </row>
    <row r="17" spans="2:8" x14ac:dyDescent="0.25">
      <c r="B17" s="1260" t="s">
        <v>1424</v>
      </c>
      <c r="C17" s="1261">
        <v>43459000</v>
      </c>
      <c r="D17" s="516">
        <f t="shared" si="0"/>
        <v>49744735.734686747</v>
      </c>
      <c r="E17" s="1263">
        <v>1</v>
      </c>
      <c r="F17" s="516">
        <f t="shared" ref="F17:F46" si="1">D17*E17</f>
        <v>49744735.734686747</v>
      </c>
      <c r="G17" s="526"/>
      <c r="H17" s="736"/>
    </row>
    <row r="18" spans="2:8" x14ac:dyDescent="0.25">
      <c r="B18" s="1260" t="s">
        <v>1425</v>
      </c>
      <c r="C18" s="1261">
        <v>14703000</v>
      </c>
      <c r="D18" s="516">
        <f t="shared" si="0"/>
        <v>16829583.043951754</v>
      </c>
      <c r="E18" s="1263">
        <v>1</v>
      </c>
      <c r="F18" s="516">
        <f t="shared" si="1"/>
        <v>16829583.043951754</v>
      </c>
      <c r="G18" s="526"/>
      <c r="H18" s="736"/>
    </row>
    <row r="19" spans="2:8" x14ac:dyDescent="0.25">
      <c r="B19" s="1260" t="s">
        <v>1441</v>
      </c>
      <c r="C19" s="1261">
        <v>443870000</v>
      </c>
      <c r="D19" s="516">
        <f t="shared" si="0"/>
        <v>508069579.38644254</v>
      </c>
      <c r="E19" s="1263">
        <v>1</v>
      </c>
      <c r="F19" s="516">
        <f t="shared" si="1"/>
        <v>508069579.38644254</v>
      </c>
      <c r="G19" s="526"/>
      <c r="H19" s="736"/>
    </row>
    <row r="20" spans="2:8" x14ac:dyDescent="0.25">
      <c r="B20" s="1260" t="s">
        <v>1442</v>
      </c>
      <c r="C20" s="1261">
        <v>181909000</v>
      </c>
      <c r="D20" s="516">
        <f t="shared" si="0"/>
        <v>208219589.33157992</v>
      </c>
      <c r="E20" s="1263">
        <v>1</v>
      </c>
      <c r="F20" s="516">
        <f t="shared" si="1"/>
        <v>208219589.33157992</v>
      </c>
      <c r="G20" s="526"/>
      <c r="H20" s="736"/>
    </row>
    <row r="21" spans="2:8" x14ac:dyDescent="0.25">
      <c r="B21" s="1260" t="s">
        <v>1443</v>
      </c>
      <c r="C21" s="1261">
        <v>40538000</v>
      </c>
      <c r="D21" s="516">
        <f t="shared" si="0"/>
        <v>46401253.991411015</v>
      </c>
      <c r="E21" s="971">
        <v>1</v>
      </c>
      <c r="F21" s="516">
        <f t="shared" si="1"/>
        <v>46401253.991411015</v>
      </c>
      <c r="G21" s="526"/>
      <c r="H21" s="736"/>
    </row>
    <row r="22" spans="2:8" x14ac:dyDescent="0.25">
      <c r="B22" s="1260" t="s">
        <v>1444</v>
      </c>
      <c r="C22" s="973">
        <v>20409000</v>
      </c>
      <c r="D22" s="516">
        <f t="shared" si="0"/>
        <v>23360876.035095651</v>
      </c>
      <c r="E22" s="971">
        <v>1</v>
      </c>
      <c r="F22" s="516">
        <f t="shared" si="1"/>
        <v>23360876.035095651</v>
      </c>
      <c r="G22" s="526"/>
      <c r="H22" s="736"/>
    </row>
    <row r="23" spans="2:8" x14ac:dyDescent="0.25">
      <c r="B23" s="1260" t="s">
        <v>1445</v>
      </c>
      <c r="C23" s="973">
        <v>26007000</v>
      </c>
      <c r="D23" s="516">
        <f t="shared" si="0"/>
        <v>29768548.338710006</v>
      </c>
      <c r="E23" s="971">
        <v>1</v>
      </c>
      <c r="F23" s="516">
        <f t="shared" si="1"/>
        <v>29768548.338710006</v>
      </c>
      <c r="G23" s="526"/>
      <c r="H23" s="736"/>
    </row>
    <row r="24" spans="2:8" x14ac:dyDescent="0.25">
      <c r="B24" s="1260" t="s">
        <v>1427</v>
      </c>
      <c r="C24" s="973">
        <v>13416000</v>
      </c>
      <c r="D24" s="516">
        <f t="shared" si="0"/>
        <v>15356436.517558098</v>
      </c>
      <c r="E24" s="971">
        <v>1</v>
      </c>
      <c r="F24" s="516">
        <f t="shared" si="1"/>
        <v>15356436.517558098</v>
      </c>
      <c r="G24" s="526"/>
      <c r="H24" s="736"/>
    </row>
    <row r="25" spans="2:8" x14ac:dyDescent="0.25">
      <c r="B25" s="1260" t="s">
        <v>1446</v>
      </c>
      <c r="C25" s="973">
        <v>56864000</v>
      </c>
      <c r="D25" s="516">
        <f t="shared" si="0"/>
        <v>65088581.25629276</v>
      </c>
      <c r="E25" s="971">
        <v>1</v>
      </c>
      <c r="F25" s="516">
        <f t="shared" si="1"/>
        <v>65088581.25629276</v>
      </c>
      <c r="G25" s="526"/>
      <c r="H25" s="736"/>
    </row>
    <row r="26" spans="2:8" x14ac:dyDescent="0.25">
      <c r="B26" s="1260" t="s">
        <v>1428</v>
      </c>
      <c r="C26" s="973">
        <v>16131000</v>
      </c>
      <c r="D26" s="516">
        <f t="shared" si="0"/>
        <v>18464123.245731194</v>
      </c>
      <c r="E26" s="971">
        <v>1</v>
      </c>
      <c r="F26" s="516">
        <f t="shared" si="1"/>
        <v>18464123.245731194</v>
      </c>
      <c r="G26" s="526"/>
      <c r="H26" s="736"/>
    </row>
    <row r="27" spans="2:8" x14ac:dyDescent="0.25">
      <c r="B27" s="1260" t="s">
        <v>1429</v>
      </c>
      <c r="C27" s="974">
        <v>17887000</v>
      </c>
      <c r="D27" s="516">
        <f t="shared" si="0"/>
        <v>20474104.05408182</v>
      </c>
      <c r="E27" s="971">
        <v>1</v>
      </c>
      <c r="F27" s="516">
        <f t="shared" si="1"/>
        <v>20474104.05408182</v>
      </c>
      <c r="G27" s="526"/>
      <c r="H27" s="736"/>
    </row>
    <row r="28" spans="2:8" x14ac:dyDescent="0.25">
      <c r="B28" s="1260" t="s">
        <v>1426</v>
      </c>
      <c r="C28" s="974">
        <v>29442000</v>
      </c>
      <c r="D28" s="516">
        <f t="shared" si="0"/>
        <v>33700372.983746685</v>
      </c>
      <c r="E28" s="971">
        <v>1</v>
      </c>
      <c r="F28" s="516">
        <f t="shared" si="1"/>
        <v>33700372.983746685</v>
      </c>
      <c r="G28" s="526"/>
      <c r="H28" s="736"/>
    </row>
    <row r="29" spans="2:8" x14ac:dyDescent="0.25">
      <c r="B29" s="1260" t="s">
        <v>1462</v>
      </c>
      <c r="C29" s="974">
        <v>80430000</v>
      </c>
      <c r="D29" s="516">
        <f t="shared" si="0"/>
        <v>92063073.129636094</v>
      </c>
      <c r="E29" s="971">
        <v>1</v>
      </c>
      <c r="F29" s="516">
        <f t="shared" si="1"/>
        <v>92063073.129636094</v>
      </c>
      <c r="G29" s="526"/>
      <c r="H29" s="736"/>
    </row>
    <row r="30" spans="2:8" x14ac:dyDescent="0.25">
      <c r="B30" s="1260" t="s">
        <v>1463</v>
      </c>
      <c r="C30" s="973">
        <v>50160000</v>
      </c>
      <c r="D30" s="516">
        <f t="shared" si="0"/>
        <v>57414941.541496292</v>
      </c>
      <c r="E30" s="971">
        <v>1</v>
      </c>
      <c r="F30" s="516">
        <f t="shared" si="1"/>
        <v>57414941.541496292</v>
      </c>
      <c r="G30" s="526"/>
      <c r="H30" s="736"/>
    </row>
    <row r="31" spans="2:8" ht="26.4" x14ac:dyDescent="0.25">
      <c r="B31" s="1260" t="s">
        <v>1449</v>
      </c>
      <c r="C31" s="973">
        <v>33000000</v>
      </c>
      <c r="D31" s="516">
        <f t="shared" si="0"/>
        <v>37772987.856247559</v>
      </c>
      <c r="E31" s="971">
        <v>1</v>
      </c>
      <c r="F31" s="516">
        <f t="shared" si="1"/>
        <v>37772987.856247559</v>
      </c>
      <c r="G31" s="526"/>
      <c r="H31" s="736"/>
    </row>
    <row r="32" spans="2:8" x14ac:dyDescent="0.25">
      <c r="B32" s="1260"/>
      <c r="C32" s="973"/>
      <c r="D32" s="516">
        <f t="shared" si="0"/>
        <v>0</v>
      </c>
      <c r="E32" s="971"/>
      <c r="F32" s="516">
        <f t="shared" si="1"/>
        <v>0</v>
      </c>
      <c r="G32" s="526"/>
      <c r="H32" s="736"/>
    </row>
    <row r="33" spans="2:8" x14ac:dyDescent="0.25">
      <c r="B33" s="1260"/>
      <c r="C33" s="973"/>
      <c r="D33" s="516">
        <f t="shared" si="0"/>
        <v>0</v>
      </c>
      <c r="E33" s="971"/>
      <c r="F33" s="516">
        <f t="shared" si="1"/>
        <v>0</v>
      </c>
      <c r="G33" s="526"/>
      <c r="H33" s="736"/>
    </row>
    <row r="34" spans="2:8" x14ac:dyDescent="0.25">
      <c r="B34" s="1260"/>
      <c r="C34" s="973"/>
      <c r="D34" s="516">
        <f t="shared" si="0"/>
        <v>0</v>
      </c>
      <c r="E34" s="971"/>
      <c r="F34" s="516">
        <f t="shared" si="1"/>
        <v>0</v>
      </c>
      <c r="G34" s="526"/>
      <c r="H34" s="736"/>
    </row>
    <row r="35" spans="2:8" x14ac:dyDescent="0.25">
      <c r="B35" s="1541"/>
      <c r="C35" s="1542"/>
      <c r="D35" s="516">
        <f t="shared" si="0"/>
        <v>0</v>
      </c>
      <c r="E35" s="971"/>
      <c r="F35" s="516">
        <f t="shared" si="1"/>
        <v>0</v>
      </c>
      <c r="G35" s="1544"/>
      <c r="H35" s="1545"/>
    </row>
    <row r="36" spans="2:8" x14ac:dyDescent="0.25">
      <c r="B36" s="1541"/>
      <c r="C36" s="1542"/>
      <c r="D36" s="516">
        <f t="shared" si="0"/>
        <v>0</v>
      </c>
      <c r="E36" s="971"/>
      <c r="F36" s="516">
        <f t="shared" si="1"/>
        <v>0</v>
      </c>
      <c r="G36" s="1544"/>
      <c r="H36" s="1545"/>
    </row>
    <row r="37" spans="2:8" x14ac:dyDescent="0.25">
      <c r="B37" s="1541"/>
      <c r="C37" s="1542"/>
      <c r="D37" s="516">
        <f t="shared" si="0"/>
        <v>0</v>
      </c>
      <c r="E37" s="971"/>
      <c r="F37" s="516">
        <f t="shared" si="1"/>
        <v>0</v>
      </c>
      <c r="G37" s="1544"/>
      <c r="H37" s="1545"/>
    </row>
    <row r="38" spans="2:8" x14ac:dyDescent="0.25">
      <c r="B38" s="1541"/>
      <c r="C38" s="1542"/>
      <c r="D38" s="516">
        <f t="shared" si="0"/>
        <v>0</v>
      </c>
      <c r="E38" s="971"/>
      <c r="F38" s="516">
        <f t="shared" si="1"/>
        <v>0</v>
      </c>
      <c r="G38" s="1544"/>
      <c r="H38" s="1545"/>
    </row>
    <row r="39" spans="2:8" x14ac:dyDescent="0.25">
      <c r="B39" s="1541"/>
      <c r="C39" s="1542"/>
      <c r="D39" s="516">
        <f t="shared" si="0"/>
        <v>0</v>
      </c>
      <c r="E39" s="971"/>
      <c r="F39" s="516">
        <f t="shared" si="1"/>
        <v>0</v>
      </c>
      <c r="G39" s="1544"/>
      <c r="H39" s="1545"/>
    </row>
    <row r="40" spans="2:8" x14ac:dyDescent="0.25">
      <c r="B40" s="1541"/>
      <c r="C40" s="1542"/>
      <c r="D40" s="516"/>
      <c r="E40" s="971"/>
      <c r="F40" s="516"/>
      <c r="G40" s="1544"/>
      <c r="H40" s="1545"/>
    </row>
    <row r="41" spans="2:8" x14ac:dyDescent="0.25">
      <c r="B41" s="1541"/>
      <c r="C41" s="1542"/>
      <c r="D41" s="516"/>
      <c r="E41" s="971"/>
      <c r="F41" s="516"/>
      <c r="G41" s="1544"/>
      <c r="H41" s="1545"/>
    </row>
    <row r="42" spans="2:8" x14ac:dyDescent="0.25">
      <c r="B42" s="1541"/>
      <c r="C42" s="1542"/>
      <c r="D42" s="516"/>
      <c r="E42" s="971"/>
      <c r="F42" s="516"/>
      <c r="G42" s="1544"/>
      <c r="H42" s="1545"/>
    </row>
    <row r="43" spans="2:8" x14ac:dyDescent="0.25">
      <c r="B43" s="1541"/>
      <c r="C43" s="1542"/>
      <c r="D43" s="516"/>
      <c r="E43" s="1543"/>
      <c r="F43" s="516"/>
      <c r="G43" s="1544"/>
      <c r="H43" s="1545"/>
    </row>
    <row r="44" spans="2:8" x14ac:dyDescent="0.25">
      <c r="B44" s="1541"/>
      <c r="C44" s="1542"/>
      <c r="D44" s="516"/>
      <c r="E44" s="1543"/>
      <c r="F44" s="516"/>
      <c r="G44" s="1544"/>
      <c r="H44" s="1545"/>
    </row>
    <row r="45" spans="2:8" x14ac:dyDescent="0.25">
      <c r="B45" s="1541"/>
      <c r="C45" s="1542"/>
      <c r="D45" s="516"/>
      <c r="E45" s="1543"/>
      <c r="F45" s="516"/>
      <c r="G45" s="1544"/>
      <c r="H45" s="1545"/>
    </row>
    <row r="46" spans="2:8" ht="13.8" thickBot="1" x14ac:dyDescent="0.3">
      <c r="B46" s="893"/>
      <c r="C46" s="975"/>
      <c r="D46" s="516">
        <f>C46*CEPCIinflator*CPIinflator</f>
        <v>0</v>
      </c>
      <c r="E46" s="972"/>
      <c r="F46" s="516">
        <f t="shared" si="1"/>
        <v>0</v>
      </c>
      <c r="G46" s="527"/>
      <c r="H46" s="737"/>
    </row>
    <row r="47" spans="2:8" ht="13.8" thickBot="1" x14ac:dyDescent="0.3">
      <c r="B47" s="514"/>
      <c r="C47" s="891">
        <f>SUM(C16:C46)</f>
        <v>1096232000</v>
      </c>
      <c r="D47" s="469">
        <f>SUM(D16:D46)</f>
        <v>1254786606.7766659</v>
      </c>
      <c r="E47" s="517"/>
      <c r="F47" s="469">
        <f>SUM(F16:F46)</f>
        <v>1254786606.7766659</v>
      </c>
      <c r="G47" s="348"/>
      <c r="H47" s="520"/>
    </row>
    <row r="48" spans="2:8" ht="13.8" thickTop="1" x14ac:dyDescent="0.25">
      <c r="C48" s="892"/>
    </row>
    <row r="50" spans="4:4" x14ac:dyDescent="0.25">
      <c r="D50" s="1548"/>
    </row>
    <row r="52" spans="4:4" x14ac:dyDescent="0.25">
      <c r="D52" s="1548"/>
    </row>
  </sheetData>
  <mergeCells count="7">
    <mergeCell ref="D11:H11"/>
    <mergeCell ref="D12:H12"/>
    <mergeCell ref="D8:H8"/>
    <mergeCell ref="F2:H4"/>
    <mergeCell ref="D7:H7"/>
    <mergeCell ref="D9:H9"/>
    <mergeCell ref="D10:H10"/>
  </mergeCells>
  <phoneticPr fontId="4" type="noConversion"/>
  <dataValidations count="1">
    <dataValidation type="whole" allowBlank="1" showInputMessage="1" showErrorMessage="1" sqref="C10" xr:uid="{00000000-0002-0000-0500-000000000000}">
      <formula1>1992</formula1>
      <formula2>2016</formula2>
    </dataValidation>
  </dataValidations>
  <pageMargins left="0.75" right="0.75" top="1" bottom="1" header="0.5" footer="0.5"/>
  <pageSetup scale="66" orientation="landscape" r:id="rId1"/>
  <headerFooter alignWithMargins="0">
    <oddHeader>&amp;LCentral Biomass Gasification - Current Timeframe&amp;R&amp;D</oddHeader>
    <oddFooter>&amp;CPage 5 of 7</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K40"/>
  <sheetViews>
    <sheetView workbookViewId="0">
      <selection activeCell="B69" sqref="B69"/>
    </sheetView>
  </sheetViews>
  <sheetFormatPr defaultColWidth="9.109375" defaultRowHeight="13.2" x14ac:dyDescent="0.25"/>
  <cols>
    <col min="1" max="1" width="9.109375" style="210"/>
    <col min="2" max="2" width="50.6640625" style="210" customWidth="1"/>
    <col min="3" max="3" width="19.6640625" style="210" customWidth="1"/>
    <col min="4" max="4" width="17" style="210" customWidth="1"/>
    <col min="5" max="7" width="18.6640625" style="210" customWidth="1"/>
    <col min="8" max="8" width="16.44140625" style="210" customWidth="1"/>
    <col min="9" max="9" width="38" style="210" customWidth="1"/>
    <col min="10" max="10" width="40.109375" style="210" customWidth="1"/>
    <col min="11" max="11" width="27.109375" style="210" customWidth="1"/>
    <col min="12" max="16384" width="9.109375" style="210"/>
  </cols>
  <sheetData>
    <row r="1" spans="2:11" ht="13.8" thickBot="1" x14ac:dyDescent="0.3">
      <c r="B1" s="210" t="s">
        <v>321</v>
      </c>
    </row>
    <row r="2" spans="2:11" ht="18.600000000000001" thickTop="1" thickBot="1" x14ac:dyDescent="0.35">
      <c r="B2" s="753" t="s">
        <v>850</v>
      </c>
      <c r="C2" s="754"/>
      <c r="D2" s="754"/>
      <c r="E2" s="754"/>
      <c r="F2" s="754"/>
      <c r="G2" s="754"/>
      <c r="H2" s="754"/>
      <c r="I2" s="754"/>
      <c r="J2" s="754"/>
      <c r="K2" s="755"/>
    </row>
    <row r="3" spans="2:11" ht="24" customHeight="1" thickBot="1" x14ac:dyDescent="0.3">
      <c r="B3" s="756" t="s">
        <v>673</v>
      </c>
      <c r="C3" s="757">
        <f>Baseline_Design_Capacity</f>
        <v>618936</v>
      </c>
      <c r="D3" s="1632" t="s">
        <v>829</v>
      </c>
      <c r="E3" s="1632"/>
      <c r="F3" s="1632"/>
      <c r="G3" s="758"/>
      <c r="H3" s="758"/>
      <c r="I3" s="758"/>
      <c r="J3" s="758"/>
      <c r="K3" s="759"/>
    </row>
    <row r="4" spans="2:11" ht="29.25" customHeight="1" thickBot="1" x14ac:dyDescent="0.3">
      <c r="B4" s="756" t="s">
        <v>671</v>
      </c>
      <c r="C4" s="760">
        <f>design_cap/Baseline_Design_Capacity</f>
        <v>1</v>
      </c>
      <c r="D4" s="1633" t="s">
        <v>677</v>
      </c>
      <c r="E4" s="1633"/>
      <c r="F4" s="1633"/>
      <c r="G4" s="758"/>
      <c r="H4" s="758"/>
      <c r="I4" s="758"/>
      <c r="J4" s="758"/>
      <c r="K4" s="759"/>
    </row>
    <row r="5" spans="2:11" ht="29.25" customHeight="1" thickBot="1" x14ac:dyDescent="0.3">
      <c r="B5" s="756" t="s">
        <v>847</v>
      </c>
      <c r="C5" s="760">
        <f>$G$39/Det_direct_cap</f>
        <v>1</v>
      </c>
      <c r="D5" s="1633" t="s">
        <v>849</v>
      </c>
      <c r="E5" s="1633"/>
      <c r="F5" s="1633"/>
      <c r="G5" s="758"/>
      <c r="H5" s="758"/>
      <c r="I5" s="758"/>
      <c r="J5" s="758"/>
      <c r="K5" s="759"/>
    </row>
    <row r="6" spans="2:11" ht="29.25" customHeight="1" thickBot="1" x14ac:dyDescent="0.3">
      <c r="B6" s="756" t="s">
        <v>1065</v>
      </c>
      <c r="C6" s="762">
        <v>0.6</v>
      </c>
      <c r="D6" s="1633" t="s">
        <v>846</v>
      </c>
      <c r="E6" s="1633"/>
      <c r="F6" s="1633"/>
      <c r="G6" s="758"/>
      <c r="H6" s="758"/>
      <c r="I6" s="758"/>
      <c r="J6" s="758"/>
      <c r="K6" s="759"/>
    </row>
    <row r="7" spans="2:11" ht="41.25" customHeight="1" thickBot="1" x14ac:dyDescent="0.3">
      <c r="B7" s="756" t="s">
        <v>947</v>
      </c>
      <c r="C7" s="763">
        <v>235000</v>
      </c>
      <c r="D7" s="1634" t="s">
        <v>923</v>
      </c>
      <c r="E7" s="1635"/>
      <c r="F7" s="1635"/>
      <c r="G7" s="758"/>
      <c r="H7" s="758"/>
      <c r="I7" s="758"/>
      <c r="J7" s="758"/>
      <c r="K7" s="759"/>
    </row>
    <row r="8" spans="2:11" ht="42.75" customHeight="1" thickBot="1" x14ac:dyDescent="0.3">
      <c r="B8" s="756" t="s">
        <v>948</v>
      </c>
      <c r="C8" s="763">
        <v>1000000</v>
      </c>
      <c r="D8" s="1630" t="s">
        <v>922</v>
      </c>
      <c r="E8" s="1631"/>
      <c r="F8" s="1631"/>
      <c r="G8" s="758"/>
      <c r="H8" s="758"/>
      <c r="I8" s="758"/>
      <c r="J8" s="758"/>
      <c r="K8" s="759"/>
    </row>
    <row r="9" spans="2:11" ht="15" customHeight="1" x14ac:dyDescent="0.25">
      <c r="B9" s="756"/>
      <c r="C9" s="764"/>
      <c r="D9" s="761"/>
      <c r="E9" s="761"/>
      <c r="F9" s="761"/>
      <c r="G9" s="758"/>
      <c r="H9" s="758"/>
      <c r="I9" s="758"/>
      <c r="J9" s="758"/>
      <c r="K9" s="759"/>
    </row>
    <row r="10" spans="2:11" x14ac:dyDescent="0.25">
      <c r="B10" s="765"/>
      <c r="C10" s="758"/>
      <c r="D10" s="758"/>
      <c r="E10" s="758"/>
      <c r="F10" s="758"/>
      <c r="G10" s="758"/>
      <c r="H10" s="758"/>
      <c r="I10" s="758"/>
      <c r="J10" s="758"/>
      <c r="K10" s="759"/>
    </row>
    <row r="11" spans="2:11" ht="16.2" thickBot="1" x14ac:dyDescent="0.35">
      <c r="B11" s="484" t="str">
        <f xml:space="preserve"> "CAPITAL INVESTMENT (Inputs REQUIRED in Reference Year, (" &amp; ref_year &amp; ") $)"</f>
        <v>CAPITAL INVESTMENT (Inputs REQUIRED in Reference Year, (2016) $)</v>
      </c>
      <c r="C11" s="485"/>
      <c r="D11" s="485"/>
      <c r="E11" s="485"/>
      <c r="F11" s="485"/>
      <c r="G11" s="486"/>
      <c r="H11" s="486"/>
      <c r="I11" s="486"/>
      <c r="J11" s="487"/>
      <c r="K11" s="766"/>
    </row>
    <row r="12" spans="2:11" ht="28.2" thickTop="1" thickBot="1" x14ac:dyDescent="0.35">
      <c r="B12" s="512" t="s">
        <v>667</v>
      </c>
      <c r="C12" s="513" t="s">
        <v>675</v>
      </c>
      <c r="D12" s="513" t="s">
        <v>669</v>
      </c>
      <c r="E12" s="513" t="s">
        <v>676</v>
      </c>
      <c r="F12" s="513" t="s">
        <v>668</v>
      </c>
      <c r="G12" s="513" t="s">
        <v>848</v>
      </c>
      <c r="H12" s="513" t="s">
        <v>1064</v>
      </c>
      <c r="I12" s="513" t="s">
        <v>1031</v>
      </c>
      <c r="J12" s="518" t="s">
        <v>670</v>
      </c>
    </row>
    <row r="13" spans="2:11" x14ac:dyDescent="0.25">
      <c r="B13" s="748" t="str">
        <f>'Capital Costs'!B16</f>
        <v>Coal handling</v>
      </c>
      <c r="C13" s="740">
        <f>'Capital Costs'!D16</f>
        <v>32057820.329997741</v>
      </c>
      <c r="D13" s="739"/>
      <c r="E13" s="740">
        <f>IF($D13="",$C13*Scale_Ratio^Scaling_Factor_Exponent,$C13*Scale_Ratio^$D13)</f>
        <v>32057820.329997741</v>
      </c>
      <c r="F13" s="750">
        <f>'Capital Costs'!E16</f>
        <v>1</v>
      </c>
      <c r="G13" s="741">
        <f>$E13*$F13</f>
        <v>32057820.329997741</v>
      </c>
      <c r="H13" s="740">
        <f>C13*F13</f>
        <v>32057820.329997741</v>
      </c>
      <c r="I13" s="742"/>
      <c r="J13" s="521"/>
    </row>
    <row r="14" spans="2:11" x14ac:dyDescent="0.25">
      <c r="B14" s="749" t="str">
        <f>'Capital Costs'!B17</f>
        <v>Coal prep &amp; feed</v>
      </c>
      <c r="C14" s="744">
        <f>'Capital Costs'!D17</f>
        <v>49744735.734686747</v>
      </c>
      <c r="D14" s="743"/>
      <c r="E14" s="744">
        <f t="shared" ref="E14:E38" si="0">IF($D14="",$C14*Scale_Ratio^Scaling_Factor_Exponent,$C14*Scale_Ratio^$D14)</f>
        <v>49744735.734686747</v>
      </c>
      <c r="F14" s="751">
        <f>'Capital Costs'!E17</f>
        <v>1</v>
      </c>
      <c r="G14" s="745">
        <f t="shared" ref="G14:G38" si="1">$E14*$F14</f>
        <v>49744735.734686747</v>
      </c>
      <c r="H14" s="744">
        <f t="shared" ref="H14:H25" si="2">C14*F14</f>
        <v>49744735.734686747</v>
      </c>
      <c r="I14" s="746"/>
      <c r="J14" s="522"/>
    </row>
    <row r="15" spans="2:11" x14ac:dyDescent="0.25">
      <c r="B15" s="749" t="str">
        <f>'Capital Costs'!B18</f>
        <v>Feedwater &amp; misc. BOP systems</v>
      </c>
      <c r="C15" s="744">
        <f>'Capital Costs'!D18</f>
        <v>16829583.043951754</v>
      </c>
      <c r="D15" s="743"/>
      <c r="E15" s="744">
        <f t="shared" si="0"/>
        <v>16829583.043951754</v>
      </c>
      <c r="F15" s="751">
        <f>'Capital Costs'!E18</f>
        <v>1</v>
      </c>
      <c r="G15" s="745">
        <f t="shared" si="1"/>
        <v>16829583.043951754</v>
      </c>
      <c r="H15" s="744">
        <f t="shared" si="2"/>
        <v>16829583.043951754</v>
      </c>
      <c r="I15" s="746"/>
      <c r="J15" s="522"/>
    </row>
    <row r="16" spans="2:11" x14ac:dyDescent="0.25">
      <c r="B16" s="749" t="str">
        <f>'Capital Costs'!B19</f>
        <v>GEE quench gasifier system</v>
      </c>
      <c r="C16" s="744">
        <f>'Capital Costs'!D19</f>
        <v>508069579.38644254</v>
      </c>
      <c r="D16" s="743"/>
      <c r="E16" s="744">
        <f t="shared" si="0"/>
        <v>508069579.38644254</v>
      </c>
      <c r="F16" s="751">
        <f>'Capital Costs'!E19</f>
        <v>1</v>
      </c>
      <c r="G16" s="745">
        <f t="shared" si="1"/>
        <v>508069579.38644254</v>
      </c>
      <c r="H16" s="744">
        <f t="shared" si="2"/>
        <v>508069579.38644254</v>
      </c>
      <c r="I16" s="746"/>
      <c r="J16" s="522"/>
    </row>
    <row r="17" spans="2:10" x14ac:dyDescent="0.25">
      <c r="B17" s="749" t="str">
        <f>'Capital Costs'!B20</f>
        <v>Gas cleanup &amp; piping</v>
      </c>
      <c r="C17" s="744">
        <f>'Capital Costs'!D20</f>
        <v>208219589.33157992</v>
      </c>
      <c r="D17" s="743"/>
      <c r="E17" s="744">
        <f t="shared" si="0"/>
        <v>208219589.33157992</v>
      </c>
      <c r="F17" s="751">
        <f>'Capital Costs'!E20</f>
        <v>1</v>
      </c>
      <c r="G17" s="745">
        <f t="shared" si="1"/>
        <v>208219589.33157992</v>
      </c>
      <c r="H17" s="744">
        <f t="shared" si="2"/>
        <v>208219589.33157992</v>
      </c>
      <c r="I17" s="746"/>
      <c r="J17" s="522"/>
    </row>
    <row r="18" spans="2:10" x14ac:dyDescent="0.25">
      <c r="B18" s="749" t="str">
        <f>'Capital Costs'!B21</f>
        <v>Hydrogen PSA &amp; Compressor</v>
      </c>
      <c r="C18" s="744">
        <f>'Capital Costs'!D21</f>
        <v>46401253.991411015</v>
      </c>
      <c r="D18" s="743"/>
      <c r="E18" s="744">
        <f t="shared" si="0"/>
        <v>46401253.991411015</v>
      </c>
      <c r="F18" s="751">
        <f>'Capital Costs'!E21</f>
        <v>1</v>
      </c>
      <c r="G18" s="745">
        <f t="shared" si="1"/>
        <v>46401253.991411015</v>
      </c>
      <c r="H18" s="744">
        <f t="shared" si="2"/>
        <v>46401253.991411015</v>
      </c>
      <c r="I18" s="746"/>
      <c r="J18" s="522"/>
    </row>
    <row r="19" spans="2:10" x14ac:dyDescent="0.25">
      <c r="B19" s="749" t="str">
        <f>'Capital Costs'!B22</f>
        <v>HRSG Ducting Stack</v>
      </c>
      <c r="C19" s="744">
        <f>'Capital Costs'!D22</f>
        <v>23360876.035095651</v>
      </c>
      <c r="D19" s="743"/>
      <c r="E19" s="744">
        <f t="shared" si="0"/>
        <v>23360876.035095651</v>
      </c>
      <c r="F19" s="751">
        <f>'Capital Costs'!E22</f>
        <v>1</v>
      </c>
      <c r="G19" s="745">
        <f t="shared" si="1"/>
        <v>23360876.035095651</v>
      </c>
      <c r="H19" s="744">
        <f t="shared" si="2"/>
        <v>23360876.035095651</v>
      </c>
      <c r="I19" s="746"/>
      <c r="J19" s="522"/>
    </row>
    <row r="20" spans="2:10" x14ac:dyDescent="0.25">
      <c r="B20" s="749" t="str">
        <f>'Capital Costs'!B23</f>
        <v>Steam Turbine Generator &amp; Piping</v>
      </c>
      <c r="C20" s="744">
        <f>'Capital Costs'!D23</f>
        <v>29768548.338710006</v>
      </c>
      <c r="D20" s="743"/>
      <c r="E20" s="744">
        <f t="shared" si="0"/>
        <v>29768548.338710006</v>
      </c>
      <c r="F20" s="751">
        <f>'Capital Costs'!E23</f>
        <v>1</v>
      </c>
      <c r="G20" s="745">
        <f t="shared" si="1"/>
        <v>29768548.338710006</v>
      </c>
      <c r="H20" s="744">
        <f t="shared" si="2"/>
        <v>29768548.338710006</v>
      </c>
      <c r="I20" s="746"/>
      <c r="J20" s="522"/>
    </row>
    <row r="21" spans="2:10" x14ac:dyDescent="0.25">
      <c r="B21" s="749" t="str">
        <f>'Capital Costs'!B24</f>
        <v>Cooling water system</v>
      </c>
      <c r="C21" s="744">
        <f>'Capital Costs'!D24</f>
        <v>15356436.517558098</v>
      </c>
      <c r="D21" s="743"/>
      <c r="E21" s="744">
        <f t="shared" si="0"/>
        <v>15356436.517558098</v>
      </c>
      <c r="F21" s="751">
        <f>'Capital Costs'!E24</f>
        <v>1</v>
      </c>
      <c r="G21" s="745">
        <f t="shared" si="1"/>
        <v>15356436.517558098</v>
      </c>
      <c r="H21" s="744">
        <f t="shared" si="2"/>
        <v>15356436.517558098</v>
      </c>
      <c r="I21" s="746"/>
      <c r="J21" s="522"/>
    </row>
    <row r="22" spans="2:10" x14ac:dyDescent="0.25">
      <c r="B22" s="749" t="str">
        <f>'Capital Costs'!B25</f>
        <v>Ash Spent Sorbent Handling system</v>
      </c>
      <c r="C22" s="744">
        <f>'Capital Costs'!D25</f>
        <v>65088581.25629276</v>
      </c>
      <c r="D22" s="743"/>
      <c r="E22" s="744">
        <f t="shared" si="0"/>
        <v>65088581.25629276</v>
      </c>
      <c r="F22" s="751">
        <f>'Capital Costs'!E25</f>
        <v>1</v>
      </c>
      <c r="G22" s="745">
        <f t="shared" si="1"/>
        <v>65088581.25629276</v>
      </c>
      <c r="H22" s="744">
        <f t="shared" si="2"/>
        <v>65088581.25629276</v>
      </c>
      <c r="I22" s="746"/>
      <c r="J22" s="522"/>
    </row>
    <row r="23" spans="2:10" x14ac:dyDescent="0.25">
      <c r="B23" s="749" t="str">
        <f>'Capital Costs'!B26</f>
        <v>Accessory electric plant</v>
      </c>
      <c r="C23" s="744">
        <f>'Capital Costs'!D26</f>
        <v>18464123.245731194</v>
      </c>
      <c r="D23" s="743"/>
      <c r="E23" s="744">
        <f t="shared" si="0"/>
        <v>18464123.245731194</v>
      </c>
      <c r="F23" s="751">
        <f>'Capital Costs'!E26</f>
        <v>1</v>
      </c>
      <c r="G23" s="745">
        <f t="shared" si="1"/>
        <v>18464123.245731194</v>
      </c>
      <c r="H23" s="744">
        <f t="shared" si="2"/>
        <v>18464123.245731194</v>
      </c>
      <c r="I23" s="746"/>
      <c r="J23" s="522"/>
    </row>
    <row r="24" spans="2:10" x14ac:dyDescent="0.25">
      <c r="B24" s="749" t="str">
        <f>'Capital Costs'!B27</f>
        <v>Instrumentation &amp; controls</v>
      </c>
      <c r="C24" s="744">
        <f>'Capital Costs'!D27</f>
        <v>20474104.05408182</v>
      </c>
      <c r="D24" s="747"/>
      <c r="E24" s="744">
        <f t="shared" si="0"/>
        <v>20474104.05408182</v>
      </c>
      <c r="F24" s="751">
        <f>'Capital Costs'!E27</f>
        <v>1</v>
      </c>
      <c r="G24" s="745">
        <f t="shared" si="1"/>
        <v>20474104.05408182</v>
      </c>
      <c r="H24" s="744">
        <f t="shared" si="2"/>
        <v>20474104.05408182</v>
      </c>
      <c r="I24" s="746"/>
      <c r="J24" s="522"/>
    </row>
    <row r="25" spans="2:10" x14ac:dyDescent="0.25">
      <c r="B25" s="749" t="str">
        <f>'Capital Costs'!B28</f>
        <v>CO2 compressor &amp; drying</v>
      </c>
      <c r="C25" s="744">
        <f>'Capital Costs'!D28</f>
        <v>33700372.983746685</v>
      </c>
      <c r="D25" s="747"/>
      <c r="E25" s="744">
        <f t="shared" si="0"/>
        <v>33700372.983746685</v>
      </c>
      <c r="F25" s="751">
        <f>'Capital Costs'!E28</f>
        <v>1</v>
      </c>
      <c r="G25" s="745">
        <f t="shared" si="1"/>
        <v>33700372.983746685</v>
      </c>
      <c r="H25" s="744">
        <f t="shared" si="2"/>
        <v>33700372.983746685</v>
      </c>
      <c r="I25" s="746"/>
      <c r="J25" s="522"/>
    </row>
    <row r="26" spans="2:10" x14ac:dyDescent="0.25">
      <c r="B26" s="749" t="str">
        <f>'Capital Costs'!B29</f>
        <v>Total plant capital of transport</v>
      </c>
      <c r="C26" s="744">
        <f>'Capital Costs'!D29</f>
        <v>92063073.129636094</v>
      </c>
      <c r="D26" s="747"/>
      <c r="E26" s="744">
        <f t="shared" si="0"/>
        <v>92063073.129636094</v>
      </c>
      <c r="F26" s="751">
        <f>'Capital Costs'!E29</f>
        <v>1</v>
      </c>
      <c r="G26" s="745">
        <f t="shared" si="1"/>
        <v>92063073.129636094</v>
      </c>
      <c r="H26" s="744">
        <f t="shared" ref="H26:H38" si="3">C26*F26</f>
        <v>92063073.129636094</v>
      </c>
      <c r="I26" s="1549"/>
      <c r="J26" s="1550"/>
    </row>
    <row r="27" spans="2:10" x14ac:dyDescent="0.25">
      <c r="B27" s="749" t="str">
        <f>'Capital Costs'!B30</f>
        <v>Total plant capital of storage</v>
      </c>
      <c r="C27" s="744">
        <f>'Capital Costs'!D30</f>
        <v>57414941.541496292</v>
      </c>
      <c r="D27" s="747"/>
      <c r="E27" s="744">
        <f t="shared" si="0"/>
        <v>57414941.541496292</v>
      </c>
      <c r="F27" s="751">
        <f>'Capital Costs'!E30</f>
        <v>1</v>
      </c>
      <c r="G27" s="745">
        <f t="shared" si="1"/>
        <v>57414941.541496292</v>
      </c>
      <c r="H27" s="744">
        <f t="shared" si="3"/>
        <v>57414941.541496292</v>
      </c>
      <c r="I27" s="1549"/>
      <c r="J27" s="1550"/>
    </row>
    <row r="28" spans="2:10" x14ac:dyDescent="0.25">
      <c r="B28" s="749" t="str">
        <f>'Capital Costs'!B31</f>
        <v>Capital fund for life-cycle CO2 monitoring costs</v>
      </c>
      <c r="C28" s="744">
        <f>'Capital Costs'!D31</f>
        <v>37772987.856247559</v>
      </c>
      <c r="D28" s="747"/>
      <c r="E28" s="744">
        <f t="shared" si="0"/>
        <v>37772987.856247559</v>
      </c>
      <c r="F28" s="751">
        <f>'Capital Costs'!E31</f>
        <v>1</v>
      </c>
      <c r="G28" s="745">
        <f t="shared" si="1"/>
        <v>37772987.856247559</v>
      </c>
      <c r="H28" s="744">
        <f t="shared" si="3"/>
        <v>37772987.856247559</v>
      </c>
      <c r="I28" s="1549"/>
      <c r="J28" s="1550"/>
    </row>
    <row r="29" spans="2:10" x14ac:dyDescent="0.25">
      <c r="B29" s="749">
        <f>'Capital Costs'!B32</f>
        <v>0</v>
      </c>
      <c r="C29" s="744">
        <f>'Capital Costs'!D32</f>
        <v>0</v>
      </c>
      <c r="D29" s="747"/>
      <c r="E29" s="744">
        <f t="shared" si="0"/>
        <v>0</v>
      </c>
      <c r="F29" s="751">
        <f>'Capital Costs'!E32</f>
        <v>0</v>
      </c>
      <c r="G29" s="745">
        <f t="shared" si="1"/>
        <v>0</v>
      </c>
      <c r="H29" s="744">
        <f t="shared" si="3"/>
        <v>0</v>
      </c>
      <c r="I29" s="1549"/>
      <c r="J29" s="1550"/>
    </row>
    <row r="30" spans="2:10" x14ac:dyDescent="0.25">
      <c r="B30" s="749">
        <f>'Capital Costs'!B33</f>
        <v>0</v>
      </c>
      <c r="C30" s="744">
        <f>'Capital Costs'!D33</f>
        <v>0</v>
      </c>
      <c r="D30" s="747"/>
      <c r="E30" s="744">
        <f t="shared" si="0"/>
        <v>0</v>
      </c>
      <c r="F30" s="751">
        <f>'Capital Costs'!E33</f>
        <v>0</v>
      </c>
      <c r="G30" s="745">
        <f t="shared" si="1"/>
        <v>0</v>
      </c>
      <c r="H30" s="744">
        <f t="shared" si="3"/>
        <v>0</v>
      </c>
      <c r="I30" s="1549"/>
      <c r="J30" s="1550"/>
    </row>
    <row r="31" spans="2:10" x14ac:dyDescent="0.25">
      <c r="B31" s="749">
        <f>'Capital Costs'!B34</f>
        <v>0</v>
      </c>
      <c r="C31" s="744">
        <f>'Capital Costs'!D34</f>
        <v>0</v>
      </c>
      <c r="D31" s="747"/>
      <c r="E31" s="744">
        <f t="shared" si="0"/>
        <v>0</v>
      </c>
      <c r="F31" s="751">
        <f>'Capital Costs'!E34</f>
        <v>0</v>
      </c>
      <c r="G31" s="745">
        <f t="shared" si="1"/>
        <v>0</v>
      </c>
      <c r="H31" s="744">
        <f t="shared" si="3"/>
        <v>0</v>
      </c>
      <c r="I31" s="1549"/>
      <c r="J31" s="1550"/>
    </row>
    <row r="32" spans="2:10" x14ac:dyDescent="0.25">
      <c r="B32" s="749">
        <f>'Capital Costs'!B35</f>
        <v>0</v>
      </c>
      <c r="C32" s="744">
        <f>'Capital Costs'!D35</f>
        <v>0</v>
      </c>
      <c r="D32" s="747"/>
      <c r="E32" s="744">
        <f t="shared" si="0"/>
        <v>0</v>
      </c>
      <c r="F32" s="751">
        <f>'Capital Costs'!E35</f>
        <v>0</v>
      </c>
      <c r="G32" s="745">
        <f t="shared" si="1"/>
        <v>0</v>
      </c>
      <c r="H32" s="744">
        <f t="shared" si="3"/>
        <v>0</v>
      </c>
      <c r="I32" s="1549"/>
      <c r="J32" s="1550"/>
    </row>
    <row r="33" spans="2:10" x14ac:dyDescent="0.25">
      <c r="B33" s="749">
        <f>'Capital Costs'!B36</f>
        <v>0</v>
      </c>
      <c r="C33" s="744">
        <f>'Capital Costs'!D36</f>
        <v>0</v>
      </c>
      <c r="D33" s="747"/>
      <c r="E33" s="744">
        <f t="shared" si="0"/>
        <v>0</v>
      </c>
      <c r="F33" s="751">
        <f>'Capital Costs'!E36</f>
        <v>0</v>
      </c>
      <c r="G33" s="745">
        <f t="shared" si="1"/>
        <v>0</v>
      </c>
      <c r="H33" s="744">
        <f t="shared" si="3"/>
        <v>0</v>
      </c>
      <c r="I33" s="1549"/>
      <c r="J33" s="1550"/>
    </row>
    <row r="34" spans="2:10" x14ac:dyDescent="0.25">
      <c r="B34" s="749">
        <f>'Capital Costs'!B37</f>
        <v>0</v>
      </c>
      <c r="C34" s="744">
        <f>'Capital Costs'!D37</f>
        <v>0</v>
      </c>
      <c r="D34" s="747"/>
      <c r="E34" s="744">
        <f t="shared" si="0"/>
        <v>0</v>
      </c>
      <c r="F34" s="751">
        <f>'Capital Costs'!E37</f>
        <v>0</v>
      </c>
      <c r="G34" s="745">
        <f t="shared" si="1"/>
        <v>0</v>
      </c>
      <c r="H34" s="744">
        <f t="shared" si="3"/>
        <v>0</v>
      </c>
      <c r="I34" s="1549"/>
      <c r="J34" s="1550"/>
    </row>
    <row r="35" spans="2:10" x14ac:dyDescent="0.25">
      <c r="B35" s="749">
        <f>'Capital Costs'!B38</f>
        <v>0</v>
      </c>
      <c r="C35" s="744">
        <f>'Capital Costs'!D38</f>
        <v>0</v>
      </c>
      <c r="D35" s="747"/>
      <c r="E35" s="744">
        <f t="shared" si="0"/>
        <v>0</v>
      </c>
      <c r="F35" s="751">
        <f>'Capital Costs'!E38</f>
        <v>0</v>
      </c>
      <c r="G35" s="745">
        <f t="shared" si="1"/>
        <v>0</v>
      </c>
      <c r="H35" s="744">
        <f t="shared" si="3"/>
        <v>0</v>
      </c>
      <c r="I35" s="1549"/>
      <c r="J35" s="1550"/>
    </row>
    <row r="36" spans="2:10" x14ac:dyDescent="0.25">
      <c r="B36" s="749">
        <f>'Capital Costs'!B39</f>
        <v>0</v>
      </c>
      <c r="C36" s="744">
        <f>'Capital Costs'!D39</f>
        <v>0</v>
      </c>
      <c r="D36" s="747"/>
      <c r="E36" s="744">
        <f t="shared" si="0"/>
        <v>0</v>
      </c>
      <c r="F36" s="751">
        <f>'Capital Costs'!E39</f>
        <v>0</v>
      </c>
      <c r="G36" s="745">
        <f t="shared" si="1"/>
        <v>0</v>
      </c>
      <c r="H36" s="744">
        <f t="shared" si="3"/>
        <v>0</v>
      </c>
      <c r="I36" s="1549"/>
      <c r="J36" s="1550"/>
    </row>
    <row r="37" spans="2:10" x14ac:dyDescent="0.25">
      <c r="B37" s="749">
        <f>'Capital Costs'!B40</f>
        <v>0</v>
      </c>
      <c r="C37" s="744">
        <f>'Capital Costs'!D40</f>
        <v>0</v>
      </c>
      <c r="D37" s="747"/>
      <c r="E37" s="744">
        <f t="shared" si="0"/>
        <v>0</v>
      </c>
      <c r="F37" s="751">
        <f>'Capital Costs'!E40</f>
        <v>0</v>
      </c>
      <c r="G37" s="745">
        <f t="shared" si="1"/>
        <v>0</v>
      </c>
      <c r="H37" s="744">
        <f t="shared" si="3"/>
        <v>0</v>
      </c>
      <c r="I37" s="1549"/>
      <c r="J37" s="1550"/>
    </row>
    <row r="38" spans="2:10" x14ac:dyDescent="0.25">
      <c r="B38" s="749">
        <f>'Capital Costs'!B41</f>
        <v>0</v>
      </c>
      <c r="C38" s="744">
        <f>'Capital Costs'!D41</f>
        <v>0</v>
      </c>
      <c r="D38" s="747"/>
      <c r="E38" s="744">
        <f t="shared" si="0"/>
        <v>0</v>
      </c>
      <c r="F38" s="751">
        <f>'Capital Costs'!E41</f>
        <v>0</v>
      </c>
      <c r="G38" s="745">
        <f t="shared" si="1"/>
        <v>0</v>
      </c>
      <c r="H38" s="744">
        <f t="shared" si="3"/>
        <v>0</v>
      </c>
      <c r="I38" s="1549"/>
      <c r="J38" s="1550"/>
    </row>
    <row r="39" spans="2:10" ht="13.8" thickBot="1" x14ac:dyDescent="0.3">
      <c r="B39" s="514" t="s">
        <v>672</v>
      </c>
      <c r="C39" s="515">
        <f>SUM(C13:C38)</f>
        <v>1254786606.7766659</v>
      </c>
      <c r="D39" s="519"/>
      <c r="E39" s="515">
        <f>SUM(E13:E38)</f>
        <v>1254786606.7766659</v>
      </c>
      <c r="F39" s="517"/>
      <c r="G39" s="738">
        <f>SUM(G13:G38)</f>
        <v>1254786606.7766659</v>
      </c>
      <c r="H39" s="752">
        <f>SUM(H13:H38)</f>
        <v>1254786606.7766659</v>
      </c>
      <c r="I39" s="348"/>
      <c r="J39" s="520"/>
    </row>
    <row r="40" spans="2:10" ht="13.8" thickTop="1" x14ac:dyDescent="0.25"/>
  </sheetData>
  <mergeCells count="6">
    <mergeCell ref="D8:F8"/>
    <mergeCell ref="D3:F3"/>
    <mergeCell ref="D5:F5"/>
    <mergeCell ref="D4:F4"/>
    <mergeCell ref="D7:F7"/>
    <mergeCell ref="D6:F6"/>
  </mergeCells>
  <phoneticPr fontId="4" type="noConversion"/>
  <hyperlinks>
    <hyperlink ref="D8" r:id="rId1" xr:uid="{00000000-0004-0000-0600-000000000000}"/>
    <hyperlink ref="D7" r:id="rId2" xr:uid="{00000000-0004-0000-0600-000001000000}"/>
  </hyperlinks>
  <pageMargins left="0.75" right="0.75" top="1" bottom="1" header="0.5" footer="0.5"/>
  <pageSetup scale="68" fitToWidth="2" orientation="landscape" r:id="rId3"/>
  <headerFooter alignWithMargins="0">
    <oddHeader>&amp;L&amp;F</oddHeader>
  </headerFooter>
  <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50"/>
  </sheetPr>
  <dimension ref="A1:N111"/>
  <sheetViews>
    <sheetView topLeftCell="C10" zoomScale="130" zoomScaleNormal="130" workbookViewId="0">
      <selection activeCell="J39" sqref="J39"/>
    </sheetView>
  </sheetViews>
  <sheetFormatPr defaultColWidth="9.109375" defaultRowHeight="13.2" x14ac:dyDescent="0.25"/>
  <cols>
    <col min="1" max="1" width="7.5546875" style="29" customWidth="1"/>
    <col min="2" max="2" width="72.33203125" style="29" customWidth="1"/>
    <col min="3" max="3" width="15.88671875" style="29" customWidth="1"/>
    <col min="4" max="4" width="19.44140625" style="29" customWidth="1"/>
    <col min="5" max="5" width="12.109375" style="29" customWidth="1"/>
    <col min="6" max="6" width="15.88671875" style="29" customWidth="1"/>
    <col min="7" max="7" width="14.6640625" style="29" customWidth="1"/>
    <col min="8" max="8" width="17" style="29" customWidth="1"/>
    <col min="9" max="9" width="17.33203125" style="29" customWidth="1"/>
    <col min="10" max="10" width="23.44140625" style="29" customWidth="1"/>
    <col min="11" max="11" width="16.109375" style="29" customWidth="1"/>
    <col min="12" max="12" width="11.5546875" style="29" bestFit="1" customWidth="1"/>
    <col min="13" max="13" width="12.6640625" style="29" bestFit="1" customWidth="1"/>
    <col min="14" max="14" width="11.5546875" style="29" bestFit="1" customWidth="1"/>
    <col min="15" max="16384" width="9.109375" style="29"/>
  </cols>
  <sheetData>
    <row r="1" spans="1:10" x14ac:dyDescent="0.25">
      <c r="A1" s="1282" t="s">
        <v>1290</v>
      </c>
    </row>
    <row r="2" spans="1:10" ht="21" x14ac:dyDescent="0.25">
      <c r="B2" s="814" t="s">
        <v>400</v>
      </c>
    </row>
    <row r="4" spans="1:10" ht="13.8" x14ac:dyDescent="0.25">
      <c r="B4" s="1654" t="s">
        <v>390</v>
      </c>
      <c r="C4" s="1654"/>
      <c r="D4" s="1654"/>
      <c r="E4" s="1654"/>
      <c r="F4" s="1654"/>
      <c r="G4" s="1654"/>
      <c r="H4" s="1654"/>
      <c r="I4" s="1654"/>
      <c r="J4" s="1654"/>
    </row>
    <row r="5" spans="1:10" ht="67.5" customHeight="1" x14ac:dyDescent="0.25">
      <c r="B5" s="1655" t="s">
        <v>410</v>
      </c>
      <c r="C5" s="1656"/>
      <c r="D5" s="1656"/>
      <c r="E5" s="1656"/>
      <c r="F5" s="1656"/>
      <c r="G5" s="1656"/>
      <c r="H5" s="1656"/>
      <c r="I5" s="1656"/>
      <c r="J5" s="1656"/>
    </row>
    <row r="6" spans="1:10" x14ac:dyDescent="0.25">
      <c r="B6" s="768"/>
      <c r="C6" s="768"/>
      <c r="D6" s="768"/>
      <c r="E6" s="768"/>
      <c r="F6" s="768"/>
      <c r="G6" s="768"/>
      <c r="H6" s="768"/>
      <c r="I6" s="768"/>
      <c r="J6" s="768"/>
    </row>
    <row r="7" spans="1:10" ht="21" x14ac:dyDescent="0.25">
      <c r="B7" s="815" t="s">
        <v>1068</v>
      </c>
      <c r="C7" s="768"/>
      <c r="D7" s="768"/>
      <c r="E7" s="768"/>
      <c r="F7" s="768"/>
      <c r="G7" s="768"/>
      <c r="H7" s="768"/>
      <c r="I7" s="768"/>
      <c r="J7" s="768"/>
    </row>
    <row r="8" spans="1:10" ht="15.6" x14ac:dyDescent="0.25">
      <c r="B8" s="816" t="s">
        <v>233</v>
      </c>
      <c r="C8" s="768"/>
      <c r="D8" s="768"/>
      <c r="E8" s="768"/>
      <c r="F8" s="768"/>
      <c r="G8" s="768"/>
      <c r="H8" s="768"/>
      <c r="I8" s="768"/>
      <c r="J8" s="768"/>
    </row>
    <row r="9" spans="1:10" x14ac:dyDescent="0.25">
      <c r="B9" s="768"/>
      <c r="C9" s="768"/>
      <c r="D9" s="768"/>
      <c r="E9" s="768"/>
      <c r="F9" s="768"/>
      <c r="G9" s="768"/>
      <c r="H9" s="768"/>
      <c r="I9" s="768"/>
      <c r="J9" s="768"/>
    </row>
    <row r="10" spans="1:10" x14ac:dyDescent="0.25">
      <c r="B10" s="768"/>
      <c r="C10" s="768"/>
      <c r="D10" s="768"/>
      <c r="E10" s="768"/>
      <c r="F10" s="768"/>
      <c r="G10" s="768"/>
      <c r="H10" s="768"/>
      <c r="I10" s="768"/>
      <c r="J10" s="768"/>
    </row>
    <row r="11" spans="1:10" ht="15.6" x14ac:dyDescent="0.25">
      <c r="B11" s="816" t="s">
        <v>234</v>
      </c>
      <c r="C11" s="768"/>
      <c r="D11" s="768"/>
      <c r="E11" s="768"/>
      <c r="F11" s="768"/>
      <c r="G11" s="768"/>
      <c r="H11" s="768"/>
      <c r="I11" s="768"/>
      <c r="J11" s="768"/>
    </row>
    <row r="12" spans="1:10" x14ac:dyDescent="0.25">
      <c r="B12" s="768"/>
      <c r="C12" s="768"/>
      <c r="D12" s="768"/>
      <c r="E12" s="768"/>
      <c r="F12" s="768"/>
      <c r="G12" s="768"/>
      <c r="H12" s="768"/>
      <c r="I12" s="768"/>
      <c r="J12" s="768"/>
    </row>
    <row r="13" spans="1:10" x14ac:dyDescent="0.25">
      <c r="B13" s="768"/>
      <c r="C13" s="768"/>
      <c r="D13" s="768"/>
      <c r="E13" s="768"/>
      <c r="F13" s="768"/>
      <c r="G13" s="768"/>
      <c r="H13" s="768"/>
      <c r="I13" s="768"/>
      <c r="J13" s="768"/>
    </row>
    <row r="14" spans="1:10" x14ac:dyDescent="0.25">
      <c r="B14" s="768"/>
      <c r="C14" s="768"/>
      <c r="D14" s="768"/>
      <c r="E14" s="768"/>
      <c r="F14" s="768"/>
      <c r="G14" s="768"/>
      <c r="H14" s="768"/>
      <c r="I14" s="768"/>
      <c r="J14" s="768"/>
    </row>
    <row r="15" spans="1:10" ht="13.8" x14ac:dyDescent="0.25">
      <c r="B15" s="818" t="s">
        <v>412</v>
      </c>
      <c r="C15" s="768"/>
      <c r="D15" s="768"/>
      <c r="E15" s="768"/>
      <c r="F15" s="768"/>
      <c r="G15" s="768"/>
      <c r="H15" s="768"/>
      <c r="I15" s="768"/>
      <c r="J15" s="768"/>
    </row>
    <row r="16" spans="1:10" ht="13.8" x14ac:dyDescent="0.25">
      <c r="B16" s="818" t="s">
        <v>425</v>
      </c>
      <c r="C16" s="768"/>
      <c r="D16" s="768"/>
      <c r="E16" s="768"/>
      <c r="F16" s="768"/>
      <c r="G16" s="768"/>
      <c r="H16" s="768"/>
      <c r="I16" s="768"/>
      <c r="J16" s="768"/>
    </row>
    <row r="17" spans="2:14" ht="13.8" x14ac:dyDescent="0.25">
      <c r="B17" s="818" t="s">
        <v>433</v>
      </c>
      <c r="C17" s="768"/>
      <c r="D17" s="768"/>
      <c r="E17" s="768"/>
      <c r="F17" s="768"/>
      <c r="G17" s="768"/>
      <c r="H17" s="768"/>
      <c r="I17" s="768"/>
      <c r="J17" s="768"/>
    </row>
    <row r="18" spans="2:14" ht="15.6" x14ac:dyDescent="0.25">
      <c r="B18" s="817"/>
      <c r="C18" s="1553"/>
      <c r="D18" s="1282"/>
    </row>
    <row r="19" spans="2:14" ht="13.8" thickBot="1" x14ac:dyDescent="0.3">
      <c r="C19" s="1288"/>
      <c r="D19" s="1282"/>
    </row>
    <row r="20" spans="2:14" ht="44.25" customHeight="1" thickTop="1" x14ac:dyDescent="0.25">
      <c r="B20" s="1332" t="s">
        <v>411</v>
      </c>
      <c r="C20" s="1333"/>
      <c r="D20" s="1334"/>
      <c r="E20" s="1334"/>
      <c r="F20" s="1335"/>
      <c r="H20" s="1659" t="s">
        <v>819</v>
      </c>
      <c r="I20" s="1660"/>
      <c r="J20" s="1660"/>
      <c r="K20" s="1661"/>
    </row>
    <row r="21" spans="2:14" ht="39" customHeight="1" x14ac:dyDescent="0.25">
      <c r="B21" s="554" t="s">
        <v>956</v>
      </c>
      <c r="C21" s="559">
        <f ca="1">Feed_CO2_MTpY</f>
        <v>4605900</v>
      </c>
      <c r="D21" s="1662" t="s">
        <v>413</v>
      </c>
      <c r="E21" s="1662"/>
      <c r="F21" s="1663"/>
      <c r="H21" s="1650" t="s">
        <v>83</v>
      </c>
      <c r="I21" s="1651"/>
      <c r="J21" s="1336"/>
      <c r="K21" s="1337"/>
    </row>
    <row r="22" spans="2:14" ht="14.25" customHeight="1" x14ac:dyDescent="0.25">
      <c r="B22" s="554" t="s">
        <v>955</v>
      </c>
      <c r="C22" s="560">
        <f ca="1">Feed_CO2_kgpkgH2</f>
        <v>22.653394628210247</v>
      </c>
      <c r="D22" s="556"/>
      <c r="E22" s="556"/>
      <c r="F22" s="557"/>
      <c r="H22" s="1636" t="s">
        <v>428</v>
      </c>
      <c r="I22" s="1637"/>
      <c r="J22" s="1357">
        <f ca="1">SUM(C54:C57)</f>
        <v>64062645.347150639</v>
      </c>
      <c r="K22" s="1337"/>
    </row>
    <row r="23" spans="2:14" ht="14.25" customHeight="1" x14ac:dyDescent="0.25">
      <c r="B23" s="554" t="s">
        <v>429</v>
      </c>
      <c r="C23" s="1540">
        <f ca="1">Feed_CO2_MTpY/365*CO2_Capture_Efficiency</f>
        <v>10959.942136772177</v>
      </c>
      <c r="D23" s="556"/>
      <c r="E23" s="556"/>
      <c r="F23" s="557"/>
      <c r="H23" s="1636" t="s">
        <v>1235</v>
      </c>
      <c r="I23" s="1637"/>
      <c r="J23" s="1571">
        <f ca="1">C71*0</f>
        <v>0</v>
      </c>
      <c r="K23" s="1337" t="s">
        <v>1448</v>
      </c>
      <c r="N23" s="1282"/>
    </row>
    <row r="24" spans="2:14" ht="14.25" customHeight="1" x14ac:dyDescent="0.25">
      <c r="B24" s="554" t="s">
        <v>1288</v>
      </c>
      <c r="C24" s="1293">
        <f ca="1">CO2_flowrate*365/1000000</f>
        <v>4.0003788799218443</v>
      </c>
      <c r="D24" s="1295"/>
      <c r="E24" s="1295"/>
      <c r="F24" s="1285"/>
      <c r="H24" s="1636" t="s">
        <v>1238</v>
      </c>
      <c r="I24" s="1637"/>
      <c r="J24" s="1571">
        <f ca="1">SUM(C82:C83)*0</f>
        <v>0</v>
      </c>
      <c r="K24" s="1337"/>
      <c r="N24" s="1282"/>
    </row>
    <row r="25" spans="2:14" ht="13.8" x14ac:dyDescent="0.25">
      <c r="B25" s="592" t="s">
        <v>431</v>
      </c>
      <c r="C25" s="593">
        <f ca="1">HLOOKUP(startup_year,INDIRECT(TMP_PriceTable),MATCH("Industrial Electricity",INDIRECT(Energy_Feed_List),0),FALSE)*VLOOKUP("kWh",CC_feedconversion,2,FALSE)</f>
        <v>6.9980611257164108E-2</v>
      </c>
      <c r="D25" s="1664" t="s">
        <v>432</v>
      </c>
      <c r="E25" s="1664"/>
      <c r="F25" s="1665"/>
      <c r="H25" s="1648" t="s">
        <v>1240</v>
      </c>
      <c r="I25" s="1649"/>
      <c r="J25" s="1357">
        <f ca="1">SUM(C93:C95)</f>
        <v>-17515509.123269327</v>
      </c>
      <c r="K25" s="1339"/>
      <c r="M25" s="1288"/>
    </row>
    <row r="26" spans="2:14" ht="14.4" thickBot="1" x14ac:dyDescent="0.3">
      <c r="B26" s="558" t="s">
        <v>1000</v>
      </c>
      <c r="C26" s="561">
        <f ca="1">IF(C21=0,0,(pump_power)*cap_factor*24*365/output_kgyear)</f>
        <v>0.11747940043450061</v>
      </c>
      <c r="D26" s="1657"/>
      <c r="E26" s="1657"/>
      <c r="F26" s="1658"/>
      <c r="H26" s="1666"/>
      <c r="I26" s="1667"/>
      <c r="J26" s="1360">
        <f ca="1">IF(CO2_Capture_Efficiency,SUM(J22:J25),0)</f>
        <v>46547136.223881312</v>
      </c>
      <c r="K26" s="1339" t="str">
        <f>"Total ("&amp;ref_year&amp;"$)"</f>
        <v>Total (2016$)</v>
      </c>
    </row>
    <row r="27" spans="2:14" ht="18.75" customHeight="1" thickTop="1" thickBot="1" x14ac:dyDescent="0.3">
      <c r="H27" s="1636" t="s">
        <v>1097</v>
      </c>
      <c r="I27" s="1637"/>
      <c r="J27" s="1357">
        <f ca="1">IFERROR(IF(CO2_inUse = "To Use Carbon Sequestration Click 'Link to Detail Sheet' in the Input Sheet Capital Cost Section",0,(J23+J24)/1.2+J25/1.5+J22),0)</f>
        <v>52385639.264971085</v>
      </c>
      <c r="K27" s="1337"/>
    </row>
    <row r="28" spans="2:14" ht="31.5" customHeight="1" thickTop="1" thickBot="1" x14ac:dyDescent="0.3">
      <c r="B28" s="1328" t="s">
        <v>412</v>
      </c>
      <c r="C28" s="1329">
        <v>0.78168023446658819</v>
      </c>
      <c r="D28" s="1330"/>
      <c r="E28" s="1330"/>
      <c r="F28" s="1331"/>
      <c r="H28" s="1652"/>
      <c r="I28" s="1653"/>
      <c r="J28" s="1338"/>
      <c r="K28" s="1337"/>
    </row>
    <row r="29" spans="2:14" ht="13.8" x14ac:dyDescent="0.25">
      <c r="B29" s="1312" t="s">
        <v>1247</v>
      </c>
      <c r="C29" s="1310"/>
      <c r="D29" s="1311"/>
      <c r="E29" s="1311"/>
      <c r="F29" s="1313"/>
      <c r="H29" s="1340"/>
      <c r="I29" s="1341"/>
      <c r="J29" s="1338"/>
      <c r="K29" s="1337"/>
    </row>
    <row r="30" spans="2:14" ht="13.8" x14ac:dyDescent="0.25">
      <c r="B30" s="1314" t="s">
        <v>999</v>
      </c>
      <c r="C30" s="1552">
        <v>0.8685335938517651</v>
      </c>
      <c r="D30" s="1299"/>
      <c r="E30" s="1638" t="s">
        <v>1289</v>
      </c>
      <c r="F30" s="1639"/>
      <c r="H30" s="1650" t="s">
        <v>817</v>
      </c>
      <c r="I30" s="1651"/>
      <c r="J30" s="1338"/>
      <c r="K30" s="1337"/>
    </row>
    <row r="31" spans="2:14" ht="27.6" customHeight="1" x14ac:dyDescent="0.25">
      <c r="B31" s="1314" t="s">
        <v>549</v>
      </c>
      <c r="C31" s="1300">
        <v>135</v>
      </c>
      <c r="D31" s="1299"/>
      <c r="E31" s="1646" t="s">
        <v>1244</v>
      </c>
      <c r="F31" s="1647"/>
      <c r="H31" s="1636" t="s">
        <v>426</v>
      </c>
      <c r="I31" s="1637"/>
      <c r="J31" s="1571">
        <f ca="1">C74*0</f>
        <v>0</v>
      </c>
      <c r="K31" s="1337" t="s">
        <v>1448</v>
      </c>
    </row>
    <row r="32" spans="2:14" ht="27.6" x14ac:dyDescent="0.25">
      <c r="B32" s="1314" t="s">
        <v>1219</v>
      </c>
      <c r="C32" s="1300">
        <v>1</v>
      </c>
      <c r="D32" s="1299"/>
      <c r="E32" s="1638"/>
      <c r="F32" s="1640"/>
      <c r="H32" s="1358" t="s">
        <v>427</v>
      </c>
      <c r="I32" s="1359"/>
      <c r="J32" s="1357">
        <v>0</v>
      </c>
      <c r="K32" s="1337"/>
    </row>
    <row r="33" spans="2:11" ht="13.8" x14ac:dyDescent="0.25">
      <c r="B33" s="1314" t="s">
        <v>1218</v>
      </c>
      <c r="C33" s="1301">
        <v>0.75</v>
      </c>
      <c r="D33" s="1299"/>
      <c r="E33" s="1638"/>
      <c r="F33" s="1640"/>
      <c r="H33" s="1636" t="s">
        <v>428</v>
      </c>
      <c r="I33" s="1637"/>
      <c r="J33" s="1357">
        <v>0</v>
      </c>
      <c r="K33" s="1337"/>
    </row>
    <row r="34" spans="2:11" ht="13.8" x14ac:dyDescent="0.25">
      <c r="B34" s="1314" t="s">
        <v>1210</v>
      </c>
      <c r="C34" s="1302" t="s">
        <v>23</v>
      </c>
      <c r="D34" s="1299"/>
      <c r="E34" s="1638"/>
      <c r="F34" s="1640"/>
      <c r="H34" s="1652"/>
      <c r="I34" s="1653"/>
      <c r="J34" s="1360">
        <f ca="1">SUM(J31:J33)</f>
        <v>0</v>
      </c>
      <c r="K34" s="1339" t="str">
        <f>"Total ("&amp;ref_year&amp;"$)"</f>
        <v>Total (2016$)</v>
      </c>
    </row>
    <row r="35" spans="2:11" ht="13.8" x14ac:dyDescent="0.25">
      <c r="B35" s="1314" t="s">
        <v>1212</v>
      </c>
      <c r="C35" s="1302" t="s">
        <v>23</v>
      </c>
      <c r="D35" s="1299"/>
      <c r="E35" s="1638"/>
      <c r="F35" s="1640"/>
      <c r="H35" s="1650" t="s">
        <v>818</v>
      </c>
      <c r="I35" s="1651"/>
      <c r="J35" s="1338"/>
      <c r="K35" s="1337"/>
    </row>
    <row r="36" spans="2:11" ht="13.8" x14ac:dyDescent="0.25">
      <c r="B36" s="1314" t="s">
        <v>1245</v>
      </c>
      <c r="C36" s="1300">
        <v>100</v>
      </c>
      <c r="D36" s="1299"/>
      <c r="E36" s="1638"/>
      <c r="F36" s="1640"/>
      <c r="H36" s="1636" t="s">
        <v>964</v>
      </c>
      <c r="I36" s="1637"/>
      <c r="J36" s="1357">
        <f ca="1">-Feed_CO2_MTpY*CO2_Capture_Efficiency*CO2_credit</f>
        <v>0</v>
      </c>
      <c r="K36" s="1337"/>
    </row>
    <row r="37" spans="2:11" ht="13.8" x14ac:dyDescent="0.25">
      <c r="B37" s="1314" t="s">
        <v>1246</v>
      </c>
      <c r="C37" s="1300">
        <v>0</v>
      </c>
      <c r="D37" s="1299"/>
      <c r="E37" s="1638"/>
      <c r="F37" s="1640"/>
      <c r="H37" s="1636" t="s">
        <v>428</v>
      </c>
      <c r="I37" s="1637"/>
      <c r="J37" s="1357">
        <f>+C61</f>
        <v>693420.37890424987</v>
      </c>
      <c r="K37" s="1337"/>
    </row>
    <row r="38" spans="2:11" ht="55.8" thickBot="1" x14ac:dyDescent="0.3">
      <c r="B38" s="1315" t="s">
        <v>1253</v>
      </c>
      <c r="C38" s="1306">
        <f ca="1">Pipe_Diameter(CO2_PipeLength,
        C67, C66,
        C37,
        0.5,
        CO2_flowrate,
        CO2_Pipeline_Temp,
        n_CO2_pumps)</f>
        <v>12</v>
      </c>
      <c r="D38" s="1307"/>
      <c r="E38" s="1644"/>
      <c r="F38" s="1645"/>
      <c r="H38" s="1636" t="s">
        <v>1235</v>
      </c>
      <c r="I38" s="1637"/>
      <c r="J38" s="1571">
        <f ca="1">C78*0</f>
        <v>0</v>
      </c>
      <c r="K38" s="1337" t="s">
        <v>1448</v>
      </c>
    </row>
    <row r="39" spans="2:11" ht="13.8" x14ac:dyDescent="0.25">
      <c r="B39" s="1641" t="s">
        <v>1248</v>
      </c>
      <c r="C39" s="1642"/>
      <c r="D39" s="1642"/>
      <c r="E39" s="1642"/>
      <c r="F39" s="1643"/>
      <c r="H39" s="1636" t="s">
        <v>1238</v>
      </c>
      <c r="I39" s="1637"/>
      <c r="J39" s="1357">
        <f ca="1">C86</f>
        <v>50012.418303476086</v>
      </c>
      <c r="K39" s="1337"/>
    </row>
    <row r="40" spans="2:11" ht="13.8" x14ac:dyDescent="0.25">
      <c r="B40" s="1314" t="s">
        <v>1224</v>
      </c>
      <c r="C40" s="1300">
        <v>53</v>
      </c>
      <c r="D40" s="1299"/>
      <c r="E40" s="1638" t="s">
        <v>1252</v>
      </c>
      <c r="F40" s="1640"/>
      <c r="H40" s="1648" t="s">
        <v>1239</v>
      </c>
      <c r="I40" s="1649"/>
      <c r="J40" s="1361">
        <f ca="1">SUM(C103:C107)</f>
        <v>23531719.020484246</v>
      </c>
      <c r="K40" s="1337"/>
    </row>
    <row r="41" spans="2:11" ht="35.4" customHeight="1" thickBot="1" x14ac:dyDescent="0.3">
      <c r="B41" s="1315" t="s">
        <v>1225</v>
      </c>
      <c r="C41" s="1308">
        <f>denPRCO2(0.00005,AVERAGE(C66:C67)/MPa_to_psi,CO2_Pipeline_Temp)</f>
        <v>872.69847578320525</v>
      </c>
      <c r="D41" s="1307"/>
      <c r="E41" s="1676" t="s">
        <v>1226</v>
      </c>
      <c r="F41" s="1677"/>
      <c r="H41" s="1650"/>
      <c r="I41" s="1651"/>
      <c r="J41" s="1360">
        <f ca="1">IF(CO2_Capture_Efficiency&gt;0,SUM(J36:J40),0)</f>
        <v>24275151.817691971</v>
      </c>
      <c r="K41" s="1339" t="str">
        <f>"Total  ("&amp;ref_year&amp;"$)"</f>
        <v>Total  (2016$)</v>
      </c>
    </row>
    <row r="42" spans="2:11" ht="13.8" x14ac:dyDescent="0.25">
      <c r="B42" s="1641" t="s">
        <v>1249</v>
      </c>
      <c r="C42" s="1642"/>
      <c r="D42" s="1642"/>
      <c r="E42" s="1642"/>
      <c r="F42" s="1643"/>
      <c r="H42" s="1340"/>
      <c r="I42" s="1341"/>
      <c r="J42" s="1338"/>
      <c r="K42" s="1337"/>
    </row>
    <row r="43" spans="2:11" ht="14.4" customHeight="1" x14ac:dyDescent="0.25">
      <c r="B43" s="1314" t="s">
        <v>962</v>
      </c>
      <c r="C43" s="1303">
        <v>0</v>
      </c>
      <c r="D43" s="1299"/>
      <c r="E43" s="1305"/>
      <c r="F43" s="1316"/>
      <c r="H43" s="1636" t="s">
        <v>826</v>
      </c>
      <c r="I43" s="1637"/>
      <c r="J43" s="1360">
        <f ca="1">Det_CO2_seq*tax_ins_rate</f>
        <v>930942.72447762627</v>
      </c>
      <c r="K43" s="1339" t="str">
        <f>+K41</f>
        <v>Total  (2016$)</v>
      </c>
    </row>
    <row r="44" spans="2:11" ht="15" customHeight="1" thickBot="1" x14ac:dyDescent="0.3">
      <c r="B44" s="1315" t="s">
        <v>1213</v>
      </c>
      <c r="C44" s="1309">
        <v>0.04</v>
      </c>
      <c r="D44" s="1307"/>
      <c r="E44" s="1678"/>
      <c r="F44" s="1679"/>
      <c r="H44" s="1342"/>
      <c r="I44" s="1343"/>
      <c r="J44" s="1344"/>
      <c r="K44" s="1345"/>
    </row>
    <row r="45" spans="2:11" ht="15" customHeight="1" x14ac:dyDescent="0.25">
      <c r="B45" s="1641" t="s">
        <v>1250</v>
      </c>
      <c r="C45" s="1642"/>
      <c r="D45" s="1642"/>
      <c r="E45" s="1642"/>
      <c r="F45" s="1643"/>
      <c r="H45" s="1670" t="s">
        <v>1241</v>
      </c>
      <c r="I45" s="1671"/>
      <c r="J45" s="1671"/>
      <c r="K45" s="1362">
        <f ca="1">ROUND(CO2_eCostpY/(Feed_CO2_MTpY*CO2_Capture_Efficiency),1)</f>
        <v>0</v>
      </c>
    </row>
    <row r="46" spans="2:11" ht="15" customHeight="1" x14ac:dyDescent="0.25">
      <c r="B46" s="1314" t="s">
        <v>66</v>
      </c>
      <c r="C46" s="1304">
        <f ca="1">(real_irr*(1+real_irr)^anal_period)/(((real_irr+1)^anal_period)-1)</f>
        <v>8.8827433387272267E-2</v>
      </c>
      <c r="D46" s="1299"/>
      <c r="E46" s="1638"/>
      <c r="F46" s="1640"/>
      <c r="H46" s="1636" t="s">
        <v>1242</v>
      </c>
      <c r="I46" s="1637"/>
      <c r="J46" s="1637"/>
      <c r="K46" s="1363">
        <f ca="1">ROUND((Det_CO2_OandMcost+ CCS_tax_insurance)/(Feed_CO2_MTpY*CO2_Capture_Efficiency),1)</f>
        <v>6.3</v>
      </c>
    </row>
    <row r="47" spans="2:11" ht="15" customHeight="1" thickBot="1" x14ac:dyDescent="0.3">
      <c r="B47" s="1314" t="s">
        <v>0</v>
      </c>
      <c r="C47" s="1304">
        <f ca="1">INDEX(MACRS_Table,MATCH("NPV - Real IRR",recovery_year,0),MATCH(depr_length,recovery_period,0))*(1+real_irr)</f>
        <v>0.54674112188719604</v>
      </c>
      <c r="D47" s="1299"/>
      <c r="E47" s="1638"/>
      <c r="F47" s="1640"/>
      <c r="H47" s="1674" t="s">
        <v>1243</v>
      </c>
      <c r="I47" s="1675"/>
      <c r="J47" s="1675"/>
      <c r="K47" s="1366">
        <f ca="1">ROUND((Det_CO2_seq+(-PV(nominal_irr,plant_life,C100)*(1+nominal_irr)))*CO2_cap_charge_rate/(Feed_CO2_MTpY*CO2_Capture_Efficiency),1)</f>
        <v>10</v>
      </c>
    </row>
    <row r="48" spans="2:11" ht="15" customHeight="1" thickTop="1" thickBot="1" x14ac:dyDescent="0.3">
      <c r="B48" s="1317" t="s">
        <v>1</v>
      </c>
      <c r="C48" s="1327">
        <f ca="1">(CO2_cap_rec*(1-total_tax_rate*CO2_depr_factor))/(1-total_tax_rate)</f>
        <v>0.10278298575655465</v>
      </c>
      <c r="D48" s="1318"/>
      <c r="E48" s="1672"/>
      <c r="F48" s="1673"/>
      <c r="H48" s="1668" t="s">
        <v>1291</v>
      </c>
      <c r="I48" s="1669"/>
      <c r="J48" s="1669"/>
      <c r="K48" s="1365">
        <f ca="1">SUM(K45:K47)</f>
        <v>16.3</v>
      </c>
    </row>
    <row r="49" spans="2:11" ht="14.4" thickTop="1" thickBot="1" x14ac:dyDescent="0.3"/>
    <row r="50" spans="2:11" ht="18" thickTop="1" x14ac:dyDescent="0.25">
      <c r="B50" s="553" t="s">
        <v>1223</v>
      </c>
      <c r="C50" s="562"/>
      <c r="D50" s="562"/>
      <c r="E50" s="562"/>
      <c r="F50" s="562"/>
      <c r="G50" s="562"/>
      <c r="H50" s="562"/>
      <c r="I50" s="562"/>
      <c r="J50" s="562"/>
      <c r="K50" s="563"/>
    </row>
    <row r="51" spans="2:11" ht="13.95" customHeight="1" x14ac:dyDescent="0.25">
      <c r="B51" s="32" t="str">
        <f>"CO2 Pipeline Costs ("&amp;ref_year&amp;" USD)"</f>
        <v>CO2 Pipeline Costs (2016 USD)</v>
      </c>
      <c r="C51" s="1274"/>
      <c r="D51" s="1323" t="s">
        <v>1050</v>
      </c>
      <c r="E51" s="1319" t="s">
        <v>1251</v>
      </c>
      <c r="F51" s="1274"/>
      <c r="G51" s="1274"/>
      <c r="H51" s="1274"/>
      <c r="I51" s="1274"/>
      <c r="J51" s="1274"/>
      <c r="K51" s="564"/>
    </row>
    <row r="52" spans="2:11" ht="12.6" customHeight="1" x14ac:dyDescent="0.25">
      <c r="B52" s="1278" t="s">
        <v>1237</v>
      </c>
      <c r="C52" s="1274"/>
      <c r="D52" s="1274"/>
      <c r="E52" s="1274"/>
      <c r="F52" s="1274"/>
      <c r="G52" s="1274"/>
      <c r="H52" s="1274"/>
      <c r="I52" s="1274"/>
      <c r="J52" s="1274"/>
      <c r="K52" s="564"/>
    </row>
    <row r="53" spans="2:11" ht="12.6" customHeight="1" x14ac:dyDescent="0.35">
      <c r="B53" s="1346" t="s">
        <v>1209</v>
      </c>
      <c r="C53" s="1347">
        <f ca="1">IF(CO2_PipeDia&gt;20,1.25, IF(CO2_PipeDia&gt;16,1.18,IF(CO2_PipeDia&gt;12,1.12,1)))</f>
        <v>1</v>
      </c>
      <c r="D53" s="1348"/>
      <c r="E53" s="1325" t="s">
        <v>1274</v>
      </c>
      <c r="F53" s="1274"/>
      <c r="G53" s="1274"/>
      <c r="H53" s="1274"/>
      <c r="I53" s="1274"/>
      <c r="J53" s="1274"/>
      <c r="K53" s="564"/>
    </row>
    <row r="54" spans="2:11" ht="12.6" customHeight="1" x14ac:dyDescent="0.35">
      <c r="B54" s="1346" t="s">
        <v>1260</v>
      </c>
      <c r="C54" s="1349">
        <f ca="1">(35000+CO2_PipeLength*(330.5*CO2_PipeDia^2+687*CO2_PipeDia+26960))*NG_to_CO2Pipeline*VLOOKUP(ref_year,Tbl_PlantCostIndexes,2)/VLOOKUP(2000,Tbl_PlantCostIndexes,2)</f>
        <v>11428619.182948489</v>
      </c>
      <c r="D54" s="1350" t="str">
        <f>ref_year&amp;"$"</f>
        <v>2016$</v>
      </c>
      <c r="E54" s="1325" t="s">
        <v>1280</v>
      </c>
      <c r="F54" s="1274"/>
      <c r="G54" s="1274"/>
      <c r="H54" s="1274"/>
      <c r="I54" s="1274"/>
      <c r="J54" s="1274"/>
      <c r="K54" s="564"/>
    </row>
    <row r="55" spans="2:11" ht="12.6" customHeight="1" x14ac:dyDescent="0.35">
      <c r="B55" s="1346" t="s">
        <v>1270</v>
      </c>
      <c r="C55" s="1349">
        <f ca="1">(185000+CO2_PipeLength*(343*CO2_PipeDia^2+2074*CO2_PipeDia+170013))*NG_to_CO2Pipeline*VLOOKUP(ref_year,Tbl_labor_indexes,2)/VLOOKUP(2000,Tbl_labor_indexes,2)</f>
        <v>32715846.957284953</v>
      </c>
      <c r="D55" s="1350" t="str">
        <f>ref_year&amp;"$"</f>
        <v>2016$</v>
      </c>
      <c r="E55" s="1325" t="s">
        <v>1281</v>
      </c>
      <c r="F55" s="1274"/>
      <c r="G55" s="1274"/>
      <c r="H55" s="1274"/>
      <c r="I55" s="1274"/>
      <c r="J55" s="1274"/>
      <c r="K55" s="564"/>
    </row>
    <row r="56" spans="2:11" ht="12.6" customHeight="1" x14ac:dyDescent="0.35">
      <c r="B56" s="1346" t="s">
        <v>1269</v>
      </c>
      <c r="C56" s="1349">
        <f ca="1">(40000+CO2_PipeLength*(0*CO2_PipeDia^2+577*CO2_PipeDia+29788))*NG_to_CO2Pipeline*(VLOOKUP(ref_year,DeflatorTable,2)/VLOOKUP(2000,DeflatorTable,2))</f>
        <v>5049548.9222427132</v>
      </c>
      <c r="D56" s="1350" t="str">
        <f>ref_year&amp;"$"</f>
        <v>2016$</v>
      </c>
      <c r="E56" s="1325" t="s">
        <v>1282</v>
      </c>
      <c r="F56" s="1274"/>
      <c r="G56" s="1274"/>
      <c r="H56" s="1274"/>
      <c r="I56" s="1274"/>
      <c r="J56" s="1274"/>
      <c r="K56" s="564"/>
    </row>
    <row r="57" spans="2:11" ht="12.6" customHeight="1" x14ac:dyDescent="0.35">
      <c r="B57" s="1346" t="s">
        <v>1268</v>
      </c>
      <c r="C57" s="1349">
        <f ca="1">(95000+CO2_PipeLength*(0*CO2_PipeDia^2+8417*CO2_PipeDia+7324))*NG_to_CO2Pipeline*VLOOKUP(ref_year,DeflatorTable,2)/VLOOKUP(2000,DeflatorTable,2)</f>
        <v>14868630.284674477</v>
      </c>
      <c r="D57" s="1350" t="str">
        <f>ref_year&amp;"$"</f>
        <v>2016$</v>
      </c>
      <c r="E57" s="1325" t="s">
        <v>1283</v>
      </c>
      <c r="F57" s="1274"/>
      <c r="G57" s="1274"/>
      <c r="H57" s="1274"/>
      <c r="I57" s="1274"/>
      <c r="J57" s="1274"/>
      <c r="K57" s="564"/>
    </row>
    <row r="58" spans="2:11" ht="12.6" customHeight="1" x14ac:dyDescent="0.25">
      <c r="B58" s="1346" t="s">
        <v>1271</v>
      </c>
      <c r="C58" s="1349">
        <f ca="1">SUM(C54:C57)/CO2_PipeLength</f>
        <v>640626.45347150636</v>
      </c>
      <c r="D58" s="1350" t="str">
        <f>ref_year&amp;"$/mile"</f>
        <v>2016$/mile</v>
      </c>
      <c r="E58" s="1280"/>
      <c r="F58" s="1298"/>
      <c r="G58" s="1298"/>
      <c r="H58" s="1298"/>
      <c r="I58" s="1298"/>
      <c r="J58" s="1298"/>
      <c r="K58" s="564"/>
    </row>
    <row r="59" spans="2:11" ht="12.6" customHeight="1" x14ac:dyDescent="0.25">
      <c r="B59" s="1276"/>
      <c r="C59" s="1290"/>
      <c r="D59" s="1274"/>
      <c r="E59" s="1280"/>
      <c r="F59" s="1274"/>
      <c r="G59" s="1274"/>
      <c r="H59" s="1274"/>
      <c r="I59" s="1274"/>
      <c r="J59" s="1274"/>
      <c r="K59" s="564"/>
    </row>
    <row r="60" spans="2:11" ht="12.6" customHeight="1" x14ac:dyDescent="0.25">
      <c r="B60" s="1278" t="s">
        <v>416</v>
      </c>
      <c r="C60" s="1290"/>
      <c r="D60" s="1274"/>
      <c r="E60" s="1280"/>
      <c r="F60" s="1274"/>
      <c r="G60" s="1274"/>
      <c r="H60" s="1274"/>
      <c r="I60" s="1274"/>
      <c r="J60" s="1274"/>
      <c r="K60" s="564"/>
    </row>
    <row r="61" spans="2:11" ht="12.6" customHeight="1" x14ac:dyDescent="0.25">
      <c r="B61" s="1346" t="s">
        <v>1267</v>
      </c>
      <c r="C61" s="1349">
        <f>5000*CO2_PipeLength*(VLOOKUP(ref_year,Tbl_PlantCostIndexes,2)/VLOOKUP(1999,Tbl_PlantCostIndexes,2))</f>
        <v>693420.37890424987</v>
      </c>
      <c r="D61" s="1350" t="str">
        <f>ref_year&amp;"$/year"</f>
        <v>2016$/year</v>
      </c>
      <c r="E61" s="1281" t="s">
        <v>1284</v>
      </c>
      <c r="F61" s="1274"/>
      <c r="G61" s="1274"/>
      <c r="H61" s="1274"/>
      <c r="I61" s="1274"/>
      <c r="J61" s="1274"/>
      <c r="K61" s="564"/>
    </row>
    <row r="62" spans="2:11" ht="12.6" customHeight="1" x14ac:dyDescent="0.25">
      <c r="B62" s="1276"/>
      <c r="C62" s="1274"/>
      <c r="D62" s="1274"/>
      <c r="E62" s="1280"/>
      <c r="F62" s="1274"/>
      <c r="G62" s="1274"/>
      <c r="H62" s="1274"/>
      <c r="I62" s="1274"/>
      <c r="J62" s="1274"/>
      <c r="K62" s="564"/>
    </row>
    <row r="63" spans="2:11" ht="12.6" customHeight="1" x14ac:dyDescent="0.25">
      <c r="B63" s="1276"/>
      <c r="C63" s="1274"/>
      <c r="D63" s="1274"/>
      <c r="E63" s="1280"/>
      <c r="F63" s="1274"/>
      <c r="G63" s="1274"/>
      <c r="H63" s="1274"/>
      <c r="I63" s="1274"/>
      <c r="J63" s="1274"/>
      <c r="K63" s="564"/>
    </row>
    <row r="64" spans="2:11" ht="13.95" customHeight="1" x14ac:dyDescent="0.25">
      <c r="B64" s="32" t="s">
        <v>1208</v>
      </c>
      <c r="C64" s="1274"/>
      <c r="D64" s="1274"/>
      <c r="E64" s="1280"/>
      <c r="F64" s="1274"/>
      <c r="G64" s="1274"/>
      <c r="H64" s="1274"/>
      <c r="I64" s="1274"/>
      <c r="J64" s="1274"/>
      <c r="K64" s="564"/>
    </row>
    <row r="65" spans="2:11" ht="12.6" customHeight="1" x14ac:dyDescent="0.25">
      <c r="B65" s="1278" t="s">
        <v>83</v>
      </c>
      <c r="C65" s="1274"/>
      <c r="D65" s="1274"/>
      <c r="E65" s="1280"/>
      <c r="F65" s="1274"/>
      <c r="G65" s="1274"/>
      <c r="H65" s="1274"/>
      <c r="I65" s="1274"/>
      <c r="J65" s="1274"/>
      <c r="K65" s="564"/>
    </row>
    <row r="66" spans="2:11" ht="12.6" customHeight="1" x14ac:dyDescent="0.25">
      <c r="B66" s="1346" t="s">
        <v>1214</v>
      </c>
      <c r="C66" s="1351">
        <f>CO2_Pin_psia</f>
        <v>135</v>
      </c>
      <c r="D66" s="1350" t="s">
        <v>1216</v>
      </c>
      <c r="E66" s="1280"/>
      <c r="F66" s="1274"/>
      <c r="G66" s="1274"/>
      <c r="H66" s="1274"/>
      <c r="I66" s="1274"/>
      <c r="J66" s="1274"/>
      <c r="K66" s="564"/>
    </row>
    <row r="67" spans="2:11" ht="12.6" customHeight="1" x14ac:dyDescent="0.25">
      <c r="B67" s="1346" t="s">
        <v>1215</v>
      </c>
      <c r="C67" s="1351">
        <f>15*MPa_to_psi</f>
        <v>2175.5700000000002</v>
      </c>
      <c r="D67" s="1350" t="s">
        <v>1216</v>
      </c>
      <c r="E67" s="1280"/>
      <c r="F67" s="1274"/>
      <c r="G67" s="1274"/>
      <c r="H67" s="1274"/>
      <c r="I67" s="1274"/>
      <c r="J67" s="1274"/>
      <c r="K67" s="564"/>
    </row>
    <row r="68" spans="2:11" ht="15.6" x14ac:dyDescent="0.25">
      <c r="B68" s="1346" t="s">
        <v>1217</v>
      </c>
      <c r="C68" s="1351">
        <f ca="1">(1000*1000000*0.001/ (24*3600))*(CO2_flowrate/cap_factor*(C67-C66)/MPa_to_psi)/(C41*Pump_Eff)</f>
        <v>3029.6762578053367</v>
      </c>
      <c r="D68" s="1352" t="s">
        <v>414</v>
      </c>
      <c r="E68" s="1281" t="s">
        <v>1277</v>
      </c>
      <c r="F68" s="1274"/>
      <c r="G68" s="1274"/>
      <c r="H68" s="1274"/>
      <c r="I68" s="1274"/>
      <c r="J68" s="1274"/>
      <c r="K68" s="564"/>
    </row>
    <row r="69" spans="2:11" ht="12.6" customHeight="1" x14ac:dyDescent="0.25">
      <c r="B69" s="1346" t="s">
        <v>1263</v>
      </c>
      <c r="C69" s="1349">
        <f>70000*VLOOKUP(ref_year,Tbl_PlantCostIndexes,2)/VLOOKUP(2005,Tbl_PlantCostIndexes,2)</f>
        <v>80988.893635198634</v>
      </c>
      <c r="D69" s="1350" t="str">
        <f>ref_year&amp;"$"</f>
        <v>2016$</v>
      </c>
      <c r="E69" s="1281" t="s">
        <v>1278</v>
      </c>
      <c r="F69" s="1274"/>
      <c r="G69" s="1274"/>
      <c r="H69" s="1274"/>
      <c r="I69" s="1274"/>
      <c r="J69" s="1274"/>
      <c r="K69" s="564"/>
    </row>
    <row r="70" spans="2:11" ht="12.6" customHeight="1" x14ac:dyDescent="0.25">
      <c r="B70" s="1346" t="s">
        <v>1264</v>
      </c>
      <c r="C70" s="1349">
        <f ca="1">1110*C68*VLOOKUP(ref_year,Tbl_PlantCostIndexes,2)/VLOOKUP(2005,Tbl_PlantCostIndexes,2)</f>
        <v>3890869.17562366</v>
      </c>
      <c r="D70" s="1350" t="str">
        <f>ref_year&amp;"$"</f>
        <v>2016$</v>
      </c>
      <c r="E70" s="1281" t="s">
        <v>1276</v>
      </c>
      <c r="F70" s="1274"/>
      <c r="G70" s="1274"/>
      <c r="H70" s="1274"/>
      <c r="I70" s="1274"/>
      <c r="J70" s="1274"/>
      <c r="K70" s="564"/>
    </row>
    <row r="71" spans="2:11" ht="12.6" customHeight="1" x14ac:dyDescent="0.35">
      <c r="B71" s="1346" t="s">
        <v>1273</v>
      </c>
      <c r="C71" s="1349">
        <f ca="1">SUM(C69:C70)</f>
        <v>3971858.0692588584</v>
      </c>
      <c r="D71" s="1350" t="str">
        <f>ref_year&amp;"$"</f>
        <v>2016$</v>
      </c>
      <c r="E71" s="1326" t="s">
        <v>1275</v>
      </c>
      <c r="F71" s="1298"/>
      <c r="G71" s="1298"/>
      <c r="H71" s="1298"/>
      <c r="I71" s="1298"/>
      <c r="J71" s="1298"/>
      <c r="K71" s="564"/>
    </row>
    <row r="72" spans="2:11" ht="12.6" customHeight="1" x14ac:dyDescent="0.25">
      <c r="B72" s="1277"/>
      <c r="C72" s="1283"/>
      <c r="D72" s="1282"/>
      <c r="E72" s="1280"/>
      <c r="F72" s="1274"/>
      <c r="G72" s="1274"/>
      <c r="H72" s="1274"/>
      <c r="I72" s="1274"/>
      <c r="J72" s="1274"/>
      <c r="K72" s="564"/>
    </row>
    <row r="73" spans="2:11" ht="12.6" customHeight="1" x14ac:dyDescent="0.25">
      <c r="B73" s="1278" t="s">
        <v>1220</v>
      </c>
      <c r="C73" s="1274"/>
      <c r="D73" s="1282"/>
      <c r="E73" s="1280"/>
      <c r="F73" s="1274"/>
      <c r="G73" s="1274"/>
      <c r="H73" s="1274"/>
      <c r="I73" s="1274"/>
      <c r="J73" s="1274"/>
      <c r="K73" s="564"/>
    </row>
    <row r="74" spans="2:11" ht="12.6" customHeight="1" x14ac:dyDescent="0.25">
      <c r="B74" s="1346" t="s">
        <v>1222</v>
      </c>
      <c r="C74" s="1349">
        <f ca="1">CO2_eCost*pump_power*cap_factor*24*365*n_CO2_pumps</f>
        <v>1671554.6142741058</v>
      </c>
      <c r="D74" s="1353" t="str">
        <f>startup_year&amp;"$/year"</f>
        <v>2015$/year</v>
      </c>
      <c r="E74" s="1286" t="s">
        <v>1221</v>
      </c>
      <c r="F74" s="1274"/>
      <c r="G74" s="1274"/>
      <c r="H74" s="1274"/>
      <c r="I74" s="1274"/>
      <c r="J74" s="1274"/>
      <c r="K74" s="564"/>
    </row>
    <row r="75" spans="2:11" ht="12.6" customHeight="1" x14ac:dyDescent="0.25">
      <c r="B75" s="1346" t="s">
        <v>1261</v>
      </c>
      <c r="C75" s="1354">
        <f ca="1">pump_power*cap_factor*24*365*n_CO2_pumps/output_kgyear</f>
        <v>0.11747940043450061</v>
      </c>
      <c r="D75" s="1355" t="s">
        <v>1262</v>
      </c>
      <c r="E75" s="1298"/>
      <c r="F75" s="1298"/>
      <c r="G75" s="1298"/>
      <c r="H75" s="1298"/>
      <c r="I75" s="1298"/>
      <c r="J75" s="1298"/>
      <c r="K75" s="564"/>
    </row>
    <row r="76" spans="2:11" ht="12.6" customHeight="1" x14ac:dyDescent="0.25">
      <c r="B76" s="1276"/>
      <c r="C76" s="1274"/>
      <c r="D76" s="1274"/>
      <c r="E76" s="1274"/>
      <c r="F76" s="1274"/>
      <c r="G76" s="1274"/>
      <c r="H76" s="1274"/>
      <c r="I76" s="1274"/>
      <c r="J76" s="1274"/>
      <c r="K76" s="564"/>
    </row>
    <row r="77" spans="2:11" ht="12.6" customHeight="1" x14ac:dyDescent="0.25">
      <c r="B77" s="1278" t="s">
        <v>416</v>
      </c>
      <c r="C77" s="1275"/>
      <c r="D77" s="1275"/>
      <c r="E77" s="1275"/>
      <c r="F77" s="1275"/>
      <c r="G77" s="1275"/>
      <c r="H77" s="1275"/>
      <c r="I77" s="1275"/>
      <c r="J77" s="1275"/>
      <c r="K77" s="564"/>
    </row>
    <row r="78" spans="2:11" ht="12.6" customHeight="1" x14ac:dyDescent="0.25">
      <c r="B78" s="1346" t="s">
        <v>1265</v>
      </c>
      <c r="C78" s="1356">
        <f ca="1">C71*CO2_MaintFactor</f>
        <v>158874.32277035434</v>
      </c>
      <c r="D78" s="1350" t="str">
        <f>ref_year&amp;"$/year"</f>
        <v>2016$/year</v>
      </c>
      <c r="E78" s="1275"/>
      <c r="F78" s="1275"/>
      <c r="G78" s="1275"/>
      <c r="H78" s="1275"/>
      <c r="I78" s="1275"/>
      <c r="J78" s="1275"/>
      <c r="K78" s="564"/>
    </row>
    <row r="79" spans="2:11" ht="12.6" customHeight="1" x14ac:dyDescent="0.25">
      <c r="B79" s="1276"/>
      <c r="C79" s="1275"/>
      <c r="D79" s="1275"/>
      <c r="E79" s="1275"/>
      <c r="F79" s="1275"/>
      <c r="G79" s="1275"/>
      <c r="H79" s="1275"/>
      <c r="I79" s="1275"/>
      <c r="J79" s="1275"/>
      <c r="K79" s="564"/>
    </row>
    <row r="80" spans="2:11" ht="15" customHeight="1" x14ac:dyDescent="0.25">
      <c r="B80" s="32" t="s">
        <v>1211</v>
      </c>
      <c r="C80" s="1274"/>
      <c r="D80" s="1274"/>
      <c r="E80" s="1274"/>
      <c r="F80" s="1274"/>
      <c r="G80" s="1274"/>
      <c r="H80" s="1274"/>
      <c r="I80" s="1274"/>
      <c r="J80" s="1274"/>
      <c r="K80" s="564"/>
    </row>
    <row r="81" spans="2:13" ht="12.6" customHeight="1" x14ac:dyDescent="0.25">
      <c r="B81" s="1278" t="s">
        <v>83</v>
      </c>
      <c r="C81" s="1274"/>
      <c r="D81" s="1274"/>
      <c r="E81" s="1274"/>
      <c r="F81" s="1274"/>
      <c r="G81" s="1274"/>
      <c r="H81" s="1274"/>
      <c r="I81" s="1274"/>
      <c r="J81" s="1274"/>
      <c r="K81" s="564"/>
    </row>
    <row r="82" spans="2:13" ht="12.6" customHeight="1" x14ac:dyDescent="0.25">
      <c r="B82" s="1346" t="s">
        <v>1212</v>
      </c>
      <c r="C82" s="1349">
        <f ca="1">IF(C35="yes",701600*(CO2_flowrate_GTpY/3.2)^Scaling_Factor_Exponent*(VLOOKUP(ref_year,Tbl_PlantCostIndexes,2)/VLOOKUP(2000,Tbl_PlantCostIndexes,2)),0)</f>
        <v>1102586.4970374191</v>
      </c>
      <c r="D82" s="1350" t="str">
        <f>ref_year&amp;"$"</f>
        <v>2016$</v>
      </c>
      <c r="E82" s="1281" t="s">
        <v>1279</v>
      </c>
      <c r="F82" s="1274"/>
      <c r="G82" s="1274"/>
      <c r="H82" s="1274"/>
      <c r="I82" s="1274"/>
      <c r="J82" s="1274"/>
      <c r="K82" s="564"/>
    </row>
    <row r="83" spans="2:13" ht="12.6" customHeight="1" x14ac:dyDescent="0.25">
      <c r="B83" s="1346" t="s">
        <v>1266</v>
      </c>
      <c r="C83" s="1349">
        <f ca="1">IF(C34="yes",94000*(CO2_flowrate_GTpY/3.2)^Scaling_Factor_Exponent*(VLOOKUP(ref_year,Tbl_PlantCostIndexes,2)/VLOOKUP(2000,Tbl_PlantCostIndexes,2)),0)</f>
        <v>147723.96054948316</v>
      </c>
      <c r="D83" s="1350" t="str">
        <f>ref_year&amp;"$"</f>
        <v>2016$</v>
      </c>
      <c r="E83" s="1281" t="s">
        <v>1279</v>
      </c>
      <c r="F83" s="1274"/>
      <c r="G83" s="1274"/>
      <c r="H83" s="1274"/>
      <c r="I83" s="1274"/>
      <c r="J83" s="1274"/>
      <c r="K83" s="564"/>
    </row>
    <row r="84" spans="2:13" ht="12.6" customHeight="1" x14ac:dyDescent="0.25">
      <c r="B84" s="1277"/>
      <c r="C84" s="1274"/>
      <c r="D84" s="1274"/>
      <c r="E84" s="1274"/>
      <c r="F84" s="1274"/>
      <c r="G84" s="1274"/>
      <c r="H84" s="1274"/>
      <c r="I84" s="1274"/>
      <c r="J84" s="1274"/>
      <c r="K84" s="564"/>
    </row>
    <row r="85" spans="2:13" ht="12.6" customHeight="1" x14ac:dyDescent="0.25">
      <c r="B85" s="1278" t="s">
        <v>416</v>
      </c>
      <c r="C85" s="1275"/>
      <c r="D85" s="1275"/>
      <c r="E85" s="1275"/>
      <c r="F85" s="1275"/>
      <c r="G85" s="1275"/>
      <c r="H85" s="1275"/>
      <c r="I85" s="1275"/>
      <c r="J85" s="1275"/>
      <c r="K85" s="564"/>
    </row>
    <row r="86" spans="2:13" ht="12.6" customHeight="1" x14ac:dyDescent="0.25">
      <c r="B86" s="1346" t="s">
        <v>1265</v>
      </c>
      <c r="C86" s="1349">
        <f ca="1">SUM(C82:C83)*CO2_MaintFactor</f>
        <v>50012.418303476086</v>
      </c>
      <c r="D86" s="1350" t="str">
        <f>ref_year&amp;"$/year"</f>
        <v>2016$/year</v>
      </c>
      <c r="E86" s="1298"/>
      <c r="F86" s="1298"/>
      <c r="G86" s="1298"/>
      <c r="H86" s="1298"/>
      <c r="I86" s="1298"/>
      <c r="J86" s="1298"/>
      <c r="K86" s="564"/>
    </row>
    <row r="87" spans="2:13" s="1274" customFormat="1" ht="12.6" customHeight="1" thickBot="1" x14ac:dyDescent="0.3">
      <c r="B87" s="1287"/>
      <c r="C87" s="565"/>
      <c r="D87" s="565"/>
      <c r="E87" s="565"/>
      <c r="F87" s="565"/>
      <c r="G87" s="565"/>
      <c r="H87" s="565"/>
      <c r="I87" s="565"/>
      <c r="J87" s="565"/>
      <c r="K87" s="566"/>
    </row>
    <row r="88" spans="2:13" s="1275" customFormat="1" ht="12.6" customHeight="1" thickTop="1" thickBot="1" x14ac:dyDescent="0.3">
      <c r="B88" s="1279"/>
    </row>
    <row r="89" spans="2:13" s="1275" customFormat="1" ht="21" customHeight="1" thickTop="1" x14ac:dyDescent="0.25">
      <c r="B89" s="553" t="s">
        <v>1231</v>
      </c>
      <c r="C89" s="562"/>
      <c r="D89" s="562"/>
      <c r="E89" s="562"/>
      <c r="F89" s="562"/>
      <c r="G89" s="562"/>
      <c r="H89" s="562"/>
      <c r="I89" s="562"/>
      <c r="J89" s="562"/>
      <c r="K89" s="563"/>
    </row>
    <row r="90" spans="2:13" s="1275" customFormat="1" ht="12.6" customHeight="1" x14ac:dyDescent="0.25">
      <c r="B90" s="32" t="s">
        <v>1236</v>
      </c>
      <c r="C90" s="1298"/>
      <c r="D90" s="1323" t="s">
        <v>1050</v>
      </c>
      <c r="E90" s="1319" t="s">
        <v>1251</v>
      </c>
      <c r="F90" s="1298"/>
      <c r="G90" s="1298"/>
      <c r="H90" s="1298"/>
      <c r="I90" s="1298"/>
      <c r="J90" s="1298"/>
      <c r="K90" s="564"/>
      <c r="L90" s="1298"/>
      <c r="M90" s="1298"/>
    </row>
    <row r="91" spans="2:13" s="1284" customFormat="1" hidden="1" x14ac:dyDescent="0.25">
      <c r="B91" s="1277" t="s">
        <v>1234</v>
      </c>
      <c r="C91" s="567">
        <f>VLOOKUP(2005,DeflatorTable,2)/VLOOKUP(2008,DeflatorTable,2)</f>
        <v>0.92676070528967247</v>
      </c>
      <c r="D91" s="1298"/>
      <c r="E91" s="1298"/>
      <c r="F91" s="1298"/>
      <c r="G91" s="1298"/>
      <c r="H91" s="1298"/>
      <c r="I91" s="1298"/>
      <c r="J91" s="1298"/>
      <c r="K91" s="564"/>
      <c r="L91" s="1298"/>
      <c r="M91" s="1298"/>
    </row>
    <row r="92" spans="2:13" s="1275" customFormat="1" ht="12.6" customHeight="1" x14ac:dyDescent="0.25">
      <c r="B92" s="1278" t="str">
        <f>"Capital Costs by Stage (Annual Cost of "&amp;plant_life&amp;" year project in "&amp;ref_year&amp;"$)"</f>
        <v>Capital Costs by Stage (Annual Cost of 30 year project in 2016$)</v>
      </c>
      <c r="C92" s="1298"/>
      <c r="D92" s="1298"/>
      <c r="E92" s="1281" t="s">
        <v>1287</v>
      </c>
      <c r="F92" s="1298"/>
      <c r="G92" s="1298"/>
      <c r="H92" s="1298"/>
      <c r="I92" s="1298"/>
      <c r="J92" s="1298"/>
      <c r="K92" s="564"/>
      <c r="L92" s="1298"/>
      <c r="M92" s="1298"/>
    </row>
    <row r="93" spans="2:13" s="1275" customFormat="1" ht="12.6" customHeight="1" x14ac:dyDescent="0.25">
      <c r="B93" s="1346" t="s">
        <v>1227</v>
      </c>
      <c r="C93" s="1349">
        <f>94000*VLOOKUP(ref_year,Tbl_labor_indexes,2)/VLOOKUP(2008,Tbl_labor_indexes,2)</f>
        <v>109497.94871794869</v>
      </c>
      <c r="D93" s="1350" t="str">
        <f>ref_year&amp;"$"</f>
        <v>2016$</v>
      </c>
      <c r="F93" s="1298"/>
      <c r="G93" s="1298"/>
      <c r="H93" s="1298"/>
      <c r="I93" s="1298"/>
      <c r="J93" s="1298"/>
      <c r="K93" s="564"/>
      <c r="L93" s="1298"/>
      <c r="M93" s="1298"/>
    </row>
    <row r="94" spans="2:13" s="1275" customFormat="1" ht="12.6" customHeight="1" x14ac:dyDescent="0.25">
      <c r="B94" s="1346" t="s">
        <v>1228</v>
      </c>
      <c r="C94" s="1349">
        <f ca="1">(-16600*CO2_flowrate_GTpY^2+53500*CO2_flowrate_GTpY+20300)*1000*VLOOKUP(ref_year,Tbl_labor_indexes,2)/VLOOKUP(2008,Tbl_labor_indexes,2)</f>
        <v>-36495488.73548881</v>
      </c>
      <c r="D94" s="1350" t="str">
        <f>ref_year&amp;"$"</f>
        <v>2016$</v>
      </c>
      <c r="E94" s="1298"/>
      <c r="F94" s="1298"/>
      <c r="G94" s="1298"/>
      <c r="H94" s="1298"/>
      <c r="I94" s="1298"/>
      <c r="J94" s="1298"/>
      <c r="K94" s="564"/>
      <c r="L94" s="1298"/>
      <c r="M94" s="1298"/>
    </row>
    <row r="95" spans="2:13" s="1275" customFormat="1" ht="12.6" customHeight="1" x14ac:dyDescent="0.25">
      <c r="B95" s="1346" t="s">
        <v>169</v>
      </c>
      <c r="C95" s="1349">
        <f ca="1" xml:space="preserve"> (-400*CO2_flowrate_GTpY^2 + 2200*CO2_flowrate_GTpY + 13800)*1000*VLOOKUP(ref_year,Tbl_labor_indexes,2)/VLOOKUP(2008,Tbl_labor_indexes,2)</f>
        <v>18870481.663501531</v>
      </c>
      <c r="D95" s="1350" t="str">
        <f>ref_year&amp;"$"</f>
        <v>2016$</v>
      </c>
      <c r="E95" s="1298"/>
      <c r="F95" s="1298"/>
      <c r="G95" s="1298"/>
      <c r="H95" s="1298"/>
      <c r="I95" s="1298"/>
      <c r="J95" s="1298"/>
      <c r="K95" s="564"/>
      <c r="L95" s="1298"/>
      <c r="M95" s="1298"/>
    </row>
    <row r="96" spans="2:13" s="1298" customFormat="1" ht="12.6" customHeight="1" x14ac:dyDescent="0.25">
      <c r="B96" s="1277"/>
      <c r="C96" s="1296"/>
      <c r="K96" s="564"/>
    </row>
    <row r="97" spans="2:13" s="1298" customFormat="1" ht="12.6" customHeight="1" x14ac:dyDescent="0.25">
      <c r="B97" s="1278" t="s">
        <v>1259</v>
      </c>
      <c r="C97" s="1296"/>
      <c r="E97" s="1281"/>
      <c r="K97" s="564"/>
    </row>
    <row r="98" spans="2:13" s="1275" customFormat="1" ht="12.6" customHeight="1" x14ac:dyDescent="0.25">
      <c r="B98" s="1346" t="s">
        <v>1285</v>
      </c>
      <c r="C98" s="1349">
        <f ca="1">(-36000*CO2_flowrate_GTpY^2+224000*CO2_flowrate_GTpY+47000)*1000*(VLOOKUP(ref_year,Tbl_labor_indexes,2)/VLOOKUP(2008,Tbl_labor_indexes,2))/plant_life</f>
        <v>14249323.217330333</v>
      </c>
      <c r="D98" s="1350" t="str">
        <f>ref_year&amp;"$/year"</f>
        <v>2016$/year</v>
      </c>
      <c r="E98" s="1298"/>
      <c r="F98" s="1298"/>
      <c r="G98" s="1298"/>
      <c r="H98" s="1298"/>
      <c r="I98" s="1298"/>
      <c r="J98" s="1298"/>
      <c r="K98" s="564"/>
      <c r="L98" s="1298"/>
      <c r="M98" s="1298"/>
    </row>
    <row r="99" spans="2:13" s="1275" customFormat="1" ht="12.6" customHeight="1" x14ac:dyDescent="0.25">
      <c r="B99" s="1346" t="s">
        <v>1230</v>
      </c>
      <c r="C99" s="1349">
        <f ca="1">(-18000*CO2_flowrate_GTpY^2 + 183000*CO2_flowrate_GTpY+ 40000)*1000*(VLOOKUP(ref_year,Tbl_labor_indexes,2)/VLOOKUP(2008,Tbl_labor_indexes,2))/plant_life</f>
        <v>18793838.607429523</v>
      </c>
      <c r="D99" s="1350" t="str">
        <f>ref_year&amp;"$/year"</f>
        <v>2016$/year</v>
      </c>
      <c r="E99" s="1298"/>
      <c r="F99" s="1298"/>
      <c r="G99" s="1298"/>
      <c r="H99" s="1298"/>
      <c r="I99" s="1298"/>
      <c r="J99" s="1298"/>
      <c r="K99" s="564"/>
      <c r="L99" s="1298"/>
      <c r="M99" s="1298"/>
    </row>
    <row r="100" spans="2:13" s="1298" customFormat="1" ht="12.6" customHeight="1" x14ac:dyDescent="0.25">
      <c r="B100" s="1346" t="s">
        <v>1286</v>
      </c>
      <c r="C100" s="1367">
        <f ca="1">+IF(CO2_Capture_Efficiency,SUM(C98:C99),0)</f>
        <v>33043161.824759856</v>
      </c>
      <c r="D100" s="1350" t="str">
        <f>ref_year&amp;"$/year"</f>
        <v>2016$/year</v>
      </c>
      <c r="K100" s="564"/>
    </row>
    <row r="101" spans="2:13" s="1275" customFormat="1" ht="12.6" customHeight="1" x14ac:dyDescent="0.25">
      <c r="B101" s="1278"/>
      <c r="C101" s="1296"/>
      <c r="D101" s="1298"/>
      <c r="E101" s="1298"/>
      <c r="F101" s="1298"/>
      <c r="G101" s="1298"/>
      <c r="H101" s="1298"/>
      <c r="I101" s="1298"/>
      <c r="J101" s="1298"/>
      <c r="K101" s="564"/>
      <c r="L101" s="1298"/>
      <c r="M101" s="1298"/>
    </row>
    <row r="102" spans="2:13" s="1275" customFormat="1" ht="12.6" customHeight="1" x14ac:dyDescent="0.25">
      <c r="B102" s="1278" t="s">
        <v>1232</v>
      </c>
      <c r="C102" s="1296"/>
      <c r="D102" s="1298"/>
      <c r="E102" s="1281"/>
      <c r="F102" s="1298"/>
      <c r="G102" s="1298"/>
      <c r="H102" s="1298"/>
      <c r="I102" s="1298"/>
      <c r="J102" s="1298"/>
      <c r="K102" s="564"/>
      <c r="L102" s="1298"/>
      <c r="M102" s="1298"/>
    </row>
    <row r="103" spans="2:13" s="1274" customFormat="1" ht="12.6" customHeight="1" x14ac:dyDescent="0.25">
      <c r="B103" s="1346" t="s">
        <v>1227</v>
      </c>
      <c r="C103" s="1349">
        <f>0*(VLOOKUP(ref_year,Tbl_labor_indexes,2)/VLOOKUP(2008,Tbl_labor_indexes,2))</f>
        <v>0</v>
      </c>
      <c r="D103" s="1350" t="str">
        <f>ref_year&amp;"$/year"</f>
        <v>2016$/year</v>
      </c>
      <c r="E103" s="1298"/>
      <c r="F103" s="1298"/>
      <c r="G103" s="1298"/>
      <c r="H103" s="1298"/>
      <c r="I103" s="1298"/>
      <c r="J103" s="1298"/>
      <c r="K103" s="564"/>
      <c r="L103" s="1298"/>
      <c r="M103" s="1298"/>
    </row>
    <row r="104" spans="2:13" s="1275" customFormat="1" ht="12.6" customHeight="1" x14ac:dyDescent="0.25">
      <c r="B104" s="1346" t="s">
        <v>1228</v>
      </c>
      <c r="C104" s="1349">
        <f>395000*(VLOOKUP(ref_year,Tbl_labor_indexes,2)/VLOOKUP(2008,Tbl_labor_indexes,2))/plant_life</f>
        <v>15337.478632478629</v>
      </c>
      <c r="D104" s="1350" t="str">
        <f>ref_year&amp;"$/year"</f>
        <v>2016$/year</v>
      </c>
      <c r="E104" s="1298"/>
      <c r="F104" s="1298"/>
      <c r="G104" s="1298"/>
      <c r="H104" s="1298"/>
      <c r="I104" s="1298"/>
      <c r="J104" s="1298"/>
      <c r="K104" s="564"/>
      <c r="L104" s="1298"/>
      <c r="M104" s="1298"/>
    </row>
    <row r="105" spans="2:13" s="1275" customFormat="1" ht="12.6" customHeight="1" x14ac:dyDescent="0.25">
      <c r="B105" s="1346" t="s">
        <v>169</v>
      </c>
      <c r="C105" s="1349">
        <f>100000*(VLOOKUP(ref_year,Tbl_labor_indexes,2)/VLOOKUP(2008,Tbl_labor_indexes,2))/plant_life</f>
        <v>3882.905982905982</v>
      </c>
      <c r="D105" s="1350" t="str">
        <f>ref_year&amp;"$/year"</f>
        <v>2016$/year</v>
      </c>
      <c r="E105" s="1298"/>
      <c r="F105" s="1298"/>
      <c r="G105" s="1298"/>
      <c r="H105" s="1298"/>
      <c r="I105" s="1298"/>
      <c r="J105" s="1298"/>
      <c r="K105" s="564"/>
      <c r="L105" s="1298"/>
      <c r="M105" s="1298"/>
    </row>
    <row r="106" spans="2:13" s="1275" customFormat="1" ht="12.6" customHeight="1" x14ac:dyDescent="0.25">
      <c r="B106" s="1346" t="s">
        <v>1229</v>
      </c>
      <c r="C106" s="1349">
        <f ca="1" xml:space="preserve"> (-30000*CO2_flowrate_GTpY^2 + 143000*CO2_flowrate_GTpY + 41000)*1000*(VLOOKUP(ref_year,Tbl_labor_indexes,2)/VLOOKUP(2008,Tbl_labor_indexes,2))/plant_life</f>
        <v>5162837.7695857435</v>
      </c>
      <c r="D106" s="1350" t="str">
        <f>ref_year&amp;"$/year"</f>
        <v>2016$/year</v>
      </c>
      <c r="E106" s="1298"/>
      <c r="F106" s="1298"/>
      <c r="G106" s="1298"/>
      <c r="H106" s="1298"/>
      <c r="I106" s="1298"/>
      <c r="J106" s="1298"/>
      <c r="K106" s="564"/>
      <c r="L106" s="1298"/>
      <c r="M106" s="1298"/>
    </row>
    <row r="107" spans="2:13" s="1275" customFormat="1" ht="12.6" customHeight="1" x14ac:dyDescent="0.25">
      <c r="B107" s="1346" t="s">
        <v>1230</v>
      </c>
      <c r="C107" s="1349">
        <f ca="1">(111200*CO2_flowrate_GTpY+27733.33)*1000*(VLOOKUP(ref_year,Tbl_labor_indexes,2)/VLOOKUP(2008,Tbl_labor_indexes,2))/plant_life</f>
        <v>18349660.866283119</v>
      </c>
      <c r="D107" s="1350" t="str">
        <f>ref_year&amp;"$/year"</f>
        <v>2016$/year</v>
      </c>
      <c r="E107" s="1298"/>
      <c r="F107" s="1298"/>
      <c r="G107" s="1298"/>
      <c r="H107" s="1298"/>
      <c r="I107" s="1298"/>
      <c r="J107" s="1298"/>
      <c r="K107" s="564"/>
      <c r="L107" s="1298"/>
      <c r="M107" s="1298"/>
    </row>
    <row r="108" spans="2:13" s="1275" customFormat="1" ht="12.6" customHeight="1" thickBot="1" x14ac:dyDescent="0.3">
      <c r="B108" s="1287"/>
      <c r="C108" s="565"/>
      <c r="D108" s="565"/>
      <c r="E108" s="565"/>
      <c r="F108" s="565"/>
      <c r="G108" s="565"/>
      <c r="H108" s="565"/>
      <c r="I108" s="565"/>
      <c r="J108" s="565"/>
      <c r="K108" s="566"/>
      <c r="L108" s="1298"/>
      <c r="M108" s="1298"/>
    </row>
    <row r="109" spans="2:13" s="1275" customFormat="1" ht="12.6" customHeight="1" thickTop="1" x14ac:dyDescent="0.25">
      <c r="B109" s="1279"/>
      <c r="C109" s="1297"/>
      <c r="D109" s="1280"/>
      <c r="L109" s="1298"/>
      <c r="M109" s="1298"/>
    </row>
    <row r="110" spans="2:13" x14ac:dyDescent="0.25">
      <c r="L110" s="1298"/>
      <c r="M110" s="1298"/>
    </row>
    <row r="111" spans="2:13" x14ac:dyDescent="0.25">
      <c r="L111" s="1298"/>
      <c r="M111" s="1298"/>
    </row>
  </sheetData>
  <mergeCells count="48">
    <mergeCell ref="E47:F47"/>
    <mergeCell ref="H48:J48"/>
    <mergeCell ref="H45:J45"/>
    <mergeCell ref="E48:F48"/>
    <mergeCell ref="H41:I41"/>
    <mergeCell ref="H43:I43"/>
    <mergeCell ref="H47:J47"/>
    <mergeCell ref="E41:F41"/>
    <mergeCell ref="E46:F46"/>
    <mergeCell ref="E44:F44"/>
    <mergeCell ref="B4:J4"/>
    <mergeCell ref="B5:J5"/>
    <mergeCell ref="H30:I30"/>
    <mergeCell ref="H21:I21"/>
    <mergeCell ref="H22:I22"/>
    <mergeCell ref="D26:F26"/>
    <mergeCell ref="H28:I28"/>
    <mergeCell ref="H20:K20"/>
    <mergeCell ref="H23:I23"/>
    <mergeCell ref="D21:F21"/>
    <mergeCell ref="D25:F25"/>
    <mergeCell ref="H24:I24"/>
    <mergeCell ref="H26:I26"/>
    <mergeCell ref="H25:I25"/>
    <mergeCell ref="H27:I27"/>
    <mergeCell ref="E33:F33"/>
    <mergeCell ref="H46:J46"/>
    <mergeCell ref="H38:I38"/>
    <mergeCell ref="H40:I40"/>
    <mergeCell ref="H35:I35"/>
    <mergeCell ref="H39:I39"/>
    <mergeCell ref="H34:I34"/>
    <mergeCell ref="H31:I31"/>
    <mergeCell ref="H37:I37"/>
    <mergeCell ref="E30:F30"/>
    <mergeCell ref="E34:F34"/>
    <mergeCell ref="B45:F45"/>
    <mergeCell ref="B42:F42"/>
    <mergeCell ref="B39:F39"/>
    <mergeCell ref="E32:F32"/>
    <mergeCell ref="E40:F40"/>
    <mergeCell ref="E38:F38"/>
    <mergeCell ref="E37:F37"/>
    <mergeCell ref="E36:F36"/>
    <mergeCell ref="E35:F35"/>
    <mergeCell ref="E31:F31"/>
    <mergeCell ref="H36:I36"/>
    <mergeCell ref="H33:I33"/>
  </mergeCells>
  <phoneticPr fontId="4" type="noConversion"/>
  <dataValidations disablePrompts="1" count="1">
    <dataValidation type="list" allowBlank="1" showInputMessage="1" showErrorMessage="1" sqref="C34:C35" xr:uid="{00000000-0002-0000-0700-000000000000}">
      <formula1>Yes_No</formula1>
    </dataValidation>
  </dataValidations>
  <hyperlinks>
    <hyperlink ref="B15" location="'Carbon Sequestration'!B28" display="Carbon Sequestration Input Values" xr:uid="{00000000-0004-0000-0700-000000000000}"/>
    <hyperlink ref="B16" location="'Carbon Sequestration'!H21" display="Summary of Output Values" xr:uid="{00000000-0004-0000-0700-000001000000}"/>
    <hyperlink ref="B17" location="'Carbon Sequestration'!B41" display="Carbon Sequestration Calculations" xr:uid="{00000000-0004-0000-0700-000002000000}"/>
  </hyperlink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7509" r:id="rId4" name="chk_CO2_credit">
          <controlPr defaultSize="0" autoLine="0" r:id="rId5">
            <anchor moveWithCells="1">
              <from>
                <xdr:col>3</xdr:col>
                <xdr:colOff>251460</xdr:colOff>
                <xdr:row>42</xdr:row>
                <xdr:rowOff>0</xdr:rowOff>
              </from>
              <to>
                <xdr:col>4</xdr:col>
                <xdr:colOff>106680</xdr:colOff>
                <xdr:row>43</xdr:row>
                <xdr:rowOff>30480</xdr:rowOff>
              </to>
            </anchor>
          </controlPr>
        </control>
      </mc:Choice>
      <mc:Fallback>
        <control shapeId="17509" r:id="rId4" name="chk_CO2_credit"/>
      </mc:Fallback>
    </mc:AlternateContent>
    <mc:AlternateContent xmlns:mc="http://schemas.openxmlformats.org/markup-compatibility/2006">
      <mc:Choice Requires="x14">
        <control shapeId="17497" r:id="rId6" name="chk_CO2_Pin_psia">
          <controlPr defaultSize="0" autoLine="0" r:id="rId7">
            <anchor moveWithCells="1">
              <from>
                <xdr:col>3</xdr:col>
                <xdr:colOff>251460</xdr:colOff>
                <xdr:row>30</xdr:row>
                <xdr:rowOff>68580</xdr:rowOff>
              </from>
              <to>
                <xdr:col>4</xdr:col>
                <xdr:colOff>0</xdr:colOff>
                <xdr:row>30</xdr:row>
                <xdr:rowOff>281940</xdr:rowOff>
              </to>
            </anchor>
          </controlPr>
        </control>
      </mc:Choice>
      <mc:Fallback>
        <control shapeId="17497" r:id="rId6" name="chk_CO2_Pin_psia"/>
      </mc:Fallback>
    </mc:AlternateContent>
    <mc:AlternateContent xmlns:mc="http://schemas.openxmlformats.org/markup-compatibility/2006">
      <mc:Choice Requires="x14">
        <control shapeId="17453" r:id="rId8" name="chk_CO2_MaintFactor">
          <controlPr defaultSize="0" autoLine="0" r:id="rId9">
            <anchor moveWithCells="1">
              <from>
                <xdr:col>3</xdr:col>
                <xdr:colOff>251460</xdr:colOff>
                <xdr:row>43</xdr:row>
                <xdr:rowOff>0</xdr:rowOff>
              </from>
              <to>
                <xdr:col>4</xdr:col>
                <xdr:colOff>0</xdr:colOff>
                <xdr:row>44</xdr:row>
                <xdr:rowOff>22860</xdr:rowOff>
              </to>
            </anchor>
          </controlPr>
        </control>
      </mc:Choice>
      <mc:Fallback>
        <control shapeId="17453" r:id="rId8" name="chk_CO2_MaintFactor"/>
      </mc:Fallback>
    </mc:AlternateContent>
    <mc:AlternateContent xmlns:mc="http://schemas.openxmlformats.org/markup-compatibility/2006">
      <mc:Choice Requires="x14">
        <control shapeId="17452" r:id="rId10" name="chk_CO2_Capture_Efficiency">
          <controlPr defaultSize="0" autoLine="0" r:id="rId11">
            <anchor moveWithCells="1">
              <from>
                <xdr:col>3</xdr:col>
                <xdr:colOff>251460</xdr:colOff>
                <xdr:row>29</xdr:row>
                <xdr:rowOff>0</xdr:rowOff>
              </from>
              <to>
                <xdr:col>4</xdr:col>
                <xdr:colOff>0</xdr:colOff>
                <xdr:row>30</xdr:row>
                <xdr:rowOff>38100</xdr:rowOff>
              </to>
            </anchor>
          </controlPr>
        </control>
      </mc:Choice>
      <mc:Fallback>
        <control shapeId="17452" r:id="rId10" name="chk_CO2_Capture_Efficiency"/>
      </mc:Fallback>
    </mc:AlternateContent>
    <mc:AlternateContent xmlns:mc="http://schemas.openxmlformats.org/markup-compatibility/2006">
      <mc:Choice Requires="x14">
        <control shapeId="17561" r:id="rId12" name="chk_n_CO2_pumps">
          <controlPr defaultSize="0" autoLine="0" r:id="rId13">
            <anchor moveWithCells="1">
              <from>
                <xdr:col>3</xdr:col>
                <xdr:colOff>236220</xdr:colOff>
                <xdr:row>31</xdr:row>
                <xdr:rowOff>68580</xdr:rowOff>
              </from>
              <to>
                <xdr:col>3</xdr:col>
                <xdr:colOff>1318260</xdr:colOff>
                <xdr:row>31</xdr:row>
                <xdr:rowOff>281940</xdr:rowOff>
              </to>
            </anchor>
          </controlPr>
        </control>
      </mc:Choice>
      <mc:Fallback>
        <control shapeId="17561" r:id="rId12" name="chk_n_CO2_pumps"/>
      </mc:Fallback>
    </mc:AlternateContent>
    <mc:AlternateContent xmlns:mc="http://schemas.openxmlformats.org/markup-compatibility/2006">
      <mc:Choice Requires="x14">
        <control shapeId="17562" r:id="rId14" name="chk_CO2_Pump_Eff">
          <controlPr defaultSize="0" autoLine="0" r:id="rId15">
            <anchor moveWithCells="1">
              <from>
                <xdr:col>3</xdr:col>
                <xdr:colOff>236220</xdr:colOff>
                <xdr:row>31</xdr:row>
                <xdr:rowOff>335280</xdr:rowOff>
              </from>
              <to>
                <xdr:col>3</xdr:col>
                <xdr:colOff>1318260</xdr:colOff>
                <xdr:row>33</xdr:row>
                <xdr:rowOff>30480</xdr:rowOff>
              </to>
            </anchor>
          </controlPr>
        </control>
      </mc:Choice>
      <mc:Fallback>
        <control shapeId="17562" r:id="rId14" name="chk_CO2_Pump_Eff"/>
      </mc:Fallback>
    </mc:AlternateContent>
    <mc:AlternateContent xmlns:mc="http://schemas.openxmlformats.org/markup-compatibility/2006">
      <mc:Choice Requires="x14">
        <control shapeId="17563" r:id="rId16" name="chk_CO2_ControlSystem">
          <controlPr defaultSize="0" autoLine="0" r:id="rId17">
            <anchor moveWithCells="1">
              <from>
                <xdr:col>3</xdr:col>
                <xdr:colOff>236220</xdr:colOff>
                <xdr:row>32</xdr:row>
                <xdr:rowOff>160020</xdr:rowOff>
              </from>
              <to>
                <xdr:col>3</xdr:col>
                <xdr:colOff>1318260</xdr:colOff>
                <xdr:row>34</xdr:row>
                <xdr:rowOff>30480</xdr:rowOff>
              </to>
            </anchor>
          </controlPr>
        </control>
      </mc:Choice>
      <mc:Fallback>
        <control shapeId="17563" r:id="rId16" name="chk_CO2_ControlSystem"/>
      </mc:Fallback>
    </mc:AlternateContent>
    <mc:AlternateContent xmlns:mc="http://schemas.openxmlformats.org/markup-compatibility/2006">
      <mc:Choice Requires="x14">
        <control shapeId="17565" r:id="rId18" name="chk_CO2_SurgeTank">
          <controlPr defaultSize="0" autoLine="0" r:id="rId19">
            <anchor moveWithCells="1">
              <from>
                <xdr:col>3</xdr:col>
                <xdr:colOff>236220</xdr:colOff>
                <xdr:row>33</xdr:row>
                <xdr:rowOff>152400</xdr:rowOff>
              </from>
              <to>
                <xdr:col>3</xdr:col>
                <xdr:colOff>1318260</xdr:colOff>
                <xdr:row>35</xdr:row>
                <xdr:rowOff>22860</xdr:rowOff>
              </to>
            </anchor>
          </controlPr>
        </control>
      </mc:Choice>
      <mc:Fallback>
        <control shapeId="17565" r:id="rId18" name="chk_CO2_SurgeTank"/>
      </mc:Fallback>
    </mc:AlternateContent>
    <mc:AlternateContent xmlns:mc="http://schemas.openxmlformats.org/markup-compatibility/2006">
      <mc:Choice Requires="x14">
        <control shapeId="17566" r:id="rId20" name="chk_CO2_PipeLength">
          <controlPr defaultSize="0" autoLine="0" r:id="rId21">
            <anchor moveWithCells="1">
              <from>
                <xdr:col>3</xdr:col>
                <xdr:colOff>236220</xdr:colOff>
                <xdr:row>34</xdr:row>
                <xdr:rowOff>152400</xdr:rowOff>
              </from>
              <to>
                <xdr:col>3</xdr:col>
                <xdr:colOff>1318260</xdr:colOff>
                <xdr:row>36</xdr:row>
                <xdr:rowOff>22860</xdr:rowOff>
              </to>
            </anchor>
          </controlPr>
        </control>
      </mc:Choice>
      <mc:Fallback>
        <control shapeId="17566" r:id="rId20" name="chk_CO2_PipeLength"/>
      </mc:Fallback>
    </mc:AlternateContent>
    <mc:AlternateContent xmlns:mc="http://schemas.openxmlformats.org/markup-compatibility/2006">
      <mc:Choice Requires="x14">
        <control shapeId="17567" r:id="rId22" name="chk_CO2_PipeElevation">
          <controlPr defaultSize="0" autoLine="0" r:id="rId23">
            <anchor moveWithCells="1">
              <from>
                <xdr:col>3</xdr:col>
                <xdr:colOff>236220</xdr:colOff>
                <xdr:row>35</xdr:row>
                <xdr:rowOff>160020</xdr:rowOff>
              </from>
              <to>
                <xdr:col>3</xdr:col>
                <xdr:colOff>1318260</xdr:colOff>
                <xdr:row>37</xdr:row>
                <xdr:rowOff>30480</xdr:rowOff>
              </to>
            </anchor>
          </controlPr>
        </control>
      </mc:Choice>
      <mc:Fallback>
        <control shapeId="17567" r:id="rId22" name="chk_CO2_PipeElevation"/>
      </mc:Fallback>
    </mc:AlternateContent>
    <mc:AlternateContent xmlns:mc="http://schemas.openxmlformats.org/markup-compatibility/2006">
      <mc:Choice Requires="x14">
        <control shapeId="17568" r:id="rId24" name="chk_CO2_Pipeline_Temp">
          <controlPr defaultSize="0" autoLine="0" r:id="rId25">
            <anchor moveWithCells="1">
              <from>
                <xdr:col>3</xdr:col>
                <xdr:colOff>251460</xdr:colOff>
                <xdr:row>38</xdr:row>
                <xdr:rowOff>160020</xdr:rowOff>
              </from>
              <to>
                <xdr:col>4</xdr:col>
                <xdr:colOff>0</xdr:colOff>
                <xdr:row>40</xdr:row>
                <xdr:rowOff>38100</xdr:rowOff>
              </to>
            </anchor>
          </controlPr>
        </control>
      </mc:Choice>
      <mc:Fallback>
        <control shapeId="17568" r:id="rId24" name="chk_CO2_Pipeline_Temp"/>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indexed="44"/>
    <pageSetUpPr fitToPage="1"/>
  </sheetPr>
  <dimension ref="B1:I122"/>
  <sheetViews>
    <sheetView workbookViewId="0"/>
  </sheetViews>
  <sheetFormatPr defaultRowHeight="13.2" x14ac:dyDescent="0.25"/>
  <cols>
    <col min="2" max="2" width="28.6640625" customWidth="1"/>
    <col min="3" max="3" width="25.33203125" customWidth="1"/>
    <col min="4" max="4" width="22.6640625" customWidth="1"/>
    <col min="5" max="5" width="22.109375" customWidth="1"/>
    <col min="6" max="6" width="20.33203125" customWidth="1"/>
    <col min="7" max="7" width="18.5546875" customWidth="1"/>
    <col min="8" max="8" width="15.6640625" customWidth="1"/>
    <col min="9" max="9" width="16.33203125" customWidth="1"/>
  </cols>
  <sheetData>
    <row r="1" spans="2:9" ht="13.8" thickBot="1" x14ac:dyDescent="0.3"/>
    <row r="2" spans="2:9" ht="16.2" thickTop="1" x14ac:dyDescent="0.3">
      <c r="B2" s="730" t="s">
        <v>1068</v>
      </c>
      <c r="C2" s="731"/>
    </row>
    <row r="3" spans="2:9" x14ac:dyDescent="0.25">
      <c r="B3" s="732" t="s">
        <v>79</v>
      </c>
      <c r="C3" s="690"/>
    </row>
    <row r="4" spans="2:9" x14ac:dyDescent="0.25">
      <c r="B4" s="732" t="s">
        <v>920</v>
      </c>
      <c r="C4" s="690"/>
    </row>
    <row r="5" spans="2:9" x14ac:dyDescent="0.25">
      <c r="B5" s="732" t="s">
        <v>394</v>
      </c>
      <c r="C5" s="690"/>
    </row>
    <row r="6" spans="2:9" x14ac:dyDescent="0.25">
      <c r="B6" s="732" t="s">
        <v>1069</v>
      </c>
      <c r="C6" s="690"/>
    </row>
    <row r="7" spans="2:9" x14ac:dyDescent="0.25">
      <c r="B7" s="732" t="s">
        <v>402</v>
      </c>
      <c r="C7" s="690"/>
    </row>
    <row r="8" spans="2:9" x14ac:dyDescent="0.25">
      <c r="B8" s="732" t="s">
        <v>535</v>
      </c>
      <c r="C8" s="690"/>
    </row>
    <row r="9" spans="2:9" x14ac:dyDescent="0.25">
      <c r="B9" s="732" t="s">
        <v>1070</v>
      </c>
      <c r="C9" s="690"/>
    </row>
    <row r="10" spans="2:9" ht="13.8" thickBot="1" x14ac:dyDescent="0.3">
      <c r="B10" s="733" t="s">
        <v>1071</v>
      </c>
      <c r="C10" s="734"/>
    </row>
    <row r="11" spans="2:9" ht="13.8" thickTop="1" x14ac:dyDescent="0.25"/>
    <row r="12" spans="2:9" ht="24.6" x14ac:dyDescent="0.4">
      <c r="B12" s="431" t="s">
        <v>391</v>
      </c>
      <c r="C12" s="135"/>
      <c r="D12" s="135"/>
      <c r="E12" s="53"/>
      <c r="F12" s="53"/>
      <c r="G12" s="40"/>
      <c r="H12" s="41"/>
      <c r="I12" s="134"/>
    </row>
    <row r="13" spans="2:9" x14ac:dyDescent="0.25">
      <c r="D13" s="135"/>
      <c r="E13" s="136"/>
      <c r="F13" s="53"/>
      <c r="G13" s="40"/>
      <c r="H13" s="41"/>
      <c r="I13" s="134"/>
    </row>
    <row r="14" spans="2:9" ht="21.6" thickBot="1" x14ac:dyDescent="0.55000000000000004">
      <c r="B14" s="316" t="s">
        <v>392</v>
      </c>
      <c r="D14" s="135"/>
      <c r="E14" s="53"/>
      <c r="F14" s="53"/>
      <c r="G14" s="40"/>
      <c r="H14" s="41"/>
      <c r="I14" s="134"/>
    </row>
    <row r="15" spans="2:9" ht="15.6" thickBot="1" x14ac:dyDescent="0.3">
      <c r="B15" s="1028" t="s">
        <v>1096</v>
      </c>
      <c r="C15" s="1029">
        <f ca="1">total_cap/(ProcEqpCap+CCSEqpCap)</f>
        <v>1.3519850413905858</v>
      </c>
      <c r="D15" s="135"/>
      <c r="E15" s="53"/>
      <c r="F15" s="53"/>
      <c r="G15" s="40"/>
      <c r="H15" s="41"/>
      <c r="I15" s="134"/>
    </row>
    <row r="16" spans="2:9" ht="13.8" thickBot="1" x14ac:dyDescent="0.3">
      <c r="B16" s="53"/>
      <c r="C16" s="53"/>
      <c r="D16" s="53"/>
      <c r="E16" s="53"/>
      <c r="F16" s="53"/>
      <c r="G16" s="40"/>
      <c r="H16" s="41"/>
      <c r="I16" s="134"/>
    </row>
    <row r="17" spans="2:9" ht="16.8" thickTop="1" thickBot="1" x14ac:dyDescent="0.35">
      <c r="B17" s="49" t="s">
        <v>79</v>
      </c>
      <c r="C17" s="149"/>
      <c r="D17" s="150"/>
      <c r="E17" s="53"/>
      <c r="F17" s="1680" t="str">
        <f>IF(CO2_inUse = "Carbon Sequestration","Approximate Carbon Sequestration Costs*","Carbon Sequestration is not included in this case")</f>
        <v>Approximate Carbon Sequestration Costs*</v>
      </c>
      <c r="G17" s="1681"/>
      <c r="H17" s="1682"/>
      <c r="I17" s="134"/>
    </row>
    <row r="18" spans="2:9" ht="55.8" thickTop="1" x14ac:dyDescent="0.25">
      <c r="B18" s="152" t="s">
        <v>80</v>
      </c>
      <c r="C18" s="56" t="s">
        <v>81</v>
      </c>
      <c r="D18" s="430" t="s">
        <v>82</v>
      </c>
      <c r="E18" s="53"/>
      <c r="F18" s="1265" t="s">
        <v>80</v>
      </c>
      <c r="G18" s="1266" t="s">
        <v>2</v>
      </c>
      <c r="H18" s="1267" t="s">
        <v>3</v>
      </c>
      <c r="I18" s="134"/>
    </row>
    <row r="19" spans="2:9" ht="13.8" x14ac:dyDescent="0.25">
      <c r="B19" s="628" t="s">
        <v>83</v>
      </c>
      <c r="C19" s="833">
        <f ca="1">'Cash Flow Analysis'!D119</f>
        <v>0.85711550621872257</v>
      </c>
      <c r="D19" s="153">
        <f ca="1">'Cash Flow Analysis'!C119</f>
        <v>0.40887599818559905</v>
      </c>
      <c r="E19" s="53"/>
      <c r="F19" s="1268" t="s">
        <v>83</v>
      </c>
      <c r="G19" s="1269">
        <f ca="1">IF(CO2_inUse = "Carbon Sequestration",ROUND((Det_CO2_seq+CO2_aprx_indCap)*CO2_cap_charge_rate/output_kgyear,2),"")</f>
        <v>0.02</v>
      </c>
      <c r="H19" s="1270">
        <f ca="1">IF(CO2_inUse = "Carbon Sequestration",CO2_capptonneCO2,"")</f>
        <v>10</v>
      </c>
      <c r="I19" s="134"/>
    </row>
    <row r="20" spans="2:9" ht="13.8" x14ac:dyDescent="0.25">
      <c r="B20" s="628" t="s">
        <v>84</v>
      </c>
      <c r="C20" s="234">
        <f ca="1">'Cash Flow Analysis'!D120</f>
        <v>7.8293879683621666E-3</v>
      </c>
      <c r="D20" s="154">
        <f ca="1">'Cash Flow Analysis'!C120</f>
        <v>3.7349094696339461E-3</v>
      </c>
      <c r="E20" s="53"/>
      <c r="F20" s="1268" t="s">
        <v>4</v>
      </c>
      <c r="G20" s="1269">
        <f ca="1">IF(CO2_inUse = "Carbon Sequestration",ROUND(Det_CO2_OandMcost/output_kgyear,2),"")</f>
        <v>0.12</v>
      </c>
      <c r="H20" s="1270">
        <f ca="1">IF(CO2_inUse = "Carbon Sequestration",CO2_OandMptonneCO2,"")</f>
        <v>6.3</v>
      </c>
      <c r="I20" s="134"/>
    </row>
    <row r="21" spans="2:9" ht="13.8" x14ac:dyDescent="0.25">
      <c r="B21" s="628" t="s">
        <v>85</v>
      </c>
      <c r="C21" s="234">
        <f ca="1">'Cash Flow Analysis'!D121</f>
        <v>0.45559227155166582</v>
      </c>
      <c r="D21" s="154">
        <f ca="1">'Cash Flow Analysis'!C121</f>
        <v>0.21733447061077424</v>
      </c>
      <c r="E21" s="53"/>
      <c r="F21" s="1268" t="s">
        <v>5</v>
      </c>
      <c r="G21" s="1269">
        <f ca="1">IF(CO2_inUse = "Carbon Sequestration",ROUND(CO2_eCostpY/output_kgyear,2),"")</f>
        <v>0</v>
      </c>
      <c r="H21" s="1270">
        <f ca="1">IF(CO2_inUse = "Carbon Sequestration",CO2_energyptonneCO2,"")</f>
        <v>0</v>
      </c>
      <c r="I21" s="134"/>
    </row>
    <row r="22" spans="2:9" ht="14.4" thickBot="1" x14ac:dyDescent="0.3">
      <c r="B22" s="628" t="s">
        <v>1005</v>
      </c>
      <c r="C22" s="234">
        <f ca="1">'Cash Flow Analysis'!D122</f>
        <v>0.4809225430311509</v>
      </c>
      <c r="D22" s="154">
        <f ca="1">'Cash Flow Analysis'!C122</f>
        <v>0.22941795289565051</v>
      </c>
      <c r="E22" s="53"/>
      <c r="F22" s="1271" t="s">
        <v>58</v>
      </c>
      <c r="G22" s="1272">
        <f ca="1">SUM(G19:G21)</f>
        <v>0.13999999999999999</v>
      </c>
      <c r="H22" s="1273">
        <f ca="1">SUM(H19:H21)</f>
        <v>16.3</v>
      </c>
      <c r="I22" s="134"/>
    </row>
    <row r="23" spans="2:9" ht="27" customHeight="1" thickTop="1" x14ac:dyDescent="0.25">
      <c r="B23" s="628" t="s">
        <v>86</v>
      </c>
      <c r="C23" s="234">
        <f ca="1">'Cash Flow Analysis'!D123</f>
        <v>8.0066254969842505E-3</v>
      </c>
      <c r="D23" s="154">
        <f ca="1">'Cash Flow Analysis'!C123</f>
        <v>3.8194583675427072E-3</v>
      </c>
      <c r="E23" s="53"/>
      <c r="F23" s="1683" t="s">
        <v>6</v>
      </c>
      <c r="G23" s="1683"/>
      <c r="H23" s="1683"/>
      <c r="I23" s="134"/>
    </row>
    <row r="24" spans="2:9" x14ac:dyDescent="0.25">
      <c r="B24" s="628" t="s">
        <v>87</v>
      </c>
      <c r="C24" s="234">
        <f ca="1">'Cash Flow Analysis'!D124</f>
        <v>0</v>
      </c>
      <c r="D24" s="154">
        <f ca="1">'Cash Flow Analysis'!C124</f>
        <v>0</v>
      </c>
      <c r="E24" s="53"/>
      <c r="F24" s="53"/>
      <c r="I24" s="134"/>
    </row>
    <row r="25" spans="2:9" ht="26.4" x14ac:dyDescent="0.25">
      <c r="B25" s="629" t="s">
        <v>88</v>
      </c>
      <c r="C25" s="234">
        <f ca="1">'Cash Flow Analysis'!D125</f>
        <v>0.28680615426802786</v>
      </c>
      <c r="D25" s="154">
        <f ca="1">'Cash Flow Analysis'!C125</f>
        <v>0.13681721047079948</v>
      </c>
      <c r="E25" s="53"/>
      <c r="F25" s="53"/>
      <c r="I25" s="134"/>
    </row>
    <row r="26" spans="2:9" ht="13.8" thickBot="1" x14ac:dyDescent="0.3">
      <c r="B26" s="630" t="s">
        <v>58</v>
      </c>
      <c r="C26" s="834">
        <f ca="1">SUM(C19:C25)</f>
        <v>2.0962724885349133</v>
      </c>
      <c r="D26" s="569"/>
      <c r="E26" s="53"/>
      <c r="F26" s="53"/>
      <c r="I26" s="134"/>
    </row>
    <row r="27" spans="2:9" ht="13.8" thickTop="1" x14ac:dyDescent="0.25">
      <c r="B27" s="53"/>
      <c r="C27" s="53"/>
      <c r="D27" s="143"/>
      <c r="E27" s="53"/>
      <c r="F27" s="53"/>
      <c r="I27" s="134"/>
    </row>
    <row r="28" spans="2:9" ht="21" x14ac:dyDescent="0.5">
      <c r="B28" s="316" t="s">
        <v>393</v>
      </c>
      <c r="C28" s="53"/>
      <c r="D28" s="41"/>
      <c r="E28" s="53"/>
      <c r="F28" s="53"/>
      <c r="G28" s="53"/>
      <c r="H28" s="53"/>
      <c r="I28" s="134"/>
    </row>
    <row r="29" spans="2:9" ht="13.8" thickBot="1" x14ac:dyDescent="0.3">
      <c r="I29" s="134"/>
    </row>
    <row r="30" spans="2:9" ht="16.8" thickTop="1" thickBot="1" x14ac:dyDescent="0.35">
      <c r="B30" s="1684" t="s">
        <v>920</v>
      </c>
      <c r="C30" s="1685"/>
      <c r="D30" s="612"/>
      <c r="E30" s="612"/>
      <c r="F30" s="612"/>
      <c r="G30" s="613"/>
      <c r="H30" s="613"/>
      <c r="I30" s="617"/>
    </row>
    <row r="31" spans="2:9" ht="42" thickBot="1" x14ac:dyDescent="0.3">
      <c r="B31" s="618" t="s">
        <v>248</v>
      </c>
      <c r="C31" s="619" t="s">
        <v>924</v>
      </c>
      <c r="D31" s="619" t="s">
        <v>919</v>
      </c>
      <c r="E31" s="620" t="s">
        <v>708</v>
      </c>
      <c r="F31" s="620" t="s">
        <v>264</v>
      </c>
      <c r="G31" s="620" t="s">
        <v>918</v>
      </c>
      <c r="H31" s="620" t="s">
        <v>935</v>
      </c>
      <c r="I31" s="621" t="s">
        <v>1194</v>
      </c>
    </row>
    <row r="32" spans="2:9" x14ac:dyDescent="0.25">
      <c r="B32" s="707" t="str">
        <f>IF('Cash Flow Analysis'!$B$131=0,"",'Cash Flow Analysis'!$B$131)</f>
        <v>Electric Utility Steam Coal</v>
      </c>
      <c r="C32" s="708">
        <f ca="1">IF($B$32="","",$E$32*$F$32*$H$32)</f>
        <v>0.22046482848084617</v>
      </c>
      <c r="D32" s="708">
        <f ca="1">IF($B32="","",$C32*1000*MJ_to_kWh)</f>
        <v>61.240230133568382</v>
      </c>
      <c r="E32" s="709">
        <f ca="1">IF($B$32&lt;&gt;"",VLOOKUP($B$32,MASTER_PROPERTY_TABLE,MATCH("H2A LHV (GJ/ H2A usage input unit)",key_MPTable,0),FALSE),"")</f>
        <v>2.2735034516249999E-2</v>
      </c>
      <c r="F32" s="709">
        <f>IF('Cash Flow Analysis'!$B$133="","",'Cash Flow Analysis'!$B$133)</f>
        <v>9.6971406981268338</v>
      </c>
      <c r="G32" s="710" t="str">
        <f ca="1">IF($B$32&lt;&gt;"",VLOOKUP($B$32,MASTER_PROPERTY_TABLE,MATCH("H2A Usage Input Unit/ kg H2",key_MPTable,0),FALSE),"")</f>
        <v>kg</v>
      </c>
      <c r="H32" s="710">
        <f ca="1">IF($B32="","",IF(VLOOKUP($B32,MASTER_PROPERTY_TABLE,MATCH("Unit System",key_MPTable,0),FALSE)="English",mmBTU_to_GJ,1))</f>
        <v>1</v>
      </c>
      <c r="I32" s="1213">
        <f ca="1">+'Cash Flow Analysis'!$B$233</f>
        <v>5.2475186406653537E-2</v>
      </c>
    </row>
    <row r="33" spans="2:9" x14ac:dyDescent="0.25">
      <c r="B33" s="661" t="str">
        <f>IF('Cash Flow Analysis'!$C$131=0,"",'Cash Flow Analysis'!$C$131)</f>
        <v/>
      </c>
      <c r="C33" s="711" t="str">
        <f>IF($B$33="","",$E$33*$F$33*$H$33)</f>
        <v/>
      </c>
      <c r="D33" s="711" t="str">
        <f>IF($B33="","",$C33*1000*MJ_to_kWh)</f>
        <v/>
      </c>
      <c r="E33" s="665" t="str">
        <f>IF($B$33&lt;&gt;"",VLOOKUP($B$33,MASTER_PROPERTY_TABLE,MATCH("H2A LHV (GJ/ H2A usage input unit)",key_MPTable,0),FALSE),"")</f>
        <v/>
      </c>
      <c r="F33" s="665" t="str">
        <f>IF('Cash Flow Analysis'!$C$133="","",'Cash Flow Analysis'!$C$133)</f>
        <v/>
      </c>
      <c r="G33" s="712" t="str">
        <f>IF($B$33&lt;&gt;"",VLOOKUP($B$33,MASTER_PROPERTY_TABLE,MATCH("H2A Usage Input Unit/ kg H2",key_MPTable,0),FALSE),"")</f>
        <v/>
      </c>
      <c r="H33" s="712" t="str">
        <f>IF($B$33="","",IF(VLOOKUP($B$33,MASTER_PROPERTY_TABLE,MATCH("Unit System",key_MPTable,0),FALSE)="English",mmBTU_to_GJ,1))</f>
        <v/>
      </c>
      <c r="I33" s="1214" t="str">
        <f>+'Cash Flow Analysis'!$C$233</f>
        <v/>
      </c>
    </row>
    <row r="34" spans="2:9" x14ac:dyDescent="0.25">
      <c r="B34" s="661" t="str">
        <f>IF('Cash Flow Analysis'!$D$131=0,"",'Cash Flow Analysis'!$D$131)</f>
        <v/>
      </c>
      <c r="C34" s="711" t="str">
        <f>IF($B$34="","",$E$34*$F$34*$H$34)</f>
        <v/>
      </c>
      <c r="D34" s="711" t="str">
        <f>IF($B34="","",$C34*1000*MJ_to_kWh)</f>
        <v/>
      </c>
      <c r="E34" s="665" t="str">
        <f>IF($B$34&lt;&gt;"",VLOOKUP($B$34,MASTER_PROPERTY_TABLE,MATCH("H2A LHV (GJ/ H2A usage input unit)",key_MPTable,0),FALSE),"")</f>
        <v/>
      </c>
      <c r="F34" s="665" t="str">
        <f>IF('Cash Flow Analysis'!$D$133="","",'Cash Flow Analysis'!$D$133)</f>
        <v/>
      </c>
      <c r="G34" s="712" t="str">
        <f>IF($B$34&lt;&gt;"",VLOOKUP($B$34,MASTER_PROPERTY_TABLE,MATCH("H2A Usage Input Unit/ kg H2",key_MPTable,0),FALSE),"")</f>
        <v/>
      </c>
      <c r="H34" s="712" t="str">
        <f>IF($B$34="","",IF(VLOOKUP($B$34,MASTER_PROPERTY_TABLE,MATCH("Unit System",key_MPTable,0),FALSE)="English",mmBTU_to_GJ,1))</f>
        <v/>
      </c>
      <c r="I34" s="1214" t="str">
        <f>+'Cash Flow Analysis'!$D$233</f>
        <v/>
      </c>
    </row>
    <row r="35" spans="2:9" ht="13.8" thickBot="1" x14ac:dyDescent="0.3">
      <c r="B35" s="714" t="str">
        <f>IF('Cash Flow Analysis'!$E$131=0,"",'Cash Flow Analysis'!$E$131)</f>
        <v/>
      </c>
      <c r="C35" s="715" t="str">
        <f>IF($B$35="","",$E$35*$F$35*$H$35)</f>
        <v/>
      </c>
      <c r="D35" s="715" t="str">
        <f>IF($B35="","",$C35*1000*MJ_to_kWh)</f>
        <v/>
      </c>
      <c r="E35" s="716" t="str">
        <f>IF($B$35&lt;&gt;"",VLOOKUP($B$35,MASTER_PROPERTY_TABLE,MATCH("H2A LHV (GJ/ H2A usage input unit)",key_MPTable,0),FALSE),"")</f>
        <v/>
      </c>
      <c r="F35" s="716" t="str">
        <f>IF('Cash Flow Analysis'!$E$133="","",'Cash Flow Analysis'!$E$133)</f>
        <v/>
      </c>
      <c r="G35" s="717" t="str">
        <f>IF($B$35&lt;&gt;"",VLOOKUP($B$35,MASTER_PROPERTY_TABLE,MATCH("H2A Usage Input Unit/ kg H2",key_MPTable,0),FALSE),"")</f>
        <v/>
      </c>
      <c r="H35" s="717" t="str">
        <f>IF($B$35="","",IF(VLOOKUP($B$35,MASTER_PROPERTY_TABLE,MATCH("Unit System",key_MPTable,0),FALSE)="English",mmBTU_to_GJ,1))</f>
        <v/>
      </c>
      <c r="I35" s="1215" t="str">
        <f>+'Cash Flow Analysis'!$E$233</f>
        <v/>
      </c>
    </row>
    <row r="36" spans="2:9" ht="13.8" x14ac:dyDescent="0.25">
      <c r="B36" s="718" t="s">
        <v>271</v>
      </c>
      <c r="C36" s="719"/>
      <c r="D36" s="719"/>
      <c r="E36" s="625"/>
      <c r="F36" s="625"/>
      <c r="G36" s="626"/>
      <c r="H36" s="626"/>
      <c r="I36" s="1216"/>
    </row>
    <row r="37" spans="2:9" x14ac:dyDescent="0.25">
      <c r="B37" s="661" t="str">
        <f>IF('Cash Flow Analysis'!$F$131=0,"",'Cash Flow Analysis'!$F$131)</f>
        <v>Industrial Electricity</v>
      </c>
      <c r="C37" s="711">
        <f ca="1">IF($B$37="","",$E$37*$F$37*$H$37)</f>
        <v>4.9039512970646395E-3</v>
      </c>
      <c r="D37" s="711">
        <f ca="1">IF($B37="","",$C37*1000*MJ_to_kWh)</f>
        <v>1.3622086936290667</v>
      </c>
      <c r="E37" s="665">
        <f ca="1">IF($B37&lt;&gt;"",VLOOKUP($B37,MASTER_PROPERTY_TABLE,MATCH("H2A LHV (GJ/ H2A usage input unit)",key_MPTable,0),FALSE),"")</f>
        <v>3.5999999999999995E-3</v>
      </c>
      <c r="F37" s="665">
        <f>IF('Cash Flow Analysis'!$F$133="","",'Cash Flow Analysis'!$F$133)</f>
        <v>1.3622086936290667</v>
      </c>
      <c r="G37" s="712" t="str">
        <f ca="1">IF($B$37&lt;&gt;"",VLOOKUP($B$37,MASTER_PROPERTY_TABLE,MATCH("H2A Usage Input Unit/ kg H2",key_MPTable,0),FALSE),"")</f>
        <v>kWh</v>
      </c>
      <c r="H37" s="712">
        <f ca="1">IF($B$37="","",IF(VLOOKUP($B$37,MASTER_PROPERTY_TABLE,MATCH("Unit System",key_MPTable,0),FALSE)="English",mmBTU_to_GJ,1))</f>
        <v>1</v>
      </c>
      <c r="I37" s="1214">
        <f ca="1">+'Cash Flow Analysis'!$F$233</f>
        <v>7.8352102677591809E-2</v>
      </c>
    </row>
    <row r="38" spans="2:9" x14ac:dyDescent="0.25">
      <c r="B38" s="661" t="str">
        <f>IF('Cash Flow Analysis'!$G$131=0,"",'Cash Flow Analysis'!$G$131)</f>
        <v/>
      </c>
      <c r="C38" s="711" t="str">
        <f>IF($B$38="","",$E$38*$F$38*$H$38)</f>
        <v/>
      </c>
      <c r="D38" s="711" t="str">
        <f>IF($B38="","",$C38*1000*MJ_to_kWh)</f>
        <v/>
      </c>
      <c r="E38" s="665" t="str">
        <f>IF($B38&lt;&gt;"",VLOOKUP($B38,MASTER_PROPERTY_TABLE,MATCH("H2A LHV (GJ/ H2A usage input unit)",key_MPTable,0),FALSE),"")</f>
        <v/>
      </c>
      <c r="F38" s="665" t="str">
        <f>IF('Cash Flow Analysis'!$G$133="","",'Cash Flow Analysis'!$G$133)</f>
        <v/>
      </c>
      <c r="G38" s="712" t="str">
        <f>IF($B$38&lt;&gt;"",VLOOKUP($B$38,MASTER_PROPERTY_TABLE,MATCH("H2A Usage Input Unit/ kg H2",key_MPTable,0),FALSE),"")</f>
        <v/>
      </c>
      <c r="H38" s="712" t="str">
        <f>IF($B$38="","",IF(VLOOKUP($B$38,MASTER_PROPERTY_TABLE,MATCH("Unit System",key_MPTable,0),FALSE)="English",mmBTU_to_GJ,1))</f>
        <v/>
      </c>
      <c r="I38" s="1214" t="str">
        <f>+'Cash Flow Analysis'!$G$233</f>
        <v/>
      </c>
    </row>
    <row r="39" spans="2:9" x14ac:dyDescent="0.25">
      <c r="B39" s="661" t="str">
        <f>IF('Cash Flow Analysis'!$H$131=0,"",'Cash Flow Analysis'!$H$131)</f>
        <v/>
      </c>
      <c r="C39" s="711" t="str">
        <f>IF($B$39="","",$E$39*$F$39*$H$39)</f>
        <v/>
      </c>
      <c r="D39" s="711" t="str">
        <f>IF($B39="","",$C39*1000*MJ_to_kWh)</f>
        <v/>
      </c>
      <c r="E39" s="665" t="str">
        <f>IF($B39&lt;&gt;"",VLOOKUP($B39,MASTER_PROPERTY_TABLE,MATCH("H2A LHV (GJ/ H2A usage input unit)",key_MPTable,0),FALSE),"")</f>
        <v/>
      </c>
      <c r="F39" s="665" t="str">
        <f>IF('Cash Flow Analysis'!$H$133="","",'Cash Flow Analysis'!$H$133)</f>
        <v/>
      </c>
      <c r="G39" s="712" t="str">
        <f>IF($B$39&lt;&gt;"",VLOOKUP($B$39,MASTER_PROPERTY_TABLE,MATCH("H2A Usage Input Unit/ kg H2",key_MPTable,0),FALSE),"")</f>
        <v/>
      </c>
      <c r="H39" s="712" t="str">
        <f>IF($B$39="","",IF(VLOOKUP($B$39,MASTER_PROPERTY_TABLE,MATCH("Unit System",key_MPTable,0),FALSE)="English",mmBTU_to_GJ,1))</f>
        <v/>
      </c>
      <c r="I39" s="1214" t="str">
        <f>+'Cash Flow Analysis'!$H$233</f>
        <v/>
      </c>
    </row>
    <row r="40" spans="2:9" ht="13.8" thickBot="1" x14ac:dyDescent="0.3">
      <c r="B40" s="714" t="str">
        <f>IF('Cash Flow Analysis'!$I$131=0,"",'Cash Flow Analysis'!$I$131)</f>
        <v/>
      </c>
      <c r="C40" s="715" t="str">
        <f>IF($B$40="","",$E$40*$F$40*$H$40)</f>
        <v/>
      </c>
      <c r="D40" s="715" t="str">
        <f>IF($B40="","",$C40*1000*MJ_to_kWh)</f>
        <v/>
      </c>
      <c r="E40" s="716" t="str">
        <f>IF($B40&lt;&gt;"",VLOOKUP($B40,MASTER_PROPERTY_TABLE,MATCH("H2A LHV (GJ/ H2A usage input unit)",key_MPTable,0),FALSE),"")</f>
        <v/>
      </c>
      <c r="F40" s="716" t="str">
        <f>IF('Cash Flow Analysis'!$I$133="","",'Cash Flow Analysis'!$I$133)</f>
        <v/>
      </c>
      <c r="G40" s="717" t="str">
        <f>IF($B$40&lt;&gt;"",VLOOKUP($B$40,MASTER_PROPERTY_TABLE,MATCH("H2A Usage Input Unit/ kg H2",key_MPTable,0),FALSE),"")</f>
        <v/>
      </c>
      <c r="H40" s="717" t="str">
        <f>IF($B$40="","",IF(VLOOKUP($B$40,MASTER_PROPERTY_TABLE,MATCH("Unit System",key_MPTable,0),FALSE)="English",mmBTU_to_GJ,1))</f>
        <v/>
      </c>
      <c r="I40" s="1215" t="str">
        <f>+'Cash Flow Analysis'!$I$233</f>
        <v/>
      </c>
    </row>
    <row r="41" spans="2:9" ht="13.8" x14ac:dyDescent="0.25">
      <c r="B41" s="718" t="s">
        <v>400</v>
      </c>
      <c r="C41" s="719"/>
      <c r="D41" s="719"/>
      <c r="E41" s="625"/>
      <c r="F41" s="625"/>
      <c r="G41" s="626"/>
      <c r="H41" s="626"/>
      <c r="I41" s="627"/>
    </row>
    <row r="42" spans="2:9" ht="13.8" thickBot="1" x14ac:dyDescent="0.3">
      <c r="B42" s="614" t="str">
        <f ca="1">IF('Cash Flow Analysis'!$J$131=0,"",'Cash Flow Analysis'!$J$131)</f>
        <v>Industrial Electricity</v>
      </c>
      <c r="C42" s="683">
        <f ca="1">IF($B$42="","",$E$42*$F$42*$H$42)</f>
        <v>4.2292584156420216E-4</v>
      </c>
      <c r="D42" s="683">
        <f ca="1">IF($B42="","",$C42*1000*MJ_to_kWh)</f>
        <v>0.1174794004345006</v>
      </c>
      <c r="E42" s="624">
        <f ca="1">IF($B42&lt;&gt;"",VLOOKUP($B42,MASTER_PROPERTY_TABLE,MATCH("H2A LHV (GJ/ H2A usage input unit)",key_MPTable,0),FALSE),"")</f>
        <v>3.5999999999999995E-3</v>
      </c>
      <c r="F42" s="624">
        <f ca="1">CO2_CashFlow_eUse</f>
        <v>0.11747940043450061</v>
      </c>
      <c r="G42" s="622" t="str">
        <f ca="1">IF($B$42&lt;&gt;"",VLOOKUP($B$42,MASTER_PROPERTY_TABLE,MATCH("H2A Usage Input Unit/ kg H2",key_MPTable,0),FALSE),"")</f>
        <v>kWh</v>
      </c>
      <c r="H42" s="622">
        <f ca="1">IF($B42="","",IF(VLOOKUP($B42,MASTER_PROPERTY_TABLE,MATCH("Unit System",key_MPTable,0),FALSE)="English",mmBTU_to_GJ,1))</f>
        <v>1</v>
      </c>
      <c r="I42" s="623"/>
    </row>
    <row r="43" spans="2:9" ht="42.6" thickTop="1" thickBot="1" x14ac:dyDescent="0.3">
      <c r="B43" s="702"/>
      <c r="C43" s="703" t="s">
        <v>925</v>
      </c>
      <c r="D43" s="704" t="s">
        <v>1002</v>
      </c>
      <c r="E43" s="705" t="s">
        <v>708</v>
      </c>
      <c r="F43" s="703" t="s">
        <v>917</v>
      </c>
      <c r="G43" s="705" t="s">
        <v>918</v>
      </c>
      <c r="H43" s="705" t="s">
        <v>935</v>
      </c>
      <c r="I43" s="706"/>
    </row>
    <row r="44" spans="2:9" x14ac:dyDescent="0.25">
      <c r="B44" s="615" t="s">
        <v>926</v>
      </c>
      <c r="C44" s="683">
        <f>kgH2_to_GJ</f>
        <v>0.12021163829516093</v>
      </c>
      <c r="D44" s="683">
        <f>IF($B44="","",$C44*1000*MJ_to_kWh)</f>
        <v>33.392121748655818</v>
      </c>
      <c r="E44" s="624">
        <f>kgH2_to_GJ</f>
        <v>0.12021163829516093</v>
      </c>
      <c r="F44" s="624">
        <v>1</v>
      </c>
      <c r="G44" s="622" t="s">
        <v>268</v>
      </c>
      <c r="H44" s="622">
        <v>1</v>
      </c>
      <c r="I44" s="623"/>
    </row>
    <row r="45" spans="2:9" ht="13.8" thickBot="1" x14ac:dyDescent="0.3">
      <c r="B45" s="615"/>
      <c r="C45" s="684"/>
      <c r="D45" s="684"/>
      <c r="E45" s="624"/>
      <c r="F45" s="624"/>
      <c r="G45" s="622"/>
      <c r="H45" s="622"/>
      <c r="I45" s="623"/>
    </row>
    <row r="46" spans="2:9" ht="13.8" x14ac:dyDescent="0.25">
      <c r="B46" s="718" t="s">
        <v>921</v>
      </c>
      <c r="C46" s="719"/>
      <c r="D46" s="719"/>
      <c r="E46" s="625"/>
      <c r="F46" s="625"/>
      <c r="G46" s="626"/>
      <c r="H46" s="626"/>
      <c r="I46" s="627"/>
    </row>
    <row r="47" spans="2:9" x14ac:dyDescent="0.25">
      <c r="B47" s="661" t="str">
        <f>IF('Cash Flow Analysis'!$K$131=0,"",'Cash Flow Analysis'!$K$131)</f>
        <v/>
      </c>
      <c r="C47" s="711" t="str">
        <f>IF($B$47="","",$E$47*$F$47*$H$47)</f>
        <v/>
      </c>
      <c r="D47" s="711" t="str">
        <f>IF($B47="","",$C47*1000*MJ_to_kWh)</f>
        <v/>
      </c>
      <c r="E47" s="665" t="str">
        <f>IF($B47&lt;&gt;"",VLOOKUP($B47,MASTER_PROPERTY_TABLE,MATCH("H2A LHV (GJ/ H2A usage input unit)",key_MPTable,0),FALSE),"")</f>
        <v/>
      </c>
      <c r="F47" s="665" t="str">
        <f>IF('Cash Flow Analysis'!$K$133="","",'Cash Flow Analysis'!$K$133)</f>
        <v/>
      </c>
      <c r="G47" s="712" t="str">
        <f>IF($B$47&lt;&gt;"",VLOOKUP($B$47,MASTER_PROPERTY_TABLE,MATCH("H2A Usage Input Unit/ kg H2",key_MPTable,0),FALSE),"")</f>
        <v/>
      </c>
      <c r="H47" s="712" t="str">
        <f>IF($B$47="","",IF(VLOOKUP($B$47,MASTER_PROPERTY_TABLE,MATCH("Unit System",key_MPTable,0),FALSE)="English",mmBTU_to_GJ,1))</f>
        <v/>
      </c>
      <c r="I47" s="713" t="str">
        <f>+'Cash Flow Analysis'!$K$233</f>
        <v/>
      </c>
    </row>
    <row r="48" spans="2:9" x14ac:dyDescent="0.25">
      <c r="B48" s="661" t="str">
        <f>IF('Cash Flow Analysis'!$L$131=0,"",'Cash Flow Analysis'!$L$131)</f>
        <v/>
      </c>
      <c r="C48" s="711" t="str">
        <f>IF($B$48="","",$E$48*$F$48*$H$48)</f>
        <v/>
      </c>
      <c r="D48" s="711" t="str">
        <f>IF($B48="","",$C48*1000*MJ_to_kWh)</f>
        <v/>
      </c>
      <c r="E48" s="665" t="str">
        <f>IF($B48&lt;&gt;"",VLOOKUP($B48,MASTER_PROPERTY_TABLE,MATCH("H2A LHV (GJ/ H2A usage input unit)",key_MPTable,0),FALSE),"")</f>
        <v/>
      </c>
      <c r="F48" s="665" t="str">
        <f>IF('Cash Flow Analysis'!$L$133="","",'Cash Flow Analysis'!$L$133)</f>
        <v/>
      </c>
      <c r="G48" s="712" t="str">
        <f>IF($B$48&lt;&gt;"",VLOOKUP($B$48,MASTER_PROPERTY_TABLE,MATCH("H2A Usage Input Unit/ kg H2",key_MPTable,0),FALSE),"")</f>
        <v/>
      </c>
      <c r="H48" s="712" t="str">
        <f>IF($B$48="","",IF(VLOOKUP($B$48,MASTER_PROPERTY_TABLE,MATCH("Unit System",key_MPTable,0),FALSE)="English",mmBTU_to_GJ,1))</f>
        <v/>
      </c>
      <c r="I48" s="713" t="str">
        <f>+'Cash Flow Analysis'!$L$233</f>
        <v/>
      </c>
    </row>
    <row r="49" spans="2:9" x14ac:dyDescent="0.25">
      <c r="B49" s="661" t="str">
        <f>IF('Cash Flow Analysis'!$M$131=0,"",'Cash Flow Analysis'!$M$131)</f>
        <v/>
      </c>
      <c r="C49" s="711" t="str">
        <f>IF($B$49="","",$E$49*$F$49*$H$49)</f>
        <v/>
      </c>
      <c r="D49" s="711" t="str">
        <f>IF($B49="","",$C49*1000*MJ_to_kWh)</f>
        <v/>
      </c>
      <c r="E49" s="665" t="str">
        <f>IF($B49&lt;&gt;"",VLOOKUP($B49,MASTER_PROPERTY_TABLE,MATCH("H2A LHV (GJ/ H2A usage input unit)",key_MPTable,0),FALSE),"")</f>
        <v/>
      </c>
      <c r="F49" s="665" t="str">
        <f>IF('Cash Flow Analysis'!$M$133="","",'Cash Flow Analysis'!$M$133)</f>
        <v/>
      </c>
      <c r="G49" s="712" t="str">
        <f>IF($B$49&lt;&gt;"",VLOOKUP($B$49,MASTER_PROPERTY_TABLE,MATCH("H2A Usage Input Unit/ kg H2",key_MPTable,0),FALSE),"")</f>
        <v/>
      </c>
      <c r="H49" s="712" t="str">
        <f>IF($B$49="","",IF(VLOOKUP($B$49,MASTER_PROPERTY_TABLE,MATCH("Unit System",key_MPTable,0),FALSE)="English",mmBTU_to_GJ,1))</f>
        <v/>
      </c>
      <c r="I49" s="713" t="str">
        <f>+'Cash Flow Analysis'!$M$233</f>
        <v/>
      </c>
    </row>
    <row r="50" spans="2:9" ht="13.8" thickBot="1" x14ac:dyDescent="0.3">
      <c r="B50" s="662" t="str">
        <f>IF('Cash Flow Analysis'!$N$131=0,"",'Cash Flow Analysis'!$N$131)</f>
        <v/>
      </c>
      <c r="C50" s="720" t="str">
        <f>IF($B$50="","",$E$50*$F$50*$H$50)</f>
        <v/>
      </c>
      <c r="D50" s="720" t="str">
        <f>IF($B50="","",$C50*1000*MJ_to_kWh)</f>
        <v/>
      </c>
      <c r="E50" s="676" t="str">
        <f>IF($B50&lt;&gt;"",VLOOKUP($B50,MASTER_PROPERTY_TABLE,MATCH("H2A LHV (GJ/ H2A usage input unit)",key_MPTable,0),FALSE),"")</f>
        <v/>
      </c>
      <c r="F50" s="676" t="str">
        <f>IF('Cash Flow Analysis'!$N$133="","",'Cash Flow Analysis'!$N$133)</f>
        <v/>
      </c>
      <c r="G50" s="721" t="str">
        <f>IF($B$50&lt;&gt;"",VLOOKUP($B$50,MASTER_PROPERTY_TABLE,MATCH("H2A Usage Input Unit/ kg H2",key_MPTable,0),FALSE),"")</f>
        <v/>
      </c>
      <c r="H50" s="721" t="str">
        <f>IF($B$50="","",IF(VLOOKUP($B$50,MASTER_PROPERTY_TABLE,MATCH("Unit System",key_MPTable,0),FALSE)="English",mmBTU_to_GJ,1))</f>
        <v/>
      </c>
      <c r="I50" s="722" t="str">
        <f>+'Cash Flow Analysis'!$N$233</f>
        <v/>
      </c>
    </row>
    <row r="51" spans="2:9" ht="14.4" thickTop="1" thickBot="1" x14ac:dyDescent="0.3"/>
    <row r="52" spans="2:9" ht="16.2" thickBot="1" x14ac:dyDescent="0.35">
      <c r="B52" s="1686" t="s">
        <v>394</v>
      </c>
      <c r="C52" s="1687"/>
      <c r="D52" s="312">
        <f ca="1">(C56+C57)/(C53+C54+C55)</f>
        <v>0.53240059445652388</v>
      </c>
      <c r="F52" s="28"/>
    </row>
    <row r="53" spans="2:9" ht="26.4" x14ac:dyDescent="0.25">
      <c r="B53" s="570" t="s">
        <v>597</v>
      </c>
      <c r="C53" s="571">
        <f ca="1">SUM(C32:C35)</f>
        <v>0.22046482848084617</v>
      </c>
      <c r="D53" s="572"/>
    </row>
    <row r="54" spans="2:9" x14ac:dyDescent="0.25">
      <c r="B54" s="573" t="s">
        <v>598</v>
      </c>
      <c r="C54" s="574">
        <f ca="1">SUM(C37:C40)</f>
        <v>4.9039512970646395E-3</v>
      </c>
      <c r="D54" s="575"/>
    </row>
    <row r="55" spans="2:9" ht="26.4" x14ac:dyDescent="0.25">
      <c r="B55" s="573" t="s">
        <v>395</v>
      </c>
      <c r="C55" s="574">
        <f ca="1">IF(C42="",0,C42)</f>
        <v>4.2292584156420216E-4</v>
      </c>
      <c r="D55" s="575"/>
    </row>
    <row r="56" spans="2:9" x14ac:dyDescent="0.25">
      <c r="B56" s="573" t="s">
        <v>599</v>
      </c>
      <c r="C56" s="574">
        <f>C44</f>
        <v>0.12021163829516093</v>
      </c>
      <c r="D56" s="575"/>
    </row>
    <row r="57" spans="2:9" ht="27" thickBot="1" x14ac:dyDescent="0.3">
      <c r="B57" s="576" t="s">
        <v>600</v>
      </c>
      <c r="C57" s="577">
        <f>SUM(C47:C50)</f>
        <v>0</v>
      </c>
      <c r="D57" s="578"/>
    </row>
    <row r="58" spans="2:9" ht="13.8" thickBot="1" x14ac:dyDescent="0.3"/>
    <row r="59" spans="2:9" ht="16.8" thickTop="1" thickBot="1" x14ac:dyDescent="0.35">
      <c r="B59" s="1684" t="s">
        <v>396</v>
      </c>
      <c r="C59" s="1685"/>
      <c r="D59" s="612"/>
      <c r="E59" s="631"/>
    </row>
    <row r="60" spans="2:9" x14ac:dyDescent="0.25">
      <c r="B60" s="615" t="s">
        <v>248</v>
      </c>
      <c r="C60" s="579" t="s">
        <v>397</v>
      </c>
      <c r="D60" s="579" t="s">
        <v>398</v>
      </c>
      <c r="E60" s="632" t="s">
        <v>399</v>
      </c>
    </row>
    <row r="61" spans="2:9" x14ac:dyDescent="0.25">
      <c r="B61" s="614" t="str">
        <f>B32</f>
        <v>Electric Utility Steam Coal</v>
      </c>
      <c r="C61" s="679">
        <f ca="1">IF($B61="","",$C32/1000000*VLOOKUP($B61,Tbl_Emissions,3,FALSE))</f>
        <v>0.2253150547074248</v>
      </c>
      <c r="D61" s="679">
        <f ca="1">IF($B61="","",$C32/1000000*VLOOKUP($B61,Tbl_Emissions,4,FALSE))</f>
        <v>0.22509458987894393</v>
      </c>
      <c r="E61" s="680">
        <f ca="1">IF($B61="","",$C32/1000000*VLOOKUP($B61,Tbl_Emissions,5,FALSE))</f>
        <v>3.4238187863075411E-3</v>
      </c>
    </row>
    <row r="62" spans="2:9" x14ac:dyDescent="0.25">
      <c r="B62" s="614" t="str">
        <f>B33</f>
        <v/>
      </c>
      <c r="C62" s="679" t="str">
        <f>IF($B62="","",$C33/1000000*VLOOKUP($B62,Tbl_Emissions,3,FALSE))</f>
        <v/>
      </c>
      <c r="D62" s="679" t="str">
        <f>IF($B62="","",$C33/1000000*VLOOKUP($B62,Tbl_Emissions,4,FALSE))</f>
        <v/>
      </c>
      <c r="E62" s="680" t="str">
        <f>IF($B62="","",$C33/1000000*VLOOKUP($B62,Tbl_Emissions,5,FALSE))</f>
        <v/>
      </c>
    </row>
    <row r="63" spans="2:9" x14ac:dyDescent="0.25">
      <c r="B63" s="614" t="str">
        <f>B34</f>
        <v/>
      </c>
      <c r="C63" s="679" t="str">
        <f>IF($B63="","",$C34/1000000*VLOOKUP($B63,Tbl_Emissions,3,FALSE))</f>
        <v/>
      </c>
      <c r="D63" s="679" t="str">
        <f>IF($B63="","",$C34/1000000*VLOOKUP($B63,Tbl_Emissions,4,FALSE))</f>
        <v/>
      </c>
      <c r="E63" s="680" t="str">
        <f>IF($B63="","",$C34/1000000*VLOOKUP($B63,Tbl_Emissions,5,FALSE))</f>
        <v/>
      </c>
    </row>
    <row r="64" spans="2:9" x14ac:dyDescent="0.25">
      <c r="B64" s="614" t="str">
        <f>B35</f>
        <v/>
      </c>
      <c r="C64" s="679" t="str">
        <f>IF($B64="","",$C35/1000000*VLOOKUP($B64,Tbl_Emissions,3,FALSE))</f>
        <v/>
      </c>
      <c r="D64" s="679" t="str">
        <f>IF($B64="","",$C35/1000000*VLOOKUP($B64,Tbl_Emissions,4,FALSE))</f>
        <v/>
      </c>
      <c r="E64" s="680" t="str">
        <f>IF($B64="","",$C35/1000000*VLOOKUP($B64,Tbl_Emissions,5,FALSE))</f>
        <v/>
      </c>
    </row>
    <row r="65" spans="2:7" x14ac:dyDescent="0.25">
      <c r="B65" s="615" t="s">
        <v>271</v>
      </c>
      <c r="C65" s="723"/>
      <c r="D65" s="723"/>
      <c r="E65" s="724"/>
    </row>
    <row r="66" spans="2:7" x14ac:dyDescent="0.25">
      <c r="B66" s="614" t="str">
        <f>B37</f>
        <v>Industrial Electricity</v>
      </c>
      <c r="C66" s="679">
        <f ca="1">IF($B66="","",$C37/1000000*VLOOKUP($B66,Tbl_Emissions,3,FALSE))</f>
        <v>8.8558354780277296E-3</v>
      </c>
      <c r="D66" s="679">
        <f ca="1">IF($B66="","",$C37/1000000*VLOOKUP($B66,Tbl_Emissions,4,FALSE))</f>
        <v>6.827000769984987E-3</v>
      </c>
      <c r="E66" s="680">
        <f ca="1">IF($B66="","",$C37/1000000*VLOOKUP($B66,Tbl_Emissions,5,FALSE))</f>
        <v>1.1205528713792701E-4</v>
      </c>
    </row>
    <row r="67" spans="2:7" x14ac:dyDescent="0.25">
      <c r="B67" s="614" t="str">
        <f>B38</f>
        <v/>
      </c>
      <c r="C67" s="679" t="str">
        <f>IF($B67="","",$C38/1000000*VLOOKUP($B67,Tbl_Emissions,3,FALSE))</f>
        <v/>
      </c>
      <c r="D67" s="679" t="str">
        <f>IF($B67="","",$C38/1000000*VLOOKUP($B67,Tbl_Emissions,4,FALSE))</f>
        <v/>
      </c>
      <c r="E67" s="680" t="str">
        <f>IF($B67="","",$C38/1000000*VLOOKUP($B67,Tbl_Emissions,5,FALSE))</f>
        <v/>
      </c>
    </row>
    <row r="68" spans="2:7" x14ac:dyDescent="0.25">
      <c r="B68" s="614" t="str">
        <f>B39</f>
        <v/>
      </c>
      <c r="C68" s="679" t="str">
        <f>IF($B68="","",$C39/1000000*VLOOKUP($B68,Tbl_Emissions,3,FALSE))</f>
        <v/>
      </c>
      <c r="D68" s="679" t="str">
        <f>IF($B68="","",$C39/1000000*VLOOKUP($B68,Tbl_Emissions,4,FALSE))</f>
        <v/>
      </c>
      <c r="E68" s="680" t="str">
        <f>IF($B68="","",$C39/1000000*VLOOKUP($B68,Tbl_Emissions,5,FALSE))</f>
        <v/>
      </c>
    </row>
    <row r="69" spans="2:7" x14ac:dyDescent="0.25">
      <c r="B69" s="614" t="str">
        <f>B40</f>
        <v/>
      </c>
      <c r="C69" s="679" t="str">
        <f>IF($B69="","",$C40/1000000*VLOOKUP($B69,Tbl_Emissions,3,FALSE))</f>
        <v/>
      </c>
      <c r="D69" s="679" t="str">
        <f>IF($B69="","",$C40/1000000*VLOOKUP($B69,Tbl_Emissions,4,FALSE))</f>
        <v/>
      </c>
      <c r="E69" s="680" t="str">
        <f>IF($B69="","",$C40/1000000*VLOOKUP($B69,Tbl_Emissions,5,FALSE))</f>
        <v/>
      </c>
    </row>
    <row r="70" spans="2:7" x14ac:dyDescent="0.25">
      <c r="B70" s="725" t="s">
        <v>400</v>
      </c>
      <c r="C70" s="723"/>
      <c r="D70" s="723"/>
      <c r="E70" s="724"/>
    </row>
    <row r="71" spans="2:7" ht="13.8" thickBot="1" x14ac:dyDescent="0.3">
      <c r="B71" s="616" t="str">
        <f ca="1">B42</f>
        <v>Industrial Electricity</v>
      </c>
      <c r="C71" s="681">
        <f ca="1">IF($B71="","",$C42/1000000*VLOOKUP($B71,Tbl_Emissions,3,FALSE))</f>
        <v>7.6374365188758276E-4</v>
      </c>
      <c r="D71" s="681">
        <f ca="1">IF($B71="","",$C42/1000000*VLOOKUP($B71,Tbl_Emissions,4,FALSE))</f>
        <v>5.887731894347357E-4</v>
      </c>
      <c r="E71" s="682">
        <f ca="1">IF($B71="","",$C42/1000000*VLOOKUP($B71,Tbl_Emissions,5,FALSE))</f>
        <v>9.6638554797420185E-6</v>
      </c>
    </row>
    <row r="72" spans="2:7" ht="13.8" thickTop="1" x14ac:dyDescent="0.25"/>
    <row r="74" spans="2:7" ht="21" x14ac:dyDescent="0.5">
      <c r="B74" s="316" t="s">
        <v>401</v>
      </c>
    </row>
    <row r="75" spans="2:7" ht="13.8" thickBot="1" x14ac:dyDescent="0.3"/>
    <row r="76" spans="2:7" ht="16.8" thickTop="1" thickBot="1" x14ac:dyDescent="0.35">
      <c r="B76" s="685" t="s">
        <v>402</v>
      </c>
      <c r="C76" s="686"/>
      <c r="D76" s="687" t="s">
        <v>403</v>
      </c>
      <c r="E76" s="688" t="s">
        <v>404</v>
      </c>
      <c r="F76" s="688" t="s">
        <v>405</v>
      </c>
      <c r="G76" s="689" t="s">
        <v>406</v>
      </c>
    </row>
    <row r="77" spans="2:7" x14ac:dyDescent="0.25">
      <c r="B77" s="1690" t="s">
        <v>539</v>
      </c>
      <c r="C77" s="1691"/>
      <c r="D77" s="691">
        <f ca="1">C121</f>
        <v>1.1518537064138075</v>
      </c>
      <c r="E77" s="695">
        <f ca="1">D121</f>
        <v>3.2224467336634227E-2</v>
      </c>
      <c r="F77" s="695">
        <f ca="1">E121</f>
        <v>1.870043926171058E-5</v>
      </c>
      <c r="G77" s="696">
        <f ca="1">F121</f>
        <v>1.9630381207296528</v>
      </c>
    </row>
    <row r="78" spans="2:7" x14ac:dyDescent="0.25">
      <c r="B78" s="1688" t="s">
        <v>538</v>
      </c>
      <c r="C78" s="1689"/>
      <c r="D78" s="692">
        <f ca="1">D89</f>
        <v>2.9781603788285302</v>
      </c>
      <c r="E78" s="697">
        <f ca="1">E89</f>
        <v>0</v>
      </c>
      <c r="F78" s="697">
        <f ca="1">F89</f>
        <v>0</v>
      </c>
      <c r="G78" s="698">
        <f ca="1">G89</f>
        <v>2.9781603788285302</v>
      </c>
    </row>
    <row r="79" spans="2:7" x14ac:dyDescent="0.25">
      <c r="B79" s="1688"/>
      <c r="C79" s="1689"/>
      <c r="D79" s="693"/>
      <c r="E79" s="524"/>
      <c r="F79" s="524"/>
      <c r="G79" s="699"/>
    </row>
    <row r="80" spans="2:7" ht="13.8" thickBot="1" x14ac:dyDescent="0.3">
      <c r="B80" s="1692" t="s">
        <v>540</v>
      </c>
      <c r="C80" s="1693"/>
      <c r="D80" s="694">
        <f ca="1">SUM(D77:D79)</f>
        <v>4.1300140852423377</v>
      </c>
      <c r="E80" s="700">
        <f ca="1">SUM(E77:E79)</f>
        <v>3.2224467336634227E-2</v>
      </c>
      <c r="F80" s="700">
        <f ca="1">SUM(F77:F79)</f>
        <v>1.870043926171058E-5</v>
      </c>
      <c r="G80" s="701">
        <f ca="1">SUM(G77:G79)</f>
        <v>4.9411984995581832</v>
      </c>
    </row>
    <row r="81" spans="2:7" ht="14.4" thickTop="1" thickBot="1" x14ac:dyDescent="0.3"/>
    <row r="82" spans="2:7" ht="16.8" thickTop="1" thickBot="1" x14ac:dyDescent="0.35">
      <c r="B82" s="428" t="s">
        <v>535</v>
      </c>
      <c r="C82" s="429"/>
      <c r="D82" s="649" t="s">
        <v>403</v>
      </c>
      <c r="E82" s="650" t="s">
        <v>404</v>
      </c>
      <c r="F82" s="650" t="s">
        <v>405</v>
      </c>
      <c r="G82" s="651" t="s">
        <v>406</v>
      </c>
    </row>
    <row r="83" spans="2:7" x14ac:dyDescent="0.25">
      <c r="B83" s="1690" t="s">
        <v>235</v>
      </c>
      <c r="C83" s="1691"/>
      <c r="D83" s="652">
        <f ca="1">SUM(C95:C105)</f>
        <v>22.653394628210247</v>
      </c>
      <c r="E83" s="652">
        <f ca="1">SUM(D95:D105)</f>
        <v>0</v>
      </c>
      <c r="F83" s="652">
        <f ca="1">SUM(E95:E105)</f>
        <v>0</v>
      </c>
      <c r="G83" s="653">
        <f ca="1">SUM(F95:F105)</f>
        <v>22.653394628210247</v>
      </c>
    </row>
    <row r="84" spans="2:7" x14ac:dyDescent="0.25">
      <c r="B84" s="1688" t="s">
        <v>236</v>
      </c>
      <c r="C84" s="1689"/>
      <c r="D84" s="654">
        <f ca="1">ROUND(D83*output_kgyear/1000,-2)</f>
        <v>4605900</v>
      </c>
      <c r="E84" s="654">
        <f ca="1">ROUND(E83*output_kgyear/1000,-2)</f>
        <v>0</v>
      </c>
      <c r="F84" s="654">
        <f ca="1">ROUND(F83*output_kgyear/1000,-2)</f>
        <v>0</v>
      </c>
      <c r="G84" s="655">
        <f ca="1">ROUND(G83*output_kgyear/1000,-2)</f>
        <v>4605900</v>
      </c>
    </row>
    <row r="85" spans="2:7" x14ac:dyDescent="0.25">
      <c r="B85" s="1688" t="s">
        <v>237</v>
      </c>
      <c r="C85" s="1689"/>
      <c r="D85" s="656">
        <f ca="1">SUM(C95:C98)</f>
        <v>22.653394628210247</v>
      </c>
      <c r="E85" s="656">
        <f ca="1">SUM(D95:D98)</f>
        <v>0</v>
      </c>
      <c r="F85" s="656">
        <f ca="1">SUM(E95:E98)</f>
        <v>0</v>
      </c>
      <c r="G85" s="657">
        <f ca="1">SUM(F95:F98)</f>
        <v>22.653394628210247</v>
      </c>
    </row>
    <row r="86" spans="2:7" x14ac:dyDescent="0.25">
      <c r="B86" s="1688" t="s">
        <v>238</v>
      </c>
      <c r="C86" s="1689"/>
      <c r="D86" s="654">
        <f ca="1">ROUND(D85*output_kgyear/1000,-2)</f>
        <v>4605900</v>
      </c>
      <c r="E86" s="654">
        <f ca="1">ROUND(E85*output_kgyear/1000,-2)</f>
        <v>0</v>
      </c>
      <c r="F86" s="654">
        <f ca="1">ROUND(F85*output_kgyear/1000,-2)</f>
        <v>0</v>
      </c>
      <c r="G86" s="655">
        <f ca="1">ROUND(G85*output_kgyear/1000,-2)</f>
        <v>4605900</v>
      </c>
    </row>
    <row r="87" spans="2:7" x14ac:dyDescent="0.25">
      <c r="B87" s="769" t="s">
        <v>240</v>
      </c>
      <c r="C87" s="770"/>
      <c r="D87" s="819">
        <f ca="1">IF(CO2_CashFlow_eUse&gt;0,D85*CO2_Capture_Efficiency,0)</f>
        <v>19.675234249381717</v>
      </c>
      <c r="E87" s="654"/>
      <c r="F87" s="654"/>
      <c r="G87" s="820"/>
    </row>
    <row r="88" spans="2:7" x14ac:dyDescent="0.25">
      <c r="B88" s="1688" t="s">
        <v>241</v>
      </c>
      <c r="C88" s="1689"/>
      <c r="D88" s="654">
        <f ca="1">ROUND(D87*output_kgyear/1000,-2)</f>
        <v>4000400</v>
      </c>
      <c r="E88" s="654"/>
      <c r="F88" s="654"/>
      <c r="G88" s="655"/>
    </row>
    <row r="89" spans="2:7" x14ac:dyDescent="0.25">
      <c r="B89" s="1688" t="s">
        <v>239</v>
      </c>
      <c r="C89" s="1689"/>
      <c r="D89" s="819">
        <f ca="1">D83-D87</f>
        <v>2.9781603788285302</v>
      </c>
      <c r="E89" s="654">
        <f ca="1">E83-E87</f>
        <v>0</v>
      </c>
      <c r="F89" s="654">
        <f ca="1">F83-F87</f>
        <v>0</v>
      </c>
      <c r="G89" s="820">
        <f ca="1">D89*GHG_CO2_factor + E89*GHG_CH4_factor + F89*GHG_N2O_factor</f>
        <v>2.9781603788285302</v>
      </c>
    </row>
    <row r="90" spans="2:7" ht="13.8" thickBot="1" x14ac:dyDescent="0.3">
      <c r="B90" s="1692" t="s">
        <v>1060</v>
      </c>
      <c r="C90" s="1693"/>
      <c r="D90" s="658">
        <f ca="1">ROUND(D89*output_kgyear/1000,-2)</f>
        <v>605500</v>
      </c>
      <c r="E90" s="658">
        <f ca="1">ROUND(E89*output_kgyear/1000,-2)</f>
        <v>0</v>
      </c>
      <c r="F90" s="658">
        <f ca="1">ROUND(F89*output_kgyear/1000,-2)</f>
        <v>0</v>
      </c>
      <c r="G90" s="659">
        <f ca="1">ROUND(G89*output_kgyear/1000,-2)</f>
        <v>605500</v>
      </c>
    </row>
    <row r="91" spans="2:7" ht="13.8" thickTop="1" x14ac:dyDescent="0.25">
      <c r="B91" t="s">
        <v>242</v>
      </c>
    </row>
    <row r="92" spans="2:7" ht="13.8" thickBot="1" x14ac:dyDescent="0.3"/>
    <row r="93" spans="2:7" ht="16.8" thickTop="1" thickBot="1" x14ac:dyDescent="0.35">
      <c r="B93" s="1684" t="s">
        <v>536</v>
      </c>
      <c r="C93" s="1685"/>
      <c r="D93" s="612"/>
      <c r="E93" s="612"/>
      <c r="F93" s="631"/>
    </row>
    <row r="94" spans="2:7" x14ac:dyDescent="0.25">
      <c r="B94" s="660" t="s">
        <v>248</v>
      </c>
      <c r="C94" s="663" t="s">
        <v>403</v>
      </c>
      <c r="D94" s="663" t="s">
        <v>404</v>
      </c>
      <c r="E94" s="663" t="s">
        <v>405</v>
      </c>
      <c r="F94" s="664" t="s">
        <v>406</v>
      </c>
    </row>
    <row r="95" spans="2:7" x14ac:dyDescent="0.25">
      <c r="B95" s="661" t="str">
        <f>B32</f>
        <v>Electric Utility Steam Coal</v>
      </c>
      <c r="C95" s="665">
        <f ca="1">IF($B95="","",VLOOKUP($B95,MASTER_PROPERTY_TABLE,MATCH("CO2 Emissions Factor (kg CO2 produced/GJ feed)",key_MPTable,0),FALSE)*$E32*$F32)</f>
        <v>22.653394628210247</v>
      </c>
      <c r="D95" s="670">
        <f ca="1">IF($B95="","",VLOOKUP($B95,MASTER_PROPERTY_TABLE,MATCH("CH4 Emissions Factor (kg CH4 produced/GJ or mmBtu feed)",key_MPTable,0),FALSE)*$E32*$F32)</f>
        <v>0</v>
      </c>
      <c r="E95" s="670">
        <f ca="1">IF($B95="","",VLOOKUP($B95,MASTER_PROPERTY_TABLE,MATCH("N2O Emissions Factor (kg N2O produced/GJ or mmBtu feed)",key_MPTable,0),FALSE)*$E32*$F32)</f>
        <v>0</v>
      </c>
      <c r="F95" s="673">
        <f ca="1">IF($B95="","",$C95*GHG_CO2_factor+$D95*GHG_CH4_factor+$E95*GHG_N2O_factor)</f>
        <v>22.653394628210247</v>
      </c>
    </row>
    <row r="96" spans="2:7" x14ac:dyDescent="0.25">
      <c r="B96" s="661" t="str">
        <f>B33</f>
        <v/>
      </c>
      <c r="C96" s="665" t="str">
        <f>IF($B96="","",VLOOKUP($B96,MASTER_PROPERTY_TABLE,MATCH("CO2 Emissions Factor (kg CO2 produced/GJ feed)",key_MPTable,0),FALSE)*$E33*$F33)</f>
        <v/>
      </c>
      <c r="D96" s="670" t="str">
        <f>IF($B96="","",VLOOKUP($B96,MASTER_PROPERTY_TABLE,MATCH("CH4 Emissions Factor (kg CH4 produced/GJ or mmBtu feed)",key_MPTable,0),FALSE)*$E33*$F33)</f>
        <v/>
      </c>
      <c r="E96" s="670" t="str">
        <f>IF($B96="","",VLOOKUP($B96,MASTER_PROPERTY_TABLE,MATCH("N2O Emissions Factor (kg N2O produced/GJ or mmBtu feed)",key_MPTable,0),FALSE)*$E33*$F33)</f>
        <v/>
      </c>
      <c r="F96" s="673" t="str">
        <f>IF($B96="","",$C96*GHG_CO2_factor+$D96*GHG_CH4_factor+$E96*GHG_N2O_factor)</f>
        <v/>
      </c>
    </row>
    <row r="97" spans="2:6" x14ac:dyDescent="0.25">
      <c r="B97" s="661" t="str">
        <f>B34</f>
        <v/>
      </c>
      <c r="C97" s="665" t="str">
        <f>IF($B97="","",VLOOKUP($B97,MASTER_PROPERTY_TABLE,MATCH("CO2 Emissions Factor (kg CO2 produced/GJ feed)",key_MPTable,0),FALSE)*$E34*$F34)</f>
        <v/>
      </c>
      <c r="D97" s="670" t="str">
        <f>IF($B97="","",VLOOKUP($B97,MASTER_PROPERTY_TABLE,MATCH("CH4 Emissions Factor (kg CH4 produced/GJ or mmBtu feed)",key_MPTable,0),FALSE)*$E34*$F34)</f>
        <v/>
      </c>
      <c r="E97" s="670" t="str">
        <f>IF($B97="","",VLOOKUP($B97,MASTER_PROPERTY_TABLE,MATCH("N2O Emissions Factor (kg N2O produced/GJ or mmBtu feed)",key_MPTable,0),FALSE)*$E34*$F34)</f>
        <v/>
      </c>
      <c r="F97" s="673" t="str">
        <f>IF($B97="","",$C97*GHG_CO2_factor+$D97*GHG_CH4_factor+$E97*GHG_N2O_factor)</f>
        <v/>
      </c>
    </row>
    <row r="98" spans="2:6" x14ac:dyDescent="0.25">
      <c r="B98" s="661" t="str">
        <f>B35</f>
        <v/>
      </c>
      <c r="C98" s="665" t="str">
        <f>IF($B98="","",VLOOKUP($B98,MASTER_PROPERTY_TABLE,MATCH("CO2 Emissions Factor (kg CO2 produced/GJ feed)",key_MPTable,0),FALSE)*$E35*$F35)</f>
        <v/>
      </c>
      <c r="D98" s="670" t="str">
        <f>IF($B98="","",VLOOKUP($B98,MASTER_PROPERTY_TABLE,MATCH("CH4 Emissions Factor (kg CH4 produced/GJ or mmBtu feed)",key_MPTable,0),FALSE)*$E35*$F35)</f>
        <v/>
      </c>
      <c r="E98" s="670" t="str">
        <f>IF($B98="","",VLOOKUP($B98,MASTER_PROPERTY_TABLE,MATCH("N2O Emissions Factor (kg N2O produced/GJ or mmBtu feed)",key_MPTable,0),FALSE)*$E35*$F35)</f>
        <v/>
      </c>
      <c r="F98" s="673" t="str">
        <f>IF($B98="","",$C98*GHG_CO2_factor+$D98*GHG_CH4_factor+$E98*GHG_N2O_factor)</f>
        <v/>
      </c>
    </row>
    <row r="99" spans="2:6" x14ac:dyDescent="0.25">
      <c r="B99" s="726" t="s">
        <v>271</v>
      </c>
      <c r="C99" s="727"/>
      <c r="D99" s="728"/>
      <c r="E99" s="728"/>
      <c r="F99" s="729"/>
    </row>
    <row r="100" spans="2:6" x14ac:dyDescent="0.25">
      <c r="B100" s="661" t="str">
        <f>B37</f>
        <v>Industrial Electricity</v>
      </c>
      <c r="C100" s="665">
        <f ca="1">IF($B100="","",VLOOKUP($B100,MASTER_PROPERTY_TABLE,MATCH("CO2 Emissions Factor (kg CO2 produced/GJ feed)",key_MPTable,0),FALSE)*$E37*$F37)</f>
        <v>0</v>
      </c>
      <c r="D100" s="670">
        <f ca="1">IF($B100="","",VLOOKUP($B100,MASTER_PROPERTY_TABLE,MATCH("CH4 Emissions Factor (kg CH4 produced/GJ or mmBtu feed)",key_MPTable,0),FALSE)*$E37*$F37)</f>
        <v>0</v>
      </c>
      <c r="E100" s="670">
        <f ca="1">IF($B100="","",VLOOKUP($B100,MASTER_PROPERTY_TABLE,MATCH("N2O Emissions Factor (kg N2O produced/GJ or mmBtu feed)",key_MPTable,0),FALSE)*$E37*$F37)</f>
        <v>0</v>
      </c>
      <c r="F100" s="673">
        <f ca="1">IF($B100="","",$C100*GHG_CO2_factor+$D100*GHG_CH4_factor+$E100*GHG_N2O_factor)</f>
        <v>0</v>
      </c>
    </row>
    <row r="101" spans="2:6" x14ac:dyDescent="0.25">
      <c r="B101" s="661" t="str">
        <f>B38</f>
        <v/>
      </c>
      <c r="C101" s="665" t="str">
        <f>IF($B101="","",VLOOKUP($B101,MASTER_PROPERTY_TABLE,MATCH("CO2 Emissions Factor (kg CO2 produced/GJ feed)",key_MPTable,0),FALSE)*$E38*$F38)</f>
        <v/>
      </c>
      <c r="D101" s="670" t="str">
        <f>IF($B101="","",VLOOKUP($B101,MASTER_PROPERTY_TABLE,MATCH("CH4 Emissions Factor (kg CH4 produced/GJ or mmBtu feed)",key_MPTable,0),FALSE)*$E38*$F38)</f>
        <v/>
      </c>
      <c r="E101" s="670" t="str">
        <f>IF($B101="","",VLOOKUP($B101,MASTER_PROPERTY_TABLE,MATCH("N2O Emissions Factor (kg N2O produced/GJ or mmBtu feed)",key_MPTable,0),FALSE)*$E38*$F38)</f>
        <v/>
      </c>
      <c r="F101" s="673" t="str">
        <f>IF($B101="","",$C101*GHG_CO2_factor+$D101*GHG_CH4_factor+$E101*GHG_N2O_factor)</f>
        <v/>
      </c>
    </row>
    <row r="102" spans="2:6" x14ac:dyDescent="0.25">
      <c r="B102" s="661" t="str">
        <f>B39</f>
        <v/>
      </c>
      <c r="C102" s="665" t="str">
        <f>IF($B102="","",VLOOKUP($B102,MASTER_PROPERTY_TABLE,MATCH("CO2 Emissions Factor (kg CO2 produced/GJ feed)",key_MPTable,0),FALSE)*$E39*$F39)</f>
        <v/>
      </c>
      <c r="D102" s="670" t="str">
        <f>IF($B102="","",VLOOKUP($B102,MASTER_PROPERTY_TABLE,MATCH("CH4 Emissions Factor (kg CH4 produced/GJ or mmBtu feed)",key_MPTable,0),FALSE)*$E39*$F39)</f>
        <v/>
      </c>
      <c r="E102" s="670" t="str">
        <f>IF($B102="","",VLOOKUP($B102,MASTER_PROPERTY_TABLE,MATCH("N2O Emissions Factor (kg N2O produced/GJ or mmBtu feed)",key_MPTable,0),FALSE)*$E39*$F39)</f>
        <v/>
      </c>
      <c r="F102" s="673" t="str">
        <f>IF($B102="","",$C102*GHG_CO2_factor+$D102*GHG_CH4_factor+$E102*GHG_N2O_factor)</f>
        <v/>
      </c>
    </row>
    <row r="103" spans="2:6" x14ac:dyDescent="0.25">
      <c r="B103" s="661" t="str">
        <f>B40</f>
        <v/>
      </c>
      <c r="C103" s="665" t="str">
        <f>IF($B103="","",VLOOKUP($B103,MASTER_PROPERTY_TABLE,MATCH("CO2 Emissions Factor (kg CO2 produced/GJ feed)",key_MPTable,0),FALSE)*$E40*$F40)</f>
        <v/>
      </c>
      <c r="D103" s="670" t="str">
        <f>IF($B103="","",VLOOKUP($B103,MASTER_PROPERTY_TABLE,MATCH("CH4 Emissions Factor (kg CH4 produced/GJ or mmBtu feed)",key_MPTable,0),FALSE)*$E40*$F40)</f>
        <v/>
      </c>
      <c r="E103" s="670" t="str">
        <f>IF($B103="","",VLOOKUP($B103,MASTER_PROPERTY_TABLE,MATCH("N2O Emissions Factor (kg N2O produced/GJ or mmBtu feed)",key_MPTable,0),FALSE)*$E40*$F40)</f>
        <v/>
      </c>
      <c r="F103" s="673" t="str">
        <f>IF($B103="","",$C103*GHG_CO2_factor+$D103*GHG_CH4_factor+$E103*GHG_N2O_factor)</f>
        <v/>
      </c>
    </row>
    <row r="104" spans="2:6" x14ac:dyDescent="0.25">
      <c r="B104" s="726" t="s">
        <v>400</v>
      </c>
      <c r="C104" s="727"/>
      <c r="D104" s="728"/>
      <c r="E104" s="728"/>
      <c r="F104" s="729"/>
    </row>
    <row r="105" spans="2:6" ht="13.8" thickBot="1" x14ac:dyDescent="0.3">
      <c r="B105" s="662" t="str">
        <f ca="1">B42</f>
        <v>Industrial Electricity</v>
      </c>
      <c r="C105" s="676">
        <f ca="1">IF($B105="","",VLOOKUP($B105,MASTER_PROPERTY_TABLE,MATCH("CO2 Emissions Factor (kg CO2 produced/GJ feed)",key_MPTable,0),FALSE)*$E42*$F42)</f>
        <v>0</v>
      </c>
      <c r="D105" s="677">
        <f ca="1">IF($B105="","",VLOOKUP($B105,MASTER_PROPERTY_TABLE,MATCH("CH4 Emissions Factor (kg CH4 produced/GJ or mmBtu feed)",key_MPTable,0),FALSE)*$E42*$F42)</f>
        <v>0</v>
      </c>
      <c r="E105" s="677">
        <f ca="1">IF($B105="","",VLOOKUP($B105,MASTER_PROPERTY_TABLE,MATCH("N2O Emissions Factor (kg N2O produced/GJ or mmBtu feed)",key_MPTable,0),FALSE)*$E42*$F42)</f>
        <v>0</v>
      </c>
      <c r="F105" s="678">
        <f ca="1">IF($B105="","",$C105*GHG_CO2_factor+$D105*GHG_CH4_factor+$E105*GHG_N2O_factor)</f>
        <v>0</v>
      </c>
    </row>
    <row r="106" spans="2:6" ht="13.8" thickTop="1" x14ac:dyDescent="0.25"/>
    <row r="107" spans="2:6" ht="13.8" thickBot="1" x14ac:dyDescent="0.3"/>
    <row r="108" spans="2:6" ht="16.8" thickTop="1" thickBot="1" x14ac:dyDescent="0.35">
      <c r="B108" s="1684" t="s">
        <v>1361</v>
      </c>
      <c r="C108" s="1685"/>
      <c r="D108" s="612"/>
      <c r="E108" s="612"/>
      <c r="F108" s="631"/>
    </row>
    <row r="109" spans="2:6" x14ac:dyDescent="0.25">
      <c r="B109" s="660" t="s">
        <v>248</v>
      </c>
      <c r="C109" s="663" t="s">
        <v>403</v>
      </c>
      <c r="D109" s="663" t="s">
        <v>404</v>
      </c>
      <c r="E109" s="663" t="s">
        <v>405</v>
      </c>
      <c r="F109" s="664" t="s">
        <v>406</v>
      </c>
    </row>
    <row r="110" spans="2:6" x14ac:dyDescent="0.25">
      <c r="B110" s="661" t="str">
        <f>B32</f>
        <v>Electric Utility Steam Coal</v>
      </c>
      <c r="C110" s="665">
        <f ca="1">IF($B110="","",$C32*VLOOKUP($B110,Tbl_Emissions,6,FALSE))</f>
        <v>0.38255371987751396</v>
      </c>
      <c r="D110" s="670">
        <f ca="1">IF($B110="","",$C32*VLOOKUP($B110,Tbl_Emissions,7,FALSE))</f>
        <v>3.1080283044589794E-2</v>
      </c>
      <c r="E110" s="670">
        <f ca="1">IF($B110="","",$C32*VLOOKUP($B110,Tbl_Emissions,8,FALSE))</f>
        <v>7.3747374825372867E-6</v>
      </c>
      <c r="F110" s="673">
        <f ca="1">IF($B110="","",$C110*GHG_CO2_factor+$D110*GHG_CH4_factor+$E110*GHG_N2O_factor)</f>
        <v>1.1617584677620547</v>
      </c>
    </row>
    <row r="111" spans="2:6" x14ac:dyDescent="0.25">
      <c r="B111" s="661" t="str">
        <f>B33</f>
        <v/>
      </c>
      <c r="C111" s="665" t="str">
        <f>IF($B111="","",$C33*VLOOKUP($B111,Tbl_Emissions,6,FALSE))</f>
        <v/>
      </c>
      <c r="D111" s="670" t="str">
        <f>IF($B111="","",$C33*VLOOKUP($B111,Tbl_Emissions,7,FALSE))</f>
        <v/>
      </c>
      <c r="E111" s="670" t="str">
        <f>IF($B111="","",$C33*VLOOKUP($B111,Tbl_Emissions,8,FALSE))</f>
        <v/>
      </c>
      <c r="F111" s="673" t="str">
        <f>IF($B111="","",$C111*GHG_CO2_factor+$D111*GHG_CH4_factor+$E111*GHG_N2O_factor)</f>
        <v/>
      </c>
    </row>
    <row r="112" spans="2:6" x14ac:dyDescent="0.25">
      <c r="B112" s="661" t="str">
        <f>B34</f>
        <v/>
      </c>
      <c r="C112" s="665" t="str">
        <f>IF($B112="","",$C34*VLOOKUP($B112,Tbl_Emissions,6,FALSE))</f>
        <v/>
      </c>
      <c r="D112" s="670" t="str">
        <f>IF($B112="","",$C34*VLOOKUP($B112,Tbl_Emissions,7,FALSE))</f>
        <v/>
      </c>
      <c r="E112" s="670" t="str">
        <f>IF($B112="","",$C34*VLOOKUP($B112,Tbl_Emissions,8,FALSE))</f>
        <v/>
      </c>
      <c r="F112" s="673" t="str">
        <f>IF($B112="","",$C112*GHG_CO2_factor+$D112*GHG_CH4_factor+$E112*GHG_N2O_factor)</f>
        <v/>
      </c>
    </row>
    <row r="113" spans="2:6" x14ac:dyDescent="0.25">
      <c r="B113" s="661" t="str">
        <f>B35</f>
        <v/>
      </c>
      <c r="C113" s="665" t="str">
        <f>IF($B113="","",$C35*VLOOKUP($B113,Tbl_Emissions,6,FALSE))</f>
        <v/>
      </c>
      <c r="D113" s="670" t="str">
        <f>IF($B113="","",$C35*VLOOKUP($B113,Tbl_Emissions,7,FALSE))</f>
        <v/>
      </c>
      <c r="E113" s="670" t="str">
        <f>IF($B113="","",$C35*VLOOKUP($B113,Tbl_Emissions,8,FALSE))</f>
        <v/>
      </c>
      <c r="F113" s="673" t="str">
        <f>IF($B113="","",$C113*GHG_CO2_factor+$D113*GHG_CH4_factor+$E113*GHG_N2O_factor)</f>
        <v/>
      </c>
    </row>
    <row r="114" spans="2:6" x14ac:dyDescent="0.25">
      <c r="B114" s="726" t="s">
        <v>271</v>
      </c>
      <c r="C114" s="727"/>
      <c r="D114" s="728"/>
      <c r="E114" s="728"/>
      <c r="F114" s="729"/>
    </row>
    <row r="115" spans="2:6" x14ac:dyDescent="0.25">
      <c r="B115" s="661" t="str">
        <f>B37</f>
        <v>Industrial Electricity</v>
      </c>
      <c r="C115" s="665">
        <f ca="1">IF($B115="","",$C37*VLOOKUP($B115,Tbl_Emissions,6,FALSE))</f>
        <v>0.70822164067736515</v>
      </c>
      <c r="D115" s="670">
        <f ca="1">IF($B115="","",$C37*VLOOKUP($B115,Tbl_Emissions,7,FALSE))</f>
        <v>1.0533421171595861E-3</v>
      </c>
      <c r="E115" s="670">
        <f ca="1">IF($B115="","",$C37*VLOOKUP($B115,Tbl_Emissions,8,FALSE))</f>
        <v>1.0426501022030433E-5</v>
      </c>
      <c r="F115" s="673">
        <f ca="1">IF($B115="","",$C115*GHG_CO2_factor+$D115*GHG_CH4_factor+$E115*GHG_N2O_factor)</f>
        <v>0.73766229091091984</v>
      </c>
    </row>
    <row r="116" spans="2:6" x14ac:dyDescent="0.25">
      <c r="B116" s="661" t="str">
        <f>B38</f>
        <v/>
      </c>
      <c r="C116" s="665" t="str">
        <f>IF($B116="","",$C38*VLOOKUP($B116,Tbl_Emissions,6,FALSE))</f>
        <v/>
      </c>
      <c r="D116" s="670" t="str">
        <f>IF($B116="","",$C38*VLOOKUP($B116,Tbl_Emissions,7,FALSE))</f>
        <v/>
      </c>
      <c r="E116" s="670" t="str">
        <f>IF($B116="","",$C38*VLOOKUP($B116,Tbl_Emissions,8,FALSE))</f>
        <v/>
      </c>
      <c r="F116" s="673" t="str">
        <f>IF($B116="","",$C116*GHG_CO2_factor+$D116*GHG_CH4_factor+$E116*GHG_N2O_factor)</f>
        <v/>
      </c>
    </row>
    <row r="117" spans="2:6" x14ac:dyDescent="0.25">
      <c r="B117" s="661" t="str">
        <f>B39</f>
        <v/>
      </c>
      <c r="C117" s="665" t="str">
        <f>IF($B117="","",$C39*VLOOKUP($B117,Tbl_Emissions,6,FALSE))</f>
        <v/>
      </c>
      <c r="D117" s="670" t="str">
        <f>IF($B117="","",$C39*VLOOKUP($B117,Tbl_Emissions,7,FALSE))</f>
        <v/>
      </c>
      <c r="E117" s="670" t="str">
        <f>IF($B117="","",$C39*VLOOKUP($B117,Tbl_Emissions,8,FALSE))</f>
        <v/>
      </c>
      <c r="F117" s="673" t="str">
        <f>IF($B117="","",$C117*GHG_CO2_factor+$D117*GHG_CH4_factor+$E117*GHG_N2O_factor)</f>
        <v/>
      </c>
    </row>
    <row r="118" spans="2:6" x14ac:dyDescent="0.25">
      <c r="B118" s="661" t="str">
        <f>B40</f>
        <v/>
      </c>
      <c r="C118" s="665" t="str">
        <f>IF($B118="","",$C40*VLOOKUP($B118,Tbl_Emissions,6,FALSE))</f>
        <v/>
      </c>
      <c r="D118" s="670" t="str">
        <f>IF($B118="","",$C40*VLOOKUP($B118,Tbl_Emissions,7,FALSE))</f>
        <v/>
      </c>
      <c r="E118" s="670" t="str">
        <f>IF($B118="","",$C40*VLOOKUP($B118,Tbl_Emissions,8,FALSE))</f>
        <v/>
      </c>
      <c r="F118" s="673" t="str">
        <f>IF($B118="","",$C118*GHG_CO2_factor+$D118*GHG_CH4_factor+$E118*GHG_N2O_factor)</f>
        <v/>
      </c>
    </row>
    <row r="119" spans="2:6" x14ac:dyDescent="0.25">
      <c r="B119" s="726" t="s">
        <v>400</v>
      </c>
      <c r="C119" s="727"/>
      <c r="D119" s="728"/>
      <c r="E119" s="728"/>
      <c r="F119" s="729"/>
    </row>
    <row r="120" spans="2:6" ht="13.8" thickBot="1" x14ac:dyDescent="0.3">
      <c r="B120" s="666" t="str">
        <f ca="1">B42</f>
        <v>Industrial Electricity</v>
      </c>
      <c r="C120" s="668">
        <f ca="1">IF($B120="","",$C42*VLOOKUP($B120,Tbl_Emissions,6,FALSE))</f>
        <v>6.1078345858928414E-2</v>
      </c>
      <c r="D120" s="671">
        <f ca="1">IF($B120="","",$C42*VLOOKUP($B120,Tbl_Emissions,7,FALSE))</f>
        <v>9.0842174884850696E-5</v>
      </c>
      <c r="E120" s="671">
        <f ca="1">IF($B120="","",$C42*VLOOKUP($B120,Tbl_Emissions,8,FALSE))</f>
        <v>8.9920075714286015E-7</v>
      </c>
      <c r="F120" s="674">
        <f ca="1">IF($B120="","",$C120*GHG_CO2_factor+$D120*GHG_CH4_factor+$E120*GHG_N2O_factor)</f>
        <v>6.3617362056678256E-2</v>
      </c>
    </row>
    <row r="121" spans="2:6" ht="13.8" thickBot="1" x14ac:dyDescent="0.3">
      <c r="B121" s="667" t="s">
        <v>541</v>
      </c>
      <c r="C121" s="669">
        <f ca="1">SUM(C110:C120)</f>
        <v>1.1518537064138075</v>
      </c>
      <c r="D121" s="672">
        <f ca="1">SUM(D110:D120)</f>
        <v>3.2224467336634227E-2</v>
      </c>
      <c r="E121" s="672">
        <f ca="1">SUM(E110:E120)</f>
        <v>1.870043926171058E-5</v>
      </c>
      <c r="F121" s="675">
        <f ca="1">SUM(F110:F120)</f>
        <v>1.9630381207296528</v>
      </c>
    </row>
    <row r="122" spans="2:6" ht="13.8" thickTop="1" x14ac:dyDescent="0.25"/>
  </sheetData>
  <mergeCells count="18">
    <mergeCell ref="B108:C108"/>
    <mergeCell ref="B86:C86"/>
    <mergeCell ref="B59:C59"/>
    <mergeCell ref="B77:C77"/>
    <mergeCell ref="B78:C78"/>
    <mergeCell ref="B79:C79"/>
    <mergeCell ref="B80:C80"/>
    <mergeCell ref="B90:C90"/>
    <mergeCell ref="B88:C88"/>
    <mergeCell ref="B83:C83"/>
    <mergeCell ref="B84:C84"/>
    <mergeCell ref="B85:C85"/>
    <mergeCell ref="B89:C89"/>
    <mergeCell ref="F17:H17"/>
    <mergeCell ref="F23:H23"/>
    <mergeCell ref="B30:C30"/>
    <mergeCell ref="B52:C52"/>
    <mergeCell ref="B93:C93"/>
  </mergeCells>
  <phoneticPr fontId="4" type="noConversion"/>
  <conditionalFormatting sqref="F17:H17">
    <cfRule type="expression" dxfId="1" priority="1" stopIfTrue="1">
      <formula>"co2_inuse = ""Carbon Sequestration"""</formula>
    </cfRule>
    <cfRule type="expression" dxfId="0" priority="2" stopIfTrue="1">
      <formula>"if(co2_inuse = ""To Use Carbon Sequestration Click 'Link to Detail Sheet' in the Input Sheet Capital Cost Section"")"</formula>
    </cfRule>
  </conditionalFormatting>
  <hyperlinks>
    <hyperlink ref="B3" location="Results!B17" display="Specific Item Cost Calculation" xr:uid="{00000000-0004-0000-0800-000000000000}"/>
    <hyperlink ref="B4" location="Results!B30" display="Energy Data" xr:uid="{00000000-0004-0000-0800-000001000000}"/>
    <hyperlink ref="B5" location="Results!B52" display="Production Process Energy Efficiency" xr:uid="{00000000-0004-0000-0800-000002000000}"/>
    <hyperlink ref="B6" location="Results!B59" display="Upstream Energy Usage" xr:uid="{00000000-0004-0000-0800-000003000000}"/>
    <hyperlink ref="B7" location="Results!B76" display="Emissions Summary" xr:uid="{00000000-0004-0000-0800-000004000000}"/>
    <hyperlink ref="B8" location="Results!B82" display="Production Process GHG Emissions Summary" xr:uid="{00000000-0004-0000-0800-000005000000}"/>
    <hyperlink ref="B9" location="Results!B94" display="Production Process GHG Emissions" xr:uid="{00000000-0004-0000-0800-000006000000}"/>
    <hyperlink ref="B10" location="Results!B109" display="Upstream GHG Emissions" xr:uid="{00000000-0004-0000-0800-000007000000}"/>
  </hyperlinks>
  <printOptions horizontalCentered="1"/>
  <pageMargins left="0.75" right="0.75" top="0.75" bottom="0.75" header="0.5" footer="0.4"/>
  <pageSetup scale="80" orientation="landscape" r:id="rId1"/>
  <headerFooter alignWithMargins="0">
    <oddHeader>&amp;R&amp;D&amp;LCentral Biomass Gasification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9CCFF"/>
  </sheetPr>
  <dimension ref="A1:BU2250"/>
  <sheetViews>
    <sheetView workbookViewId="0"/>
  </sheetViews>
  <sheetFormatPr defaultRowHeight="13.2" x14ac:dyDescent="0.25"/>
  <cols>
    <col min="1" max="1" width="7.109375" customWidth="1"/>
    <col min="2" max="2" width="35.5546875" customWidth="1"/>
    <col min="3" max="3" width="15.6640625" customWidth="1"/>
    <col min="4" max="6" width="20.6640625" customWidth="1"/>
    <col min="7" max="8" width="16.33203125" customWidth="1"/>
    <col min="9" max="9" width="16" bestFit="1" customWidth="1"/>
    <col min="10" max="15" width="12.33203125" customWidth="1"/>
    <col min="16" max="16" width="17.44140625" bestFit="1" customWidth="1"/>
    <col min="17" max="22" width="12.33203125" customWidth="1"/>
    <col min="23" max="23" width="18.44140625" customWidth="1"/>
    <col min="24" max="24" width="12.33203125" customWidth="1"/>
  </cols>
  <sheetData>
    <row r="1" spans="1:73" x14ac:dyDescent="0.25">
      <c r="A1" s="1083"/>
      <c r="B1" s="1083"/>
      <c r="C1" s="1084"/>
      <c r="D1" s="1083"/>
      <c r="E1" s="1083"/>
      <c r="F1" s="1084"/>
      <c r="G1" s="1084"/>
      <c r="H1" s="1083"/>
      <c r="I1" s="1083"/>
      <c r="J1" s="1083"/>
      <c r="K1" s="1083"/>
      <c r="L1" s="1083"/>
      <c r="M1" s="1083"/>
      <c r="N1" s="1083"/>
      <c r="O1" s="1083"/>
      <c r="P1" s="1083"/>
      <c r="Q1" s="1083"/>
      <c r="R1" s="1083"/>
      <c r="S1" s="1083"/>
      <c r="T1" s="1083"/>
      <c r="U1" s="1083"/>
      <c r="V1" s="1083"/>
      <c r="W1" s="1083"/>
      <c r="X1" s="1083"/>
      <c r="Y1" s="1083"/>
      <c r="Z1" s="1083"/>
      <c r="AA1" s="1083"/>
      <c r="AB1" s="1083"/>
      <c r="AC1" s="1083"/>
      <c r="AD1" s="1083"/>
      <c r="AE1" s="1083"/>
      <c r="AF1" s="1083"/>
      <c r="AG1" s="1083"/>
      <c r="AH1" s="1083"/>
      <c r="AI1" s="1083"/>
      <c r="AJ1" s="1083"/>
      <c r="AK1" s="1083"/>
      <c r="AL1" s="1083"/>
      <c r="AM1" s="1083"/>
      <c r="AN1" s="1083"/>
      <c r="AO1" s="1083"/>
      <c r="AP1" s="1083"/>
      <c r="AQ1" s="1083"/>
      <c r="AR1" s="1083"/>
      <c r="AS1" s="1083"/>
      <c r="AT1" s="1083"/>
      <c r="AU1" s="1083"/>
      <c r="AV1" s="1083"/>
      <c r="AW1" s="1083"/>
      <c r="AX1" s="1083"/>
      <c r="AY1" s="1083"/>
      <c r="AZ1" s="1083"/>
      <c r="BA1" s="1083"/>
      <c r="BB1" s="1083"/>
      <c r="BC1" s="1083"/>
      <c r="BD1" s="1083"/>
      <c r="BE1" s="1083"/>
      <c r="BF1" s="1083"/>
      <c r="BG1" s="1083"/>
      <c r="BH1" s="1083"/>
      <c r="BI1" s="1083"/>
      <c r="BJ1" s="1083"/>
      <c r="BK1" s="1083"/>
      <c r="BL1" s="1083"/>
      <c r="BM1" s="1083"/>
      <c r="BN1" s="1083"/>
      <c r="BO1" s="1083"/>
      <c r="BP1" s="1083"/>
      <c r="BQ1" s="1083"/>
      <c r="BR1" s="1083"/>
      <c r="BS1" s="1083"/>
      <c r="BT1" s="1083"/>
      <c r="BU1" s="1083"/>
    </row>
    <row r="2" spans="1:73" ht="26.4" x14ac:dyDescent="0.25">
      <c r="A2" s="1083"/>
      <c r="B2" s="1094" t="s">
        <v>1137</v>
      </c>
      <c r="C2" s="1094" t="s">
        <v>1136</v>
      </c>
      <c r="D2" s="1094" t="s">
        <v>1203</v>
      </c>
      <c r="E2" s="1094" t="s">
        <v>1204</v>
      </c>
      <c r="F2" s="1094" t="s">
        <v>1140</v>
      </c>
      <c r="G2" s="1094" t="s">
        <v>1141</v>
      </c>
      <c r="H2" s="1094" t="s">
        <v>1142</v>
      </c>
      <c r="I2" s="1094" t="s">
        <v>1143</v>
      </c>
      <c r="J2" s="1084"/>
      <c r="K2" s="1084"/>
      <c r="L2" s="1083"/>
      <c r="M2" s="1083"/>
      <c r="N2" s="1083"/>
      <c r="O2" s="1083"/>
      <c r="P2" s="1083"/>
      <c r="Q2" s="1083"/>
      <c r="R2" s="1083"/>
      <c r="S2" s="1083"/>
      <c r="T2" s="1083"/>
      <c r="U2" s="1083"/>
      <c r="V2" s="1083"/>
      <c r="W2" s="1083"/>
      <c r="X2" s="1083"/>
      <c r="Y2" s="1083"/>
      <c r="Z2" s="1083"/>
      <c r="AA2" s="1083"/>
      <c r="AB2" s="1083"/>
      <c r="AC2" s="1083"/>
      <c r="AD2" s="1083"/>
      <c r="AE2" s="1083"/>
      <c r="AF2" s="1083"/>
      <c r="AG2" s="1083"/>
      <c r="AH2" s="1083"/>
      <c r="AI2" s="1083"/>
      <c r="AJ2" s="1083"/>
      <c r="AK2" s="1083"/>
      <c r="AL2" s="1083"/>
      <c r="AM2" s="1083"/>
      <c r="AN2" s="1083"/>
      <c r="AO2" s="1083"/>
      <c r="AP2" s="1083"/>
      <c r="AQ2" s="1083"/>
      <c r="AR2" s="1083"/>
      <c r="AS2" s="1083"/>
      <c r="AT2" s="1083"/>
      <c r="AU2" s="1083"/>
      <c r="AV2" s="1083"/>
      <c r="AW2" s="1083"/>
      <c r="AX2" s="1083"/>
      <c r="AY2" s="1083"/>
      <c r="AZ2" s="1083"/>
      <c r="BA2" s="1083"/>
      <c r="BB2" s="1083"/>
      <c r="BC2" s="1083"/>
      <c r="BD2" s="1083"/>
      <c r="BE2" s="1083"/>
      <c r="BF2" s="1083"/>
      <c r="BG2" s="1083"/>
      <c r="BH2" s="1083"/>
      <c r="BI2" s="1083"/>
      <c r="BJ2" s="1083"/>
      <c r="BK2" s="1083"/>
      <c r="BL2" s="1083"/>
      <c r="BM2" s="1083"/>
      <c r="BN2" s="1083"/>
      <c r="BO2" s="1083"/>
      <c r="BP2" s="1083"/>
      <c r="BQ2" s="1083"/>
      <c r="BR2" s="1083"/>
      <c r="BS2" s="1083"/>
      <c r="BT2" s="1083"/>
      <c r="BU2" s="1083"/>
    </row>
    <row r="3" spans="1:73" x14ac:dyDescent="0.25">
      <c r="A3" s="1083"/>
      <c r="B3" s="1086" t="s">
        <v>1177</v>
      </c>
      <c r="C3" s="1090">
        <f ca="1">+cap_factor</f>
        <v>0.9</v>
      </c>
      <c r="D3" s="1089">
        <v>0.05</v>
      </c>
      <c r="E3" s="1089">
        <v>0.05</v>
      </c>
      <c r="F3" s="1099">
        <f>1+D3</f>
        <v>1.05</v>
      </c>
      <c r="G3" s="1096">
        <f>1-E3</f>
        <v>0.95</v>
      </c>
      <c r="H3" s="1088">
        <f t="shared" ref="H3:H9" ca="1" si="0">+C3*F3</f>
        <v>0.94500000000000006</v>
      </c>
      <c r="I3" s="1088">
        <f t="shared" ref="I3:I9" ca="1" si="1">+C3*G3</f>
        <v>0.85499999999999998</v>
      </c>
      <c r="J3" s="1450"/>
      <c r="K3" s="1450"/>
      <c r="L3" s="1083"/>
      <c r="M3" s="1083"/>
      <c r="N3" s="1083"/>
      <c r="O3" s="1083"/>
      <c r="P3" s="1083"/>
      <c r="Q3" s="1083"/>
      <c r="R3" s="1083"/>
      <c r="S3" s="1083"/>
      <c r="T3" s="1083"/>
      <c r="U3" s="1083"/>
      <c r="V3" s="1083"/>
      <c r="W3" s="1083"/>
      <c r="X3" s="1083"/>
      <c r="Y3" s="1083"/>
      <c r="Z3" s="1083"/>
      <c r="AA3" s="1083"/>
      <c r="AB3" s="1083"/>
      <c r="AC3" s="1083"/>
      <c r="AD3" s="1083"/>
      <c r="AE3" s="1083"/>
      <c r="AF3" s="1083"/>
      <c r="AG3" s="1083"/>
      <c r="AH3" s="1083"/>
      <c r="AI3" s="1083"/>
      <c r="AJ3" s="1083"/>
      <c r="AK3" s="1083"/>
      <c r="AL3" s="1083"/>
      <c r="AM3" s="1083"/>
      <c r="AN3" s="1083"/>
      <c r="AO3" s="1083"/>
      <c r="AP3" s="1083"/>
      <c r="AQ3" s="1083"/>
      <c r="AR3" s="1083"/>
      <c r="AS3" s="1083"/>
      <c r="AT3" s="1083"/>
      <c r="AU3" s="1083"/>
      <c r="AV3" s="1083"/>
      <c r="AW3" s="1083"/>
      <c r="AX3" s="1083"/>
      <c r="AY3" s="1083"/>
      <c r="AZ3" s="1083"/>
      <c r="BA3" s="1083"/>
      <c r="BB3" s="1083"/>
      <c r="BC3" s="1083"/>
      <c r="BD3" s="1083"/>
      <c r="BE3" s="1083"/>
      <c r="BF3" s="1083"/>
      <c r="BG3" s="1083"/>
      <c r="BH3" s="1083"/>
      <c r="BI3" s="1083"/>
      <c r="BJ3" s="1083"/>
      <c r="BK3" s="1083"/>
      <c r="BL3" s="1083"/>
      <c r="BM3" s="1083"/>
      <c r="BN3" s="1083"/>
      <c r="BO3" s="1083"/>
      <c r="BP3" s="1083"/>
      <c r="BQ3" s="1083"/>
      <c r="BR3" s="1083"/>
      <c r="BS3" s="1083"/>
      <c r="BT3" s="1083"/>
      <c r="BU3" s="1083"/>
    </row>
    <row r="4" spans="1:73" x14ac:dyDescent="0.25">
      <c r="A4" s="1083"/>
      <c r="B4" s="1086" t="str">
        <f>+Input_Sheet_Template!B26</f>
        <v>Plant Design Capacity (kg of H2/day)</v>
      </c>
      <c r="C4" s="1091">
        <f>+design_cap</f>
        <v>618936</v>
      </c>
      <c r="D4" s="1089">
        <v>0.05</v>
      </c>
      <c r="E4" s="1089">
        <v>0.05</v>
      </c>
      <c r="F4" s="1099">
        <f>1+D4</f>
        <v>1.05</v>
      </c>
      <c r="G4" s="1096">
        <f>1-E4</f>
        <v>0.95</v>
      </c>
      <c r="H4" s="1093">
        <f t="shared" si="0"/>
        <v>649882.80000000005</v>
      </c>
      <c r="I4" s="1093">
        <f t="shared" si="1"/>
        <v>587989.19999999995</v>
      </c>
      <c r="J4" s="1450"/>
      <c r="K4" s="1450"/>
      <c r="L4" s="1083"/>
      <c r="M4" s="1083"/>
      <c r="N4" s="1083"/>
      <c r="O4" s="1083"/>
      <c r="P4" s="1083"/>
      <c r="Q4" s="1083"/>
      <c r="R4" s="1083"/>
      <c r="S4" s="1083"/>
      <c r="T4" s="1083"/>
      <c r="U4" s="1083"/>
      <c r="V4" s="1083"/>
      <c r="W4" s="1083"/>
      <c r="X4" s="1083"/>
      <c r="Y4" s="1083"/>
      <c r="Z4" s="1083"/>
      <c r="AA4" s="1083"/>
      <c r="AB4" s="1083"/>
      <c r="AC4" s="1083"/>
      <c r="AD4" s="1083"/>
      <c r="AE4" s="1083"/>
      <c r="AF4" s="1083"/>
      <c r="AG4" s="1083"/>
      <c r="AH4" s="1083"/>
      <c r="AI4" s="1083"/>
      <c r="AJ4" s="1083"/>
      <c r="AK4" s="1083"/>
      <c r="AL4" s="1083"/>
      <c r="AM4" s="1083"/>
      <c r="AN4" s="1083"/>
      <c r="AO4" s="1083"/>
      <c r="AP4" s="1083"/>
      <c r="AQ4" s="1083"/>
      <c r="AR4" s="1083"/>
      <c r="AS4" s="1083"/>
      <c r="AT4" s="1083"/>
      <c r="AU4" s="1083"/>
      <c r="AV4" s="1083"/>
      <c r="AW4" s="1083"/>
      <c r="AX4" s="1083"/>
      <c r="AY4" s="1083"/>
      <c r="AZ4" s="1083"/>
      <c r="BA4" s="1083"/>
      <c r="BB4" s="1083"/>
      <c r="BC4" s="1083"/>
      <c r="BD4" s="1083"/>
      <c r="BE4" s="1083"/>
      <c r="BF4" s="1083"/>
      <c r="BG4" s="1083"/>
      <c r="BH4" s="1083"/>
      <c r="BI4" s="1083"/>
      <c r="BJ4" s="1083"/>
      <c r="BK4" s="1083"/>
      <c r="BL4" s="1083"/>
      <c r="BM4" s="1083"/>
      <c r="BN4" s="1083"/>
      <c r="BO4" s="1083"/>
      <c r="BP4" s="1083"/>
      <c r="BQ4" s="1083"/>
      <c r="BR4" s="1083"/>
      <c r="BS4" s="1083"/>
      <c r="BT4" s="1083"/>
      <c r="BU4" s="1083"/>
    </row>
    <row r="5" spans="1:73" x14ac:dyDescent="0.25">
      <c r="A5" s="1083"/>
      <c r="B5" s="1086" t="s">
        <v>1178</v>
      </c>
      <c r="C5" s="1090">
        <f ca="1">+real_irr</f>
        <v>0.08</v>
      </c>
      <c r="D5" s="1089">
        <v>0.05</v>
      </c>
      <c r="E5" s="1089">
        <v>0.05</v>
      </c>
      <c r="F5" s="1099">
        <f>1-D5</f>
        <v>0.95</v>
      </c>
      <c r="G5" s="1096">
        <f>1+E5</f>
        <v>1.05</v>
      </c>
      <c r="H5" s="1088">
        <f t="shared" ca="1" si="0"/>
        <v>7.5999999999999998E-2</v>
      </c>
      <c r="I5" s="1088">
        <f t="shared" ca="1" si="1"/>
        <v>8.4000000000000005E-2</v>
      </c>
      <c r="J5" s="1450"/>
      <c r="K5" s="1450"/>
      <c r="L5" s="1083"/>
      <c r="M5" s="1083"/>
      <c r="N5" s="1083"/>
      <c r="O5" s="1083"/>
      <c r="P5" s="1083"/>
      <c r="Q5" s="1083"/>
      <c r="R5" s="1083"/>
      <c r="S5" s="1083"/>
      <c r="T5" s="1083"/>
      <c r="U5" s="1083"/>
      <c r="V5" s="1083"/>
      <c r="W5" s="1083"/>
      <c r="X5" s="1083"/>
      <c r="Y5" s="1083"/>
      <c r="Z5" s="1083"/>
      <c r="AA5" s="1083"/>
      <c r="AB5" s="1083"/>
      <c r="AC5" s="1083"/>
      <c r="AD5" s="1083"/>
      <c r="AE5" s="1083"/>
      <c r="AF5" s="1083"/>
      <c r="AG5" s="1083"/>
      <c r="AH5" s="1083"/>
      <c r="AI5" s="1083"/>
      <c r="AJ5" s="1083"/>
      <c r="AK5" s="1083"/>
      <c r="AL5" s="1083"/>
      <c r="AM5" s="1083"/>
      <c r="AN5" s="1083"/>
      <c r="AO5" s="1083"/>
      <c r="AP5" s="1083"/>
      <c r="AQ5" s="1083"/>
      <c r="AR5" s="1083"/>
      <c r="AS5" s="1083"/>
      <c r="AT5" s="1083"/>
      <c r="AU5" s="1083"/>
      <c r="AV5" s="1083"/>
      <c r="AW5" s="1083"/>
      <c r="AX5" s="1083"/>
      <c r="AY5" s="1083"/>
      <c r="AZ5" s="1083"/>
      <c r="BA5" s="1083"/>
      <c r="BB5" s="1083"/>
      <c r="BC5" s="1083"/>
      <c r="BD5" s="1083"/>
      <c r="BE5" s="1083"/>
      <c r="BF5" s="1083"/>
      <c r="BG5" s="1083"/>
      <c r="BH5" s="1083"/>
      <c r="BI5" s="1083"/>
      <c r="BJ5" s="1083"/>
      <c r="BK5" s="1083"/>
      <c r="BL5" s="1083"/>
      <c r="BM5" s="1083"/>
      <c r="BN5" s="1083"/>
      <c r="BO5" s="1083"/>
      <c r="BP5" s="1083"/>
      <c r="BQ5" s="1083"/>
      <c r="BR5" s="1083"/>
      <c r="BS5" s="1083"/>
      <c r="BT5" s="1083"/>
      <c r="BU5" s="1083"/>
    </row>
    <row r="6" spans="1:73" x14ac:dyDescent="0.25">
      <c r="A6" s="1083"/>
      <c r="B6" s="1086" t="s">
        <v>1187</v>
      </c>
      <c r="C6" s="1186">
        <v>1</v>
      </c>
      <c r="D6" s="1089">
        <v>0.05</v>
      </c>
      <c r="E6" s="1089">
        <v>0.05</v>
      </c>
      <c r="F6" s="1099">
        <f>1-D6</f>
        <v>0.95</v>
      </c>
      <c r="G6" s="1096">
        <f t="shared" ref="G6:G9" si="2">1+E6</f>
        <v>1.05</v>
      </c>
      <c r="H6" s="1182">
        <f t="shared" si="0"/>
        <v>0.95</v>
      </c>
      <c r="I6" s="1182">
        <f t="shared" si="1"/>
        <v>1.05</v>
      </c>
      <c r="J6" s="1450"/>
      <c r="K6" s="1450"/>
      <c r="L6" s="1083"/>
      <c r="M6" s="1083"/>
      <c r="N6" s="1083"/>
      <c r="O6" s="1083"/>
      <c r="P6" s="1083"/>
      <c r="Q6" s="1083"/>
      <c r="R6" s="1083"/>
      <c r="S6" s="1083"/>
      <c r="T6" s="1083"/>
      <c r="U6" s="1083"/>
      <c r="V6" s="1083"/>
      <c r="W6" s="1083"/>
      <c r="X6" s="1083"/>
      <c r="Y6" s="1083"/>
      <c r="Z6" s="1083"/>
      <c r="AA6" s="1083"/>
      <c r="AB6" s="1083"/>
      <c r="AC6" s="1083"/>
      <c r="AD6" s="1083"/>
      <c r="AE6" s="1083"/>
      <c r="AF6" s="1083"/>
      <c r="AG6" s="1083"/>
      <c r="AH6" s="1083"/>
      <c r="AI6" s="1083"/>
      <c r="AJ6" s="1083"/>
      <c r="AK6" s="1083"/>
      <c r="AL6" s="1083"/>
      <c r="AM6" s="1083"/>
      <c r="AN6" s="1083"/>
      <c r="AO6" s="1083"/>
      <c r="AP6" s="1083"/>
      <c r="AQ6" s="1083"/>
      <c r="AR6" s="1083"/>
      <c r="AS6" s="1083"/>
      <c r="AT6" s="1083"/>
      <c r="AU6" s="1083"/>
      <c r="AV6" s="1083"/>
      <c r="AW6" s="1083"/>
      <c r="AX6" s="1083"/>
      <c r="AY6" s="1083"/>
      <c r="AZ6" s="1083"/>
      <c r="BA6" s="1083"/>
      <c r="BB6" s="1083"/>
      <c r="BC6" s="1083"/>
      <c r="BD6" s="1083"/>
      <c r="BE6" s="1083"/>
      <c r="BF6" s="1083"/>
      <c r="BG6" s="1083"/>
      <c r="BH6" s="1083"/>
      <c r="BI6" s="1083"/>
      <c r="BJ6" s="1083"/>
      <c r="BK6" s="1083"/>
      <c r="BL6" s="1083"/>
      <c r="BM6" s="1083"/>
      <c r="BN6" s="1083"/>
      <c r="BO6" s="1083"/>
      <c r="BP6" s="1083"/>
      <c r="BQ6" s="1083"/>
      <c r="BR6" s="1083"/>
      <c r="BS6" s="1083"/>
      <c r="BT6" s="1083"/>
      <c r="BU6" s="1083"/>
    </row>
    <row r="7" spans="1:73" x14ac:dyDescent="0.25">
      <c r="A7" s="1083"/>
      <c r="B7" s="1086" t="s">
        <v>1188</v>
      </c>
      <c r="C7" s="1186">
        <v>1</v>
      </c>
      <c r="D7" s="1089">
        <v>0.05</v>
      </c>
      <c r="E7" s="1089">
        <v>0.05</v>
      </c>
      <c r="F7" s="1099">
        <f>1-D7</f>
        <v>0.95</v>
      </c>
      <c r="G7" s="1096">
        <f t="shared" si="2"/>
        <v>1.05</v>
      </c>
      <c r="H7" s="1182">
        <f t="shared" si="0"/>
        <v>0.95</v>
      </c>
      <c r="I7" s="1182">
        <f t="shared" si="1"/>
        <v>1.05</v>
      </c>
      <c r="J7" s="1450"/>
      <c r="K7" s="1450"/>
      <c r="L7" s="1083"/>
      <c r="M7" s="1083"/>
      <c r="N7" s="1083"/>
      <c r="O7" s="1083"/>
      <c r="P7" s="1083"/>
      <c r="Q7" s="1083"/>
      <c r="R7" s="1083"/>
      <c r="S7" s="1083"/>
      <c r="T7" s="1083"/>
      <c r="U7" s="1083"/>
      <c r="V7" s="1083"/>
      <c r="W7" s="1083"/>
      <c r="X7" s="1083"/>
      <c r="Y7" s="1083"/>
      <c r="Z7" s="1083"/>
      <c r="AA7" s="1083"/>
      <c r="AB7" s="1083"/>
      <c r="AC7" s="1083"/>
      <c r="AD7" s="1083"/>
      <c r="AE7" s="1083"/>
      <c r="AF7" s="1083"/>
      <c r="AG7" s="1083"/>
      <c r="AH7" s="1083"/>
      <c r="AI7" s="1083"/>
      <c r="AJ7" s="1083"/>
      <c r="AK7" s="1083"/>
      <c r="AL7" s="1083"/>
      <c r="AM7" s="1083"/>
      <c r="AN7" s="1083"/>
      <c r="AO7" s="1083"/>
      <c r="AP7" s="1083"/>
      <c r="AQ7" s="1083"/>
      <c r="AR7" s="1083"/>
      <c r="AS7" s="1083"/>
      <c r="AT7" s="1083"/>
      <c r="AU7" s="1083"/>
      <c r="AV7" s="1083"/>
      <c r="AW7" s="1083"/>
      <c r="AX7" s="1083"/>
      <c r="AY7" s="1083"/>
      <c r="AZ7" s="1083"/>
      <c r="BA7" s="1083"/>
      <c r="BB7" s="1083"/>
      <c r="BC7" s="1083"/>
      <c r="BD7" s="1083"/>
      <c r="BE7" s="1083"/>
      <c r="BF7" s="1083"/>
      <c r="BG7" s="1083"/>
      <c r="BH7" s="1083"/>
      <c r="BI7" s="1083"/>
      <c r="BJ7" s="1083"/>
      <c r="BK7" s="1083"/>
      <c r="BL7" s="1083"/>
      <c r="BM7" s="1083"/>
      <c r="BN7" s="1083"/>
      <c r="BO7" s="1083"/>
      <c r="BP7" s="1083"/>
      <c r="BQ7" s="1083"/>
      <c r="BR7" s="1083"/>
      <c r="BS7" s="1083"/>
      <c r="BT7" s="1083"/>
      <c r="BU7" s="1083"/>
    </row>
    <row r="8" spans="1:73" x14ac:dyDescent="0.25">
      <c r="A8" s="1083"/>
      <c r="B8" s="1086" t="s">
        <v>117</v>
      </c>
      <c r="C8" s="1091">
        <f ca="1">+total_cap</f>
        <v>1767277323.1692276</v>
      </c>
      <c r="D8" s="1089">
        <v>0.05</v>
      </c>
      <c r="E8" s="1089">
        <v>0.05</v>
      </c>
      <c r="F8" s="1099">
        <f>1-D8</f>
        <v>0.95</v>
      </c>
      <c r="G8" s="1096">
        <f t="shared" si="2"/>
        <v>1.05</v>
      </c>
      <c r="H8" s="1093">
        <f t="shared" ca="1" si="0"/>
        <v>1678913457.010766</v>
      </c>
      <c r="I8" s="1093">
        <f t="shared" ca="1" si="1"/>
        <v>1855641189.3276892</v>
      </c>
      <c r="J8" s="1450"/>
      <c r="K8" s="1450"/>
      <c r="L8" s="1083"/>
      <c r="M8" s="1083"/>
      <c r="N8" s="1083"/>
      <c r="O8" s="1083"/>
      <c r="P8" s="1083"/>
      <c r="Q8" s="1083"/>
      <c r="R8" s="1083"/>
      <c r="S8" s="1083"/>
      <c r="T8" s="1083"/>
      <c r="U8" s="1083"/>
      <c r="V8" s="1083"/>
      <c r="W8" s="1083"/>
      <c r="X8" s="1083"/>
      <c r="Y8" s="1083"/>
      <c r="Z8" s="1083"/>
      <c r="AA8" s="1083"/>
      <c r="AB8" s="1083"/>
      <c r="AC8" s="1083"/>
      <c r="AD8" s="1083"/>
      <c r="AE8" s="1083"/>
      <c r="AF8" s="1083"/>
      <c r="AG8" s="1083"/>
      <c r="AH8" s="1083"/>
      <c r="AI8" s="1083"/>
      <c r="AJ8" s="1083"/>
      <c r="AK8" s="1083"/>
      <c r="AL8" s="1083"/>
      <c r="AM8" s="1083"/>
      <c r="AN8" s="1083"/>
      <c r="AO8" s="1083"/>
      <c r="AP8" s="1083"/>
      <c r="AQ8" s="1083"/>
      <c r="AR8" s="1083"/>
      <c r="AS8" s="1083"/>
      <c r="AT8" s="1083"/>
      <c r="AU8" s="1083"/>
      <c r="AV8" s="1083"/>
      <c r="AW8" s="1083"/>
      <c r="AX8" s="1083"/>
      <c r="AY8" s="1083"/>
      <c r="AZ8" s="1083"/>
      <c r="BA8" s="1083"/>
      <c r="BB8" s="1083"/>
      <c r="BC8" s="1083"/>
      <c r="BD8" s="1083"/>
      <c r="BE8" s="1083"/>
      <c r="BF8" s="1083"/>
      <c r="BG8" s="1083"/>
      <c r="BH8" s="1083"/>
      <c r="BI8" s="1083"/>
      <c r="BJ8" s="1083"/>
      <c r="BK8" s="1083"/>
      <c r="BL8" s="1083"/>
      <c r="BM8" s="1083"/>
      <c r="BN8" s="1083"/>
      <c r="BO8" s="1083"/>
      <c r="BP8" s="1083"/>
      <c r="BQ8" s="1083"/>
      <c r="BR8" s="1083"/>
      <c r="BS8" s="1083"/>
      <c r="BT8" s="1083"/>
      <c r="BU8" s="1083"/>
    </row>
    <row r="9" spans="1:73" x14ac:dyDescent="0.25">
      <c r="A9" s="1083"/>
      <c r="B9" s="1086" t="s">
        <v>634</v>
      </c>
      <c r="C9" s="1091">
        <f ca="1">+fixed</f>
        <v>91669007.478598267</v>
      </c>
      <c r="D9" s="1089">
        <v>0.05</v>
      </c>
      <c r="E9" s="1089">
        <v>0.05</v>
      </c>
      <c r="F9" s="1099">
        <f>1-D9</f>
        <v>0.95</v>
      </c>
      <c r="G9" s="1096">
        <f t="shared" si="2"/>
        <v>1.05</v>
      </c>
      <c r="H9" s="1093">
        <f t="shared" ca="1" si="0"/>
        <v>87085557.104668349</v>
      </c>
      <c r="I9" s="1093">
        <f t="shared" ca="1" si="1"/>
        <v>96252457.852528185</v>
      </c>
      <c r="J9" s="1450"/>
      <c r="K9" s="1450"/>
      <c r="L9" s="1083"/>
      <c r="M9" s="1083"/>
      <c r="N9" s="1083"/>
      <c r="O9" s="1083"/>
      <c r="P9" s="1083"/>
      <c r="Q9" s="1083"/>
      <c r="R9" s="1083"/>
      <c r="S9" s="1083"/>
      <c r="T9" s="1083"/>
      <c r="U9" s="1083"/>
      <c r="V9" s="1083"/>
      <c r="W9" s="1083"/>
      <c r="X9" s="1083"/>
      <c r="Y9" s="1083"/>
      <c r="Z9" s="1083"/>
      <c r="AA9" s="1083"/>
      <c r="AB9" s="1083"/>
      <c r="AC9" s="1083"/>
      <c r="AD9" s="1083"/>
      <c r="AE9" s="1083"/>
      <c r="AF9" s="1083"/>
      <c r="AG9" s="1083"/>
      <c r="AH9" s="1083"/>
      <c r="AI9" s="1083"/>
      <c r="AJ9" s="1083"/>
      <c r="AK9" s="1083"/>
      <c r="AL9" s="1083"/>
      <c r="AM9" s="1083"/>
      <c r="AN9" s="1083"/>
      <c r="AO9" s="1083"/>
      <c r="AP9" s="1083"/>
      <c r="AQ9" s="1083"/>
      <c r="AR9" s="1083"/>
      <c r="AS9" s="1083"/>
      <c r="AT9" s="1083"/>
      <c r="AU9" s="1083"/>
      <c r="AV9" s="1083"/>
      <c r="AW9" s="1083"/>
      <c r="AX9" s="1083"/>
      <c r="AY9" s="1083"/>
      <c r="AZ9" s="1083"/>
      <c r="BA9" s="1083"/>
      <c r="BB9" s="1083"/>
      <c r="BC9" s="1083"/>
      <c r="BD9" s="1083"/>
      <c r="BE9" s="1083"/>
      <c r="BF9" s="1083"/>
      <c r="BG9" s="1083"/>
      <c r="BH9" s="1083"/>
      <c r="BI9" s="1083"/>
      <c r="BJ9" s="1083"/>
      <c r="BK9" s="1083"/>
      <c r="BL9" s="1083"/>
      <c r="BM9" s="1083"/>
      <c r="BN9" s="1083"/>
      <c r="BO9" s="1083"/>
      <c r="BP9" s="1083"/>
      <c r="BQ9" s="1083"/>
      <c r="BR9" s="1083"/>
      <c r="BS9" s="1083"/>
      <c r="BT9" s="1083"/>
      <c r="BU9" s="1083"/>
    </row>
    <row r="10" spans="1:73" x14ac:dyDescent="0.25">
      <c r="A10" s="1083"/>
      <c r="B10" s="1083"/>
      <c r="C10" s="1083"/>
      <c r="D10" s="1083"/>
      <c r="E10" s="1083"/>
      <c r="F10" s="1083"/>
      <c r="G10" s="1083"/>
      <c r="H10" s="1083"/>
      <c r="I10" s="1083"/>
      <c r="J10" s="1083"/>
      <c r="K10" s="1083"/>
      <c r="L10" s="1083"/>
      <c r="M10" s="1083"/>
      <c r="N10" s="1083"/>
      <c r="O10" s="1083"/>
      <c r="P10" s="1083"/>
      <c r="Q10" s="1083"/>
      <c r="R10" s="1083"/>
      <c r="S10" s="1083"/>
      <c r="T10" s="1083"/>
      <c r="U10" s="1083"/>
      <c r="V10" s="1083"/>
      <c r="W10" s="1083"/>
      <c r="X10" s="1083"/>
      <c r="Y10" s="1083"/>
      <c r="Z10" s="1083"/>
      <c r="AA10" s="1083"/>
      <c r="AB10" s="1083"/>
      <c r="AC10" s="1083"/>
      <c r="AD10" s="1083"/>
      <c r="AE10" s="1083"/>
      <c r="AF10" s="1083"/>
      <c r="AG10" s="1083"/>
      <c r="AH10" s="1083"/>
      <c r="AI10" s="1083"/>
      <c r="AJ10" s="1083"/>
      <c r="AK10" s="1083"/>
      <c r="AL10" s="1083"/>
      <c r="AM10" s="1083"/>
      <c r="AN10" s="1083"/>
      <c r="AO10" s="1083"/>
      <c r="AP10" s="1083"/>
      <c r="AQ10" s="1083"/>
      <c r="AR10" s="1083"/>
      <c r="AS10" s="1083"/>
      <c r="AT10" s="1083"/>
      <c r="AU10" s="1083"/>
      <c r="AV10" s="1083"/>
      <c r="AW10" s="1083"/>
      <c r="AX10" s="1083"/>
      <c r="AY10" s="1083"/>
      <c r="AZ10" s="1083"/>
      <c r="BA10" s="1083"/>
      <c r="BB10" s="1083"/>
      <c r="BC10" s="1083"/>
      <c r="BD10" s="1083"/>
      <c r="BE10" s="1083"/>
      <c r="BF10" s="1083"/>
      <c r="BG10" s="1083"/>
      <c r="BH10" s="1083"/>
      <c r="BI10" s="1083"/>
      <c r="BJ10" s="1083"/>
      <c r="BK10" s="1083"/>
      <c r="BL10" s="1083"/>
      <c r="BM10" s="1083"/>
      <c r="BN10" s="1083"/>
      <c r="BO10" s="1083"/>
      <c r="BP10" s="1083"/>
      <c r="BQ10" s="1083"/>
      <c r="BR10" s="1083"/>
      <c r="BS10" s="1083"/>
      <c r="BT10" s="1083"/>
      <c r="BU10" s="1083"/>
    </row>
    <row r="11" spans="1:73" x14ac:dyDescent="0.25">
      <c r="A11" s="1083"/>
      <c r="B11" s="1694" t="s">
        <v>1319</v>
      </c>
      <c r="C11" s="1694"/>
      <c r="D11" s="1089" t="s">
        <v>23</v>
      </c>
      <c r="E11" s="1462" t="str">
        <f>IF(RunRiskAnalysis="Yes","          Please click Update Charts and Risk Analysis button before using results below","")</f>
        <v xml:space="preserve">          Please click Update Charts and Risk Analysis button before using results below</v>
      </c>
      <c r="F11" s="1083"/>
      <c r="H11" s="1083"/>
      <c r="I11" s="1083"/>
      <c r="J11" s="1083"/>
      <c r="K11" s="1083"/>
      <c r="L11" s="1083"/>
      <c r="M11" s="1083"/>
      <c r="N11" s="1083"/>
      <c r="O11" s="1083"/>
      <c r="P11" s="1083"/>
      <c r="Q11" s="1083"/>
      <c r="R11" s="1083"/>
      <c r="S11" s="1083"/>
      <c r="T11" s="1083"/>
      <c r="U11" s="1083"/>
      <c r="V11" s="1083"/>
      <c r="W11" s="1083"/>
      <c r="X11" s="1083"/>
      <c r="Y11" s="1083"/>
      <c r="Z11" s="1083"/>
      <c r="AA11" s="1083"/>
      <c r="AB11" s="1083"/>
      <c r="AC11" s="1083"/>
      <c r="AD11" s="1083"/>
      <c r="AE11" s="1083"/>
      <c r="AF11" s="1083"/>
      <c r="AG11" s="1083"/>
      <c r="AH11" s="1083"/>
      <c r="AI11" s="1083"/>
      <c r="AJ11" s="1083"/>
      <c r="AK11" s="1083"/>
      <c r="AL11" s="1083"/>
      <c r="AM11" s="1083"/>
      <c r="AN11" s="1083"/>
      <c r="AO11" s="1083"/>
      <c r="AP11" s="1083"/>
      <c r="AQ11" s="1083"/>
      <c r="AR11" s="1083"/>
      <c r="AS11" s="1083"/>
      <c r="AT11" s="1083"/>
      <c r="AU11" s="1083"/>
      <c r="AV11" s="1083"/>
      <c r="AW11" s="1083"/>
      <c r="AX11" s="1083"/>
      <c r="AY11" s="1083"/>
      <c r="AZ11" s="1083"/>
      <c r="BA11" s="1083"/>
      <c r="BB11" s="1083"/>
      <c r="BC11" s="1083"/>
      <c r="BD11" s="1083"/>
      <c r="BE11" s="1083"/>
      <c r="BF11" s="1083"/>
      <c r="BG11" s="1083"/>
      <c r="BH11" s="1083"/>
      <c r="BI11" s="1083"/>
      <c r="BJ11" s="1083"/>
      <c r="BK11" s="1083"/>
      <c r="BL11" s="1083"/>
      <c r="BM11" s="1083"/>
      <c r="BN11" s="1083"/>
      <c r="BO11" s="1083"/>
      <c r="BP11" s="1083"/>
      <c r="BQ11" s="1083"/>
      <c r="BR11" s="1083"/>
      <c r="BS11" s="1083"/>
      <c r="BT11" s="1083"/>
      <c r="BU11" s="1083"/>
    </row>
    <row r="12" spans="1:73" ht="12.75" customHeight="1" x14ac:dyDescent="0.25">
      <c r="A12" s="1083"/>
      <c r="B12" s="1083"/>
      <c r="C12" s="1083"/>
      <c r="D12" s="1083"/>
      <c r="E12" s="1083"/>
      <c r="F12" s="1083"/>
      <c r="G12" s="1083"/>
      <c r="H12" s="1083"/>
      <c r="I12" s="1083"/>
      <c r="J12" s="1083"/>
      <c r="K12" s="1083"/>
      <c r="L12" s="1083"/>
      <c r="M12" s="1083"/>
      <c r="N12" s="1083"/>
      <c r="P12" s="1694" t="s">
        <v>1337</v>
      </c>
      <c r="Q12" s="1694"/>
      <c r="R12" s="1695" t="s">
        <v>1360</v>
      </c>
      <c r="S12" s="1695"/>
      <c r="T12" s="1695"/>
      <c r="U12" s="1695"/>
      <c r="V12" s="1083"/>
      <c r="W12" s="1083"/>
      <c r="X12" s="1083"/>
      <c r="Y12" s="1083"/>
      <c r="Z12" s="1083"/>
      <c r="AA12" s="1083"/>
      <c r="AB12" s="1083"/>
      <c r="AC12" s="1083"/>
      <c r="AD12" s="1083"/>
      <c r="AE12" s="1083"/>
      <c r="AF12" s="1083"/>
      <c r="AG12" s="1083"/>
      <c r="AH12" s="1083"/>
      <c r="AI12" s="1083"/>
      <c r="AJ12" s="1083"/>
      <c r="AK12" s="1083"/>
      <c r="AL12" s="1083"/>
      <c r="AM12" s="1083"/>
      <c r="AN12" s="1083"/>
      <c r="AO12" s="1083"/>
      <c r="AP12" s="1083"/>
      <c r="AQ12" s="1083"/>
      <c r="AR12" s="1083"/>
      <c r="AS12" s="1083"/>
      <c r="AT12" s="1083"/>
      <c r="AU12" s="1083"/>
      <c r="AV12" s="1083"/>
      <c r="AW12" s="1083"/>
      <c r="AX12" s="1083"/>
      <c r="AY12" s="1083"/>
      <c r="AZ12" s="1083"/>
      <c r="BA12" s="1083"/>
      <c r="BB12" s="1083"/>
      <c r="BC12" s="1083"/>
      <c r="BD12" s="1083"/>
      <c r="BE12" s="1083"/>
      <c r="BF12" s="1083"/>
      <c r="BG12" s="1083"/>
      <c r="BH12" s="1083"/>
      <c r="BI12" s="1083"/>
      <c r="BJ12" s="1083"/>
      <c r="BK12" s="1083"/>
      <c r="BL12" s="1083"/>
      <c r="BM12" s="1083"/>
      <c r="BN12" s="1083"/>
      <c r="BO12" s="1083"/>
      <c r="BP12" s="1083"/>
      <c r="BQ12" s="1083"/>
      <c r="BR12" s="1083"/>
      <c r="BS12" s="1083"/>
      <c r="BT12" s="1083"/>
      <c r="BU12" s="1083"/>
    </row>
    <row r="13" spans="1:73" x14ac:dyDescent="0.25">
      <c r="A13" s="1083"/>
      <c r="B13" s="1083"/>
      <c r="C13" s="1083"/>
      <c r="D13" s="1083"/>
      <c r="E13" s="1083"/>
      <c r="F13" s="1083"/>
      <c r="G13" s="1083"/>
      <c r="H13" s="1083"/>
      <c r="I13" s="1083"/>
      <c r="J13" s="1083"/>
      <c r="K13" s="1083"/>
      <c r="L13" s="1083"/>
      <c r="M13" s="1083"/>
      <c r="N13" s="1083"/>
      <c r="O13" s="1083"/>
      <c r="P13" s="1083"/>
      <c r="Q13" s="1083"/>
      <c r="R13" s="1083"/>
      <c r="S13" s="1083"/>
      <c r="T13" s="1083"/>
      <c r="U13" s="1083"/>
      <c r="V13" s="1094" t="s">
        <v>1323</v>
      </c>
      <c r="W13" s="1094" t="s">
        <v>1093</v>
      </c>
      <c r="X13" s="1083"/>
      <c r="Y13" s="1083"/>
      <c r="Z13" s="1083"/>
      <c r="AA13" s="1083"/>
      <c r="AB13" s="1083"/>
      <c r="AC13" s="1083"/>
      <c r="AD13" s="1083"/>
      <c r="AE13" s="1083"/>
      <c r="AF13" s="1083"/>
      <c r="AG13" s="1083"/>
      <c r="AH13" s="1083"/>
      <c r="AI13" s="1083"/>
      <c r="AJ13" s="1083"/>
      <c r="AK13" s="1083"/>
      <c r="AL13" s="1083"/>
      <c r="AM13" s="1083"/>
      <c r="AN13" s="1083"/>
      <c r="AO13" s="1083"/>
      <c r="AP13" s="1083"/>
      <c r="AQ13" s="1083"/>
      <c r="AR13" s="1083"/>
      <c r="AS13" s="1083"/>
      <c r="AT13" s="1083"/>
      <c r="AU13" s="1083"/>
      <c r="AV13" s="1083"/>
      <c r="AW13" s="1083"/>
      <c r="AX13" s="1083"/>
      <c r="AY13" s="1083"/>
      <c r="AZ13" s="1083"/>
      <c r="BA13" s="1083"/>
      <c r="BB13" s="1083"/>
      <c r="BC13" s="1083"/>
      <c r="BD13" s="1083"/>
      <c r="BE13" s="1083"/>
      <c r="BF13" s="1083"/>
      <c r="BG13" s="1083"/>
      <c r="BH13" s="1083"/>
      <c r="BI13" s="1083"/>
      <c r="BJ13" s="1083"/>
      <c r="BK13" s="1083"/>
      <c r="BL13" s="1083"/>
      <c r="BM13" s="1083"/>
      <c r="BN13" s="1083"/>
      <c r="BO13" s="1083"/>
      <c r="BP13" s="1083"/>
      <c r="BQ13" s="1083"/>
      <c r="BR13" s="1083"/>
      <c r="BS13" s="1083"/>
      <c r="BT13" s="1083"/>
      <c r="BU13" s="1083"/>
    </row>
    <row r="14" spans="1:73" x14ac:dyDescent="0.25">
      <c r="A14" s="1083"/>
      <c r="B14" s="1083"/>
      <c r="C14" s="1083"/>
      <c r="D14" s="1083"/>
      <c r="E14" s="1083"/>
      <c r="F14" s="1083"/>
      <c r="G14" s="1083"/>
      <c r="H14" s="1083"/>
      <c r="I14" s="1083"/>
      <c r="J14" s="1083"/>
      <c r="K14" s="1083"/>
      <c r="L14" s="1083"/>
      <c r="M14" s="1083"/>
      <c r="N14" s="1083"/>
      <c r="O14" s="1083"/>
      <c r="P14" s="1083"/>
      <c r="Q14" s="1083"/>
      <c r="R14" s="1083"/>
      <c r="S14" s="1083"/>
      <c r="T14" s="1083"/>
      <c r="U14" s="1083"/>
      <c r="V14" s="1096">
        <v>0</v>
      </c>
      <c r="W14" s="1097">
        <f ca="1">+MIN(OFFSET($B$251:$B$2250,0,$C$194))*$C$198</f>
        <v>1.7275167732033614</v>
      </c>
      <c r="X14" s="1083"/>
      <c r="Y14" s="1083"/>
      <c r="Z14" s="1083"/>
      <c r="AA14" s="1083"/>
      <c r="AB14" s="1083"/>
      <c r="AC14" s="1083"/>
      <c r="AD14" s="1083"/>
      <c r="AE14" s="1083"/>
      <c r="AF14" s="1083"/>
      <c r="AG14" s="1083"/>
      <c r="AH14" s="1083"/>
      <c r="AI14" s="1083"/>
      <c r="AJ14" s="1083"/>
      <c r="AK14" s="1083"/>
      <c r="AL14" s="1083"/>
      <c r="AM14" s="1083"/>
      <c r="AN14" s="1083"/>
      <c r="AO14" s="1083"/>
      <c r="AP14" s="1083"/>
      <c r="AQ14" s="1083"/>
      <c r="AR14" s="1083"/>
      <c r="AS14" s="1083"/>
      <c r="AT14" s="1083"/>
      <c r="AU14" s="1083"/>
      <c r="AV14" s="1083"/>
      <c r="AW14" s="1083"/>
      <c r="AX14" s="1083"/>
      <c r="AY14" s="1083"/>
      <c r="AZ14" s="1083"/>
      <c r="BA14" s="1083"/>
      <c r="BB14" s="1083"/>
      <c r="BC14" s="1083"/>
      <c r="BD14" s="1083"/>
      <c r="BE14" s="1083"/>
      <c r="BF14" s="1083"/>
      <c r="BG14" s="1083"/>
      <c r="BH14" s="1083"/>
      <c r="BI14" s="1083"/>
      <c r="BJ14" s="1083"/>
      <c r="BK14" s="1083"/>
      <c r="BL14" s="1083"/>
      <c r="BM14" s="1083"/>
      <c r="BN14" s="1083"/>
      <c r="BO14" s="1083"/>
      <c r="BP14" s="1083"/>
      <c r="BQ14" s="1083"/>
      <c r="BR14" s="1083"/>
      <c r="BS14" s="1083"/>
      <c r="BT14" s="1083"/>
      <c r="BU14" s="1083"/>
    </row>
    <row r="15" spans="1:73" x14ac:dyDescent="0.25">
      <c r="A15" s="1083"/>
      <c r="B15" s="1083"/>
      <c r="C15" s="1083"/>
      <c r="D15" s="1083"/>
      <c r="E15" s="1083"/>
      <c r="F15" s="1083"/>
      <c r="G15" s="1083"/>
      <c r="H15" s="1083"/>
      <c r="I15" s="1083"/>
      <c r="J15" s="1083"/>
      <c r="K15" s="1083"/>
      <c r="L15" s="1083"/>
      <c r="M15" s="1083"/>
      <c r="N15" s="1083"/>
      <c r="O15" s="1083"/>
      <c r="P15" s="1083"/>
      <c r="Q15" s="1083"/>
      <c r="R15" s="1083"/>
      <c r="S15" s="1083"/>
      <c r="T15" s="1083"/>
      <c r="U15" s="1083"/>
      <c r="V15" s="1460">
        <v>0.05</v>
      </c>
      <c r="W15" s="1461">
        <f t="shared" ref="W15:W33" ca="1" si="3">+PERCENTILE(OFFSET($B$251:$B$2250,0,$C$194),V15)*$C$198</f>
        <v>1.7897959784934838</v>
      </c>
      <c r="X15" s="1083"/>
      <c r="Y15" s="1083"/>
      <c r="Z15" s="1083"/>
      <c r="AA15" s="1083"/>
      <c r="AB15" s="1083"/>
      <c r="AC15" s="1083"/>
      <c r="AD15" s="1083"/>
      <c r="AE15" s="1083"/>
      <c r="AF15" s="1083"/>
      <c r="AG15" s="1083"/>
      <c r="AH15" s="1083"/>
      <c r="AI15" s="1083"/>
      <c r="AJ15" s="1083"/>
      <c r="AK15" s="1083"/>
      <c r="AL15" s="1083"/>
      <c r="AM15" s="1083"/>
      <c r="AN15" s="1083"/>
      <c r="AO15" s="1083"/>
      <c r="AP15" s="1083"/>
      <c r="AQ15" s="1083"/>
      <c r="AR15" s="1083"/>
      <c r="AS15" s="1083"/>
      <c r="AT15" s="1083"/>
      <c r="AU15" s="1083"/>
      <c r="AV15" s="1083"/>
      <c r="AW15" s="1083"/>
      <c r="AX15" s="1083"/>
      <c r="AY15" s="1083"/>
      <c r="AZ15" s="1083"/>
      <c r="BA15" s="1083"/>
      <c r="BB15" s="1083"/>
      <c r="BC15" s="1083"/>
      <c r="BD15" s="1083"/>
      <c r="BE15" s="1083"/>
      <c r="BF15" s="1083"/>
      <c r="BG15" s="1083"/>
      <c r="BH15" s="1083"/>
      <c r="BI15" s="1083"/>
      <c r="BJ15" s="1083"/>
      <c r="BK15" s="1083"/>
      <c r="BL15" s="1083"/>
      <c r="BM15" s="1083"/>
      <c r="BN15" s="1083"/>
      <c r="BO15" s="1083"/>
      <c r="BP15" s="1083"/>
      <c r="BQ15" s="1083"/>
      <c r="BR15" s="1083"/>
      <c r="BS15" s="1083"/>
      <c r="BT15" s="1083"/>
      <c r="BU15" s="1083"/>
    </row>
    <row r="16" spans="1:73" x14ac:dyDescent="0.25">
      <c r="A16" s="1083"/>
      <c r="B16" s="1084"/>
      <c r="C16" s="1083"/>
      <c r="D16" s="1083"/>
      <c r="E16" s="1083"/>
      <c r="F16" s="1083"/>
      <c r="G16" s="1083"/>
      <c r="H16" s="1083"/>
      <c r="I16" s="1083"/>
      <c r="J16" s="1083"/>
      <c r="K16" s="1083"/>
      <c r="L16" s="1083"/>
      <c r="M16" s="1083"/>
      <c r="N16" s="1083"/>
      <c r="O16" s="1083"/>
      <c r="P16" s="1083"/>
      <c r="Q16" s="1083"/>
      <c r="R16" s="1083"/>
      <c r="S16" s="1083"/>
      <c r="T16" s="1083"/>
      <c r="U16" s="1083"/>
      <c r="V16" s="1459">
        <f t="shared" ref="V16:V33" si="4">+V15+0.05</f>
        <v>0.1</v>
      </c>
      <c r="W16" s="1097">
        <f t="shared" ca="1" si="3"/>
        <v>1.8017497733737178</v>
      </c>
      <c r="X16" s="1083"/>
      <c r="Y16" s="1083"/>
      <c r="Z16" s="1083"/>
      <c r="AA16" s="1083"/>
      <c r="AB16" s="1083"/>
      <c r="AC16" s="1083"/>
      <c r="AD16" s="1083"/>
      <c r="AE16" s="1083"/>
      <c r="AF16" s="1083"/>
      <c r="AG16" s="1083"/>
      <c r="AH16" s="1083"/>
      <c r="AI16" s="1083"/>
      <c r="AJ16" s="1083"/>
      <c r="AK16" s="1083"/>
      <c r="AL16" s="1083"/>
      <c r="AM16" s="1083"/>
      <c r="AN16" s="1083"/>
      <c r="AO16" s="1083"/>
      <c r="AP16" s="1083"/>
      <c r="AQ16" s="1083"/>
      <c r="AR16" s="1083"/>
      <c r="AS16" s="1083"/>
      <c r="AT16" s="1083"/>
      <c r="AU16" s="1083"/>
      <c r="AV16" s="1083"/>
      <c r="AW16" s="1083"/>
      <c r="AX16" s="1083"/>
      <c r="AY16" s="1083"/>
      <c r="AZ16" s="1083"/>
      <c r="BA16" s="1083"/>
      <c r="BB16" s="1083"/>
      <c r="BC16" s="1083"/>
      <c r="BD16" s="1083"/>
      <c r="BE16" s="1083"/>
      <c r="BF16" s="1083"/>
      <c r="BG16" s="1083"/>
      <c r="BH16" s="1083"/>
      <c r="BI16" s="1083"/>
      <c r="BJ16" s="1083"/>
      <c r="BK16" s="1083"/>
      <c r="BL16" s="1083"/>
      <c r="BM16" s="1083"/>
      <c r="BN16" s="1083"/>
      <c r="BO16" s="1083"/>
      <c r="BP16" s="1083"/>
      <c r="BQ16" s="1083"/>
      <c r="BR16" s="1083"/>
      <c r="BS16" s="1083"/>
      <c r="BT16" s="1083"/>
      <c r="BU16" s="1083"/>
    </row>
    <row r="17" spans="1:73" x14ac:dyDescent="0.25">
      <c r="A17" s="1083"/>
      <c r="B17" s="1083"/>
      <c r="C17" s="1083"/>
      <c r="D17" s="1083"/>
      <c r="E17" s="1083"/>
      <c r="F17" s="1083"/>
      <c r="G17" s="1083"/>
      <c r="H17" s="1083"/>
      <c r="I17" s="1083"/>
      <c r="J17" s="1083"/>
      <c r="K17" s="1083"/>
      <c r="L17" s="1083"/>
      <c r="M17" s="1083"/>
      <c r="N17" s="1083"/>
      <c r="O17" s="1083"/>
      <c r="P17" s="1083"/>
      <c r="Q17" s="1083"/>
      <c r="R17" s="1083"/>
      <c r="S17" s="1083"/>
      <c r="T17" s="1083"/>
      <c r="U17" s="1083"/>
      <c r="V17" s="1459">
        <f t="shared" si="4"/>
        <v>0.15000000000000002</v>
      </c>
      <c r="W17" s="1097">
        <f t="shared" ca="1" si="3"/>
        <v>1.8109147761468352</v>
      </c>
      <c r="X17" s="1083"/>
      <c r="Y17" s="1083"/>
      <c r="Z17" s="1083"/>
      <c r="AA17" s="1083"/>
      <c r="AB17" s="1083"/>
      <c r="AC17" s="1083"/>
      <c r="AD17" s="1083"/>
      <c r="AE17" s="1083"/>
      <c r="AF17" s="1083"/>
      <c r="AG17" s="1083"/>
      <c r="AH17" s="1083"/>
      <c r="AI17" s="1083"/>
      <c r="AJ17" s="1083"/>
      <c r="AK17" s="1083"/>
      <c r="AL17" s="1083"/>
      <c r="AM17" s="1083"/>
      <c r="AN17" s="1083"/>
      <c r="AO17" s="1083"/>
      <c r="AP17" s="1083"/>
      <c r="AQ17" s="1083"/>
      <c r="AR17" s="1083"/>
      <c r="AS17" s="1083"/>
      <c r="AT17" s="1083"/>
      <c r="AU17" s="1083"/>
      <c r="AV17" s="1083"/>
      <c r="AW17" s="1083"/>
      <c r="AX17" s="1083"/>
      <c r="AY17" s="1083"/>
      <c r="AZ17" s="1083"/>
      <c r="BA17" s="1083"/>
      <c r="BB17" s="1083"/>
      <c r="BC17" s="1083"/>
      <c r="BD17" s="1083"/>
      <c r="BE17" s="1083"/>
      <c r="BF17" s="1083"/>
      <c r="BG17" s="1083"/>
      <c r="BH17" s="1083"/>
      <c r="BI17" s="1083"/>
      <c r="BJ17" s="1083"/>
      <c r="BK17" s="1083"/>
      <c r="BL17" s="1083"/>
      <c r="BM17" s="1083"/>
      <c r="BN17" s="1083"/>
      <c r="BO17" s="1083"/>
      <c r="BP17" s="1083"/>
      <c r="BQ17" s="1083"/>
      <c r="BR17" s="1083"/>
      <c r="BS17" s="1083"/>
      <c r="BT17" s="1083"/>
      <c r="BU17" s="1083"/>
    </row>
    <row r="18" spans="1:73" x14ac:dyDescent="0.25">
      <c r="A18" s="1083"/>
      <c r="B18" s="1083"/>
      <c r="C18" s="1083"/>
      <c r="D18" s="1083"/>
      <c r="E18" s="1083"/>
      <c r="F18" s="1083"/>
      <c r="G18" s="1083"/>
      <c r="H18" s="1083"/>
      <c r="I18" s="1083"/>
      <c r="J18" s="1083"/>
      <c r="K18" s="1083"/>
      <c r="L18" s="1083"/>
      <c r="M18" s="1083"/>
      <c r="N18" s="1083"/>
      <c r="O18" s="1083"/>
      <c r="P18" s="1083"/>
      <c r="Q18" s="1083"/>
      <c r="R18" s="1083"/>
      <c r="S18" s="1083"/>
      <c r="T18" s="1083"/>
      <c r="U18" s="1083"/>
      <c r="V18" s="1459">
        <f t="shared" si="4"/>
        <v>0.2</v>
      </c>
      <c r="W18" s="1097">
        <f t="shared" ca="1" si="3"/>
        <v>1.8182172947073751</v>
      </c>
      <c r="X18" s="1083"/>
      <c r="Y18" s="1083"/>
      <c r="Z18" s="1083"/>
      <c r="AA18" s="1083"/>
      <c r="AB18" s="1083"/>
      <c r="AC18" s="1083"/>
      <c r="AD18" s="1083"/>
      <c r="AE18" s="1083"/>
      <c r="AF18" s="1083"/>
      <c r="AG18" s="1083"/>
      <c r="AH18" s="1083"/>
      <c r="AI18" s="1083"/>
      <c r="AJ18" s="1083"/>
      <c r="AK18" s="1083"/>
      <c r="AL18" s="1083"/>
      <c r="AM18" s="1083"/>
      <c r="AN18" s="1083"/>
      <c r="AO18" s="1083"/>
      <c r="AP18" s="1083"/>
      <c r="AQ18" s="1083"/>
      <c r="AR18" s="1083"/>
      <c r="AS18" s="1083"/>
      <c r="AT18" s="1083"/>
      <c r="AU18" s="1083"/>
      <c r="AV18" s="1083"/>
      <c r="AW18" s="1083"/>
      <c r="AX18" s="1083"/>
      <c r="AY18" s="1083"/>
      <c r="AZ18" s="1083"/>
      <c r="BA18" s="1083"/>
      <c r="BB18" s="1083"/>
      <c r="BC18" s="1083"/>
      <c r="BD18" s="1083"/>
      <c r="BE18" s="1083"/>
      <c r="BF18" s="1083"/>
      <c r="BG18" s="1083"/>
      <c r="BH18" s="1083"/>
      <c r="BI18" s="1083"/>
      <c r="BJ18" s="1083"/>
      <c r="BK18" s="1083"/>
      <c r="BL18" s="1083"/>
      <c r="BM18" s="1083"/>
      <c r="BN18" s="1083"/>
      <c r="BO18" s="1083"/>
      <c r="BP18" s="1083"/>
      <c r="BQ18" s="1083"/>
      <c r="BR18" s="1083"/>
      <c r="BS18" s="1083"/>
      <c r="BT18" s="1083"/>
      <c r="BU18" s="1083"/>
    </row>
    <row r="19" spans="1:73" x14ac:dyDescent="0.25">
      <c r="A19" s="1083"/>
      <c r="B19" s="1083"/>
      <c r="C19" s="1083"/>
      <c r="D19" s="1083"/>
      <c r="E19" s="1083"/>
      <c r="F19" s="1083"/>
      <c r="G19" s="1083"/>
      <c r="H19" s="1083"/>
      <c r="I19" s="1083"/>
      <c r="J19" s="1083"/>
      <c r="K19" s="1083"/>
      <c r="L19" s="1083"/>
      <c r="M19" s="1083"/>
      <c r="N19" s="1083"/>
      <c r="O19" s="1083"/>
      <c r="P19" s="1083"/>
      <c r="Q19" s="1083"/>
      <c r="R19" s="1083"/>
      <c r="S19" s="1083"/>
      <c r="T19" s="1083"/>
      <c r="U19" s="1083"/>
      <c r="V19" s="1459">
        <f t="shared" si="4"/>
        <v>0.25</v>
      </c>
      <c r="W19" s="1097">
        <f t="shared" ca="1" si="3"/>
        <v>1.8245687023918962</v>
      </c>
      <c r="X19" s="1083"/>
      <c r="Y19" s="1083"/>
      <c r="Z19" s="1083"/>
      <c r="AA19" s="1083"/>
      <c r="AB19" s="1083"/>
      <c r="AC19" s="1083"/>
      <c r="AD19" s="1083"/>
      <c r="AE19" s="1083"/>
      <c r="AF19" s="1083"/>
      <c r="AG19" s="1083"/>
      <c r="AH19" s="1083"/>
      <c r="AI19" s="1083"/>
      <c r="AJ19" s="1083"/>
      <c r="AK19" s="1083"/>
      <c r="AL19" s="1083"/>
      <c r="AM19" s="1083"/>
      <c r="AN19" s="1083"/>
      <c r="AO19" s="1083"/>
      <c r="AP19" s="1083"/>
      <c r="AQ19" s="1083"/>
      <c r="AR19" s="1083"/>
      <c r="AS19" s="1083"/>
      <c r="AT19" s="1083"/>
      <c r="AU19" s="1083"/>
      <c r="AV19" s="1083"/>
      <c r="AW19" s="1083"/>
      <c r="AX19" s="1083"/>
      <c r="AY19" s="1083"/>
      <c r="AZ19" s="1083"/>
      <c r="BA19" s="1083"/>
      <c r="BB19" s="1083"/>
      <c r="BC19" s="1083"/>
      <c r="BD19" s="1083"/>
      <c r="BE19" s="1083"/>
      <c r="BF19" s="1083"/>
      <c r="BG19" s="1083"/>
      <c r="BH19" s="1083"/>
      <c r="BI19" s="1083"/>
      <c r="BJ19" s="1083"/>
      <c r="BK19" s="1083"/>
      <c r="BL19" s="1083"/>
      <c r="BM19" s="1083"/>
      <c r="BN19" s="1083"/>
      <c r="BO19" s="1083"/>
      <c r="BP19" s="1083"/>
      <c r="BQ19" s="1083"/>
      <c r="BR19" s="1083"/>
      <c r="BS19" s="1083"/>
      <c r="BT19" s="1083"/>
      <c r="BU19" s="1083"/>
    </row>
    <row r="20" spans="1:73" x14ac:dyDescent="0.25">
      <c r="A20" s="1083"/>
      <c r="B20" s="1083"/>
      <c r="C20" s="1083"/>
      <c r="D20" s="1083"/>
      <c r="E20" s="1083"/>
      <c r="F20" s="1083"/>
      <c r="G20" s="1083"/>
      <c r="H20" s="1083"/>
      <c r="I20" s="1083"/>
      <c r="J20" s="1083"/>
      <c r="K20" s="1083"/>
      <c r="L20" s="1083"/>
      <c r="M20" s="1083"/>
      <c r="N20" s="1083"/>
      <c r="O20" s="1083"/>
      <c r="P20" s="1083"/>
      <c r="Q20" s="1083"/>
      <c r="R20" s="1083"/>
      <c r="S20" s="1083"/>
      <c r="T20" s="1083"/>
      <c r="U20" s="1083"/>
      <c r="V20" s="1459">
        <f t="shared" si="4"/>
        <v>0.3</v>
      </c>
      <c r="W20" s="1097">
        <f t="shared" ca="1" si="3"/>
        <v>1.8295662661597494</v>
      </c>
      <c r="X20" s="1083"/>
      <c r="Y20" s="1083"/>
      <c r="Z20" s="1083"/>
      <c r="AA20" s="1083"/>
      <c r="AB20" s="1083"/>
      <c r="AC20" s="1083"/>
      <c r="AD20" s="1083"/>
      <c r="AE20" s="1083"/>
      <c r="AF20" s="1083"/>
      <c r="AG20" s="1083"/>
      <c r="AH20" s="1083"/>
      <c r="AI20" s="1083"/>
      <c r="AJ20" s="1083"/>
      <c r="AK20" s="1083"/>
      <c r="AL20" s="1083"/>
      <c r="AM20" s="1083"/>
      <c r="AN20" s="1083"/>
      <c r="AO20" s="1083"/>
      <c r="AP20" s="1083"/>
      <c r="AQ20" s="1083"/>
      <c r="AR20" s="1083"/>
      <c r="AS20" s="1083"/>
      <c r="AT20" s="1083"/>
      <c r="AU20" s="1083"/>
      <c r="AV20" s="1083"/>
      <c r="AW20" s="1083"/>
      <c r="AX20" s="1083"/>
      <c r="AY20" s="1083"/>
      <c r="AZ20" s="1083"/>
      <c r="BA20" s="1083"/>
      <c r="BB20" s="1083"/>
      <c r="BC20" s="1083"/>
      <c r="BD20" s="1083"/>
      <c r="BE20" s="1083"/>
      <c r="BF20" s="1083"/>
      <c r="BG20" s="1083"/>
      <c r="BH20" s="1083"/>
      <c r="BI20" s="1083"/>
      <c r="BJ20" s="1083"/>
      <c r="BK20" s="1083"/>
      <c r="BL20" s="1083"/>
      <c r="BM20" s="1083"/>
      <c r="BN20" s="1083"/>
      <c r="BO20" s="1083"/>
      <c r="BP20" s="1083"/>
      <c r="BQ20" s="1083"/>
      <c r="BR20" s="1083"/>
      <c r="BS20" s="1083"/>
      <c r="BT20" s="1083"/>
      <c r="BU20" s="1083"/>
    </row>
    <row r="21" spans="1:73" x14ac:dyDescent="0.25">
      <c r="A21" s="1083"/>
      <c r="B21" s="1083"/>
      <c r="C21" s="1083"/>
      <c r="D21" s="1083"/>
      <c r="E21" s="1083"/>
      <c r="F21" s="1083"/>
      <c r="G21" s="1083"/>
      <c r="H21" s="1083"/>
      <c r="I21" s="1083"/>
      <c r="J21" s="1083"/>
      <c r="K21" s="1083"/>
      <c r="L21" s="1083"/>
      <c r="M21" s="1083"/>
      <c r="N21" s="1083"/>
      <c r="O21" s="1083"/>
      <c r="P21" s="1083"/>
      <c r="Q21" s="1083"/>
      <c r="R21" s="1083"/>
      <c r="S21" s="1083"/>
      <c r="T21" s="1083"/>
      <c r="U21" s="1083"/>
      <c r="V21" s="1459">
        <f t="shared" si="4"/>
        <v>0.35</v>
      </c>
      <c r="W21" s="1097">
        <f t="shared" ca="1" si="3"/>
        <v>1.8340580812551659</v>
      </c>
      <c r="X21" s="1083"/>
      <c r="Y21" s="1083"/>
      <c r="Z21" s="1083"/>
      <c r="AA21" s="1083"/>
      <c r="AB21" s="1083"/>
      <c r="AC21" s="1083"/>
      <c r="AD21" s="1083"/>
      <c r="AE21" s="1083"/>
      <c r="AF21" s="1083"/>
      <c r="AG21" s="1083"/>
      <c r="AH21" s="1083"/>
      <c r="AI21" s="1083"/>
      <c r="AJ21" s="1083"/>
      <c r="AK21" s="1083"/>
      <c r="AL21" s="1083"/>
      <c r="AM21" s="1083"/>
      <c r="AN21" s="1083"/>
      <c r="AO21" s="1083"/>
      <c r="AP21" s="1083"/>
      <c r="AQ21" s="1083"/>
      <c r="AR21" s="1083"/>
      <c r="AS21" s="1083"/>
      <c r="AT21" s="1083"/>
      <c r="AU21" s="1083"/>
      <c r="AV21" s="1083"/>
      <c r="AW21" s="1083"/>
      <c r="AX21" s="1083"/>
      <c r="AY21" s="1083"/>
      <c r="AZ21" s="1083"/>
      <c r="BA21" s="1083"/>
      <c r="BB21" s="1083"/>
      <c r="BC21" s="1083"/>
      <c r="BD21" s="1083"/>
      <c r="BE21" s="1083"/>
      <c r="BF21" s="1083"/>
      <c r="BG21" s="1083"/>
      <c r="BH21" s="1083"/>
      <c r="BI21" s="1083"/>
      <c r="BJ21" s="1083"/>
      <c r="BK21" s="1083"/>
      <c r="BL21" s="1083"/>
      <c r="BM21" s="1083"/>
      <c r="BN21" s="1083"/>
      <c r="BO21" s="1083"/>
      <c r="BP21" s="1083"/>
      <c r="BQ21" s="1083"/>
      <c r="BR21" s="1083"/>
      <c r="BS21" s="1083"/>
      <c r="BT21" s="1083"/>
      <c r="BU21" s="1083"/>
    </row>
    <row r="22" spans="1:73" x14ac:dyDescent="0.25">
      <c r="A22" s="1083"/>
      <c r="B22" s="1083"/>
      <c r="C22" s="1083"/>
      <c r="D22" s="1083"/>
      <c r="E22" s="1083"/>
      <c r="F22" s="1083"/>
      <c r="G22" s="1083"/>
      <c r="H22" s="1083"/>
      <c r="I22" s="1083"/>
      <c r="J22" s="1083"/>
      <c r="K22" s="1083"/>
      <c r="L22" s="1083"/>
      <c r="M22" s="1083"/>
      <c r="N22" s="1083"/>
      <c r="O22" s="1083"/>
      <c r="P22" s="1083"/>
      <c r="Q22" s="1083"/>
      <c r="R22" s="1083"/>
      <c r="S22" s="1083"/>
      <c r="T22" s="1083"/>
      <c r="U22" s="1083"/>
      <c r="V22" s="1459">
        <f t="shared" si="4"/>
        <v>0.39999999999999997</v>
      </c>
      <c r="W22" s="1097">
        <f t="shared" ca="1" si="3"/>
        <v>1.8392302900673045</v>
      </c>
      <c r="X22" s="1083"/>
      <c r="Y22" s="1083"/>
      <c r="Z22" s="1083"/>
      <c r="AA22" s="1083"/>
      <c r="AB22" s="1083"/>
      <c r="AC22" s="1083"/>
      <c r="AD22" s="1083"/>
      <c r="AE22" s="1083"/>
      <c r="AF22" s="1083"/>
      <c r="AG22" s="1083"/>
      <c r="AH22" s="1083"/>
      <c r="AI22" s="1083"/>
      <c r="AJ22" s="1083"/>
      <c r="AK22" s="1083"/>
      <c r="AL22" s="1083"/>
      <c r="AM22" s="1083"/>
      <c r="AN22" s="1083"/>
      <c r="AO22" s="1083"/>
      <c r="AP22" s="1083"/>
      <c r="AQ22" s="1083"/>
      <c r="AR22" s="1083"/>
      <c r="AS22" s="1083"/>
      <c r="AT22" s="1083"/>
      <c r="AU22" s="1083"/>
      <c r="AV22" s="1083"/>
      <c r="AW22" s="1083"/>
      <c r="AX22" s="1083"/>
      <c r="AY22" s="1083"/>
      <c r="AZ22" s="1083"/>
      <c r="BA22" s="1083"/>
      <c r="BB22" s="1083"/>
      <c r="BC22" s="1083"/>
      <c r="BD22" s="1083"/>
      <c r="BE22" s="1083"/>
      <c r="BF22" s="1083"/>
      <c r="BG22" s="1083"/>
      <c r="BH22" s="1083"/>
      <c r="BI22" s="1083"/>
      <c r="BJ22" s="1083"/>
      <c r="BK22" s="1083"/>
      <c r="BL22" s="1083"/>
      <c r="BM22" s="1083"/>
      <c r="BN22" s="1083"/>
      <c r="BO22" s="1083"/>
      <c r="BP22" s="1083"/>
      <c r="BQ22" s="1083"/>
      <c r="BR22" s="1083"/>
      <c r="BS22" s="1083"/>
      <c r="BT22" s="1083"/>
      <c r="BU22" s="1083"/>
    </row>
    <row r="23" spans="1:73" x14ac:dyDescent="0.25">
      <c r="A23" s="1083"/>
      <c r="B23" s="1083"/>
      <c r="C23" s="1083"/>
      <c r="D23" s="1083"/>
      <c r="E23" s="1083"/>
      <c r="F23" s="1083"/>
      <c r="G23" s="1083"/>
      <c r="H23" s="1083"/>
      <c r="I23" s="1083"/>
      <c r="J23" s="1083"/>
      <c r="K23" s="1083"/>
      <c r="L23" s="1083"/>
      <c r="M23" s="1083"/>
      <c r="N23" s="1083"/>
      <c r="O23" s="1083"/>
      <c r="P23" s="1083"/>
      <c r="Q23" s="1083"/>
      <c r="R23" s="1083"/>
      <c r="S23" s="1083"/>
      <c r="T23" s="1083"/>
      <c r="U23" s="1083"/>
      <c r="V23" s="1459">
        <f t="shared" si="4"/>
        <v>0.44999999999999996</v>
      </c>
      <c r="W23" s="1097">
        <f t="shared" ca="1" si="3"/>
        <v>1.8437482003666585</v>
      </c>
      <c r="X23" s="1083"/>
      <c r="Y23" s="1083"/>
      <c r="Z23" s="1083"/>
      <c r="AA23" s="1083"/>
      <c r="AB23" s="1083"/>
      <c r="AC23" s="1083"/>
      <c r="AD23" s="1083"/>
      <c r="AE23" s="1083"/>
      <c r="AF23" s="1083"/>
      <c r="AG23" s="1083"/>
      <c r="AH23" s="1083"/>
      <c r="AI23" s="1083"/>
      <c r="AJ23" s="1083"/>
      <c r="AK23" s="1083"/>
      <c r="AL23" s="1083"/>
      <c r="AM23" s="1083"/>
      <c r="AN23" s="1083"/>
      <c r="AO23" s="1083"/>
      <c r="AP23" s="1083"/>
      <c r="AQ23" s="1083"/>
      <c r="AR23" s="1083"/>
      <c r="AS23" s="1083"/>
      <c r="AT23" s="1083"/>
      <c r="AU23" s="1083"/>
      <c r="AV23" s="1083"/>
      <c r="AW23" s="1083"/>
      <c r="AX23" s="1083"/>
      <c r="AY23" s="1083"/>
      <c r="AZ23" s="1083"/>
      <c r="BA23" s="1083"/>
      <c r="BB23" s="1083"/>
      <c r="BC23" s="1083"/>
      <c r="BD23" s="1083"/>
      <c r="BE23" s="1083"/>
      <c r="BF23" s="1083"/>
      <c r="BG23" s="1083"/>
      <c r="BH23" s="1083"/>
      <c r="BI23" s="1083"/>
      <c r="BJ23" s="1083"/>
      <c r="BK23" s="1083"/>
      <c r="BL23" s="1083"/>
      <c r="BM23" s="1083"/>
      <c r="BN23" s="1083"/>
      <c r="BO23" s="1083"/>
      <c r="BP23" s="1083"/>
      <c r="BQ23" s="1083"/>
      <c r="BR23" s="1083"/>
      <c r="BS23" s="1083"/>
      <c r="BT23" s="1083"/>
      <c r="BU23" s="1083"/>
    </row>
    <row r="24" spans="1:73" x14ac:dyDescent="0.25">
      <c r="A24" s="1083"/>
      <c r="B24" s="1083"/>
      <c r="C24" s="1083"/>
      <c r="D24" s="1083"/>
      <c r="E24" s="1083"/>
      <c r="F24" s="1083"/>
      <c r="G24" s="1083"/>
      <c r="H24" s="1083"/>
      <c r="I24" s="1083"/>
      <c r="J24" s="1083"/>
      <c r="K24" s="1083"/>
      <c r="L24" s="1083"/>
      <c r="M24" s="1083"/>
      <c r="N24" s="1083"/>
      <c r="O24" s="1083"/>
      <c r="P24" s="1083"/>
      <c r="Q24" s="1083"/>
      <c r="R24" s="1083"/>
      <c r="S24" s="1083"/>
      <c r="T24" s="1083"/>
      <c r="U24" s="1083"/>
      <c r="V24" s="1460">
        <f t="shared" si="4"/>
        <v>0.49999999999999994</v>
      </c>
      <c r="W24" s="1461">
        <f t="shared" ca="1" si="3"/>
        <v>1.8488655970971672</v>
      </c>
      <c r="X24" s="1083"/>
      <c r="Y24" s="1083"/>
      <c r="Z24" s="1083"/>
      <c r="AA24" s="1083"/>
      <c r="AB24" s="1083"/>
      <c r="AC24" s="1083"/>
      <c r="AD24" s="1083"/>
      <c r="AE24" s="1083"/>
      <c r="AF24" s="1083"/>
      <c r="AG24" s="1083"/>
      <c r="AH24" s="1083"/>
      <c r="AI24" s="1083"/>
      <c r="AJ24" s="1083"/>
      <c r="AK24" s="1083"/>
      <c r="AL24" s="1083"/>
      <c r="AM24" s="1083"/>
      <c r="AN24" s="1083"/>
      <c r="AO24" s="1083"/>
      <c r="AP24" s="1083"/>
      <c r="AQ24" s="1083"/>
      <c r="AR24" s="1083"/>
      <c r="AS24" s="1083"/>
      <c r="AT24" s="1083"/>
      <c r="AU24" s="1083"/>
      <c r="AV24" s="1083"/>
      <c r="AW24" s="1083"/>
      <c r="AX24" s="1083"/>
      <c r="AY24" s="1083"/>
      <c r="AZ24" s="1083"/>
      <c r="BA24" s="1083"/>
      <c r="BB24" s="1083"/>
      <c r="BC24" s="1083"/>
      <c r="BD24" s="1083"/>
      <c r="BE24" s="1083"/>
      <c r="BF24" s="1083"/>
      <c r="BG24" s="1083"/>
      <c r="BH24" s="1083"/>
      <c r="BI24" s="1083"/>
      <c r="BJ24" s="1083"/>
      <c r="BK24" s="1083"/>
      <c r="BL24" s="1083"/>
      <c r="BM24" s="1083"/>
      <c r="BN24" s="1083"/>
      <c r="BO24" s="1083"/>
      <c r="BP24" s="1083"/>
      <c r="BQ24" s="1083"/>
      <c r="BR24" s="1083"/>
      <c r="BS24" s="1083"/>
      <c r="BT24" s="1083"/>
      <c r="BU24" s="1083"/>
    </row>
    <row r="25" spans="1:73" x14ac:dyDescent="0.25">
      <c r="A25" s="1083"/>
      <c r="B25" s="1083"/>
      <c r="C25" s="1083"/>
      <c r="D25" s="1083"/>
      <c r="E25" s="1083"/>
      <c r="F25" s="1083"/>
      <c r="G25" s="1083"/>
      <c r="H25" s="1083"/>
      <c r="I25" s="1083"/>
      <c r="J25" s="1083"/>
      <c r="K25" s="1083"/>
      <c r="L25" s="1083"/>
      <c r="M25" s="1083"/>
      <c r="N25" s="1083"/>
      <c r="O25" s="1083"/>
      <c r="P25" s="1083"/>
      <c r="Q25" s="1083"/>
      <c r="R25" s="1083"/>
      <c r="S25" s="1083"/>
      <c r="T25" s="1083"/>
      <c r="U25" s="1083"/>
      <c r="V25" s="1459">
        <f t="shared" si="4"/>
        <v>0.54999999999999993</v>
      </c>
      <c r="W25" s="1097">
        <f t="shared" ca="1" si="3"/>
        <v>1.8537039228791343</v>
      </c>
      <c r="X25" s="1083"/>
      <c r="Y25" s="1083"/>
      <c r="Z25" s="1083"/>
      <c r="AA25" s="1083"/>
      <c r="AB25" s="1083"/>
      <c r="AC25" s="1083"/>
      <c r="AD25" s="1083"/>
      <c r="AE25" s="1083"/>
      <c r="AF25" s="1083"/>
      <c r="AG25" s="1083"/>
      <c r="AH25" s="1083"/>
      <c r="AI25" s="1083"/>
      <c r="AJ25" s="1083"/>
      <c r="AK25" s="1083"/>
      <c r="AL25" s="1083"/>
      <c r="AM25" s="1083"/>
      <c r="AN25" s="1083"/>
      <c r="AO25" s="1083"/>
      <c r="AP25" s="1083"/>
      <c r="AQ25" s="1083"/>
      <c r="AR25" s="1083"/>
      <c r="AS25" s="1083"/>
      <c r="AT25" s="1083"/>
      <c r="AU25" s="1083"/>
      <c r="AV25" s="1083"/>
      <c r="AW25" s="1083"/>
      <c r="AX25" s="1083"/>
      <c r="AY25" s="1083"/>
      <c r="AZ25" s="1083"/>
      <c r="BA25" s="1083"/>
      <c r="BB25" s="1083"/>
      <c r="BC25" s="1083"/>
      <c r="BD25" s="1083"/>
      <c r="BE25" s="1083"/>
      <c r="BF25" s="1083"/>
      <c r="BG25" s="1083"/>
      <c r="BH25" s="1083"/>
      <c r="BI25" s="1083"/>
      <c r="BJ25" s="1083"/>
      <c r="BK25" s="1083"/>
      <c r="BL25" s="1083"/>
      <c r="BM25" s="1083"/>
      <c r="BN25" s="1083"/>
      <c r="BO25" s="1083"/>
      <c r="BP25" s="1083"/>
      <c r="BQ25" s="1083"/>
      <c r="BR25" s="1083"/>
      <c r="BS25" s="1083"/>
      <c r="BT25" s="1083"/>
      <c r="BU25" s="1083"/>
    </row>
    <row r="26" spans="1:73" x14ac:dyDescent="0.25">
      <c r="A26" s="1083"/>
      <c r="B26" s="1083"/>
      <c r="C26" s="1083"/>
      <c r="D26" s="1083"/>
      <c r="E26" s="1083"/>
      <c r="F26" s="1083"/>
      <c r="G26" s="1083"/>
      <c r="H26" s="1083"/>
      <c r="I26" s="1083"/>
      <c r="J26" s="1083"/>
      <c r="K26" s="1083"/>
      <c r="L26" s="1083"/>
      <c r="M26" s="1083"/>
      <c r="N26" s="1083"/>
      <c r="O26" s="1083"/>
      <c r="P26" s="1083"/>
      <c r="Q26" s="1083"/>
      <c r="R26" s="1083"/>
      <c r="S26" s="1083"/>
      <c r="T26" s="1083"/>
      <c r="U26" s="1083"/>
      <c r="V26" s="1459">
        <f t="shared" si="4"/>
        <v>0.6</v>
      </c>
      <c r="W26" s="1097">
        <f t="shared" ca="1" si="3"/>
        <v>1.8577362491679661</v>
      </c>
      <c r="X26" s="1083"/>
      <c r="Y26" s="1083"/>
      <c r="Z26" s="1083"/>
      <c r="AA26" s="1083"/>
      <c r="AB26" s="1083"/>
      <c r="AC26" s="1083"/>
      <c r="AD26" s="1083"/>
      <c r="AE26" s="1083"/>
      <c r="AF26" s="1083"/>
      <c r="AG26" s="1083"/>
      <c r="AH26" s="1083"/>
      <c r="AI26" s="1083"/>
      <c r="AJ26" s="1083"/>
      <c r="AK26" s="1083"/>
      <c r="AL26" s="1083"/>
      <c r="AM26" s="1083"/>
      <c r="AN26" s="1083"/>
      <c r="AO26" s="1083"/>
      <c r="AP26" s="1083"/>
      <c r="AQ26" s="1083"/>
      <c r="AR26" s="1083"/>
      <c r="AS26" s="1083"/>
      <c r="AT26" s="1083"/>
      <c r="AU26" s="1083"/>
      <c r="AV26" s="1083"/>
      <c r="AW26" s="1083"/>
      <c r="AX26" s="1083"/>
      <c r="AY26" s="1083"/>
      <c r="AZ26" s="1083"/>
      <c r="BA26" s="1083"/>
      <c r="BB26" s="1083"/>
      <c r="BC26" s="1083"/>
      <c r="BD26" s="1083"/>
      <c r="BE26" s="1083"/>
      <c r="BF26" s="1083"/>
      <c r="BG26" s="1083"/>
      <c r="BH26" s="1083"/>
      <c r="BI26" s="1083"/>
      <c r="BJ26" s="1083"/>
      <c r="BK26" s="1083"/>
      <c r="BL26" s="1083"/>
      <c r="BM26" s="1083"/>
      <c r="BN26" s="1083"/>
      <c r="BO26" s="1083"/>
      <c r="BP26" s="1083"/>
      <c r="BQ26" s="1083"/>
      <c r="BR26" s="1083"/>
      <c r="BS26" s="1083"/>
      <c r="BT26" s="1083"/>
      <c r="BU26" s="1083"/>
    </row>
    <row r="27" spans="1:73" x14ac:dyDescent="0.25">
      <c r="A27" s="1083"/>
      <c r="B27" s="1083"/>
      <c r="C27" s="1083"/>
      <c r="D27" s="1083"/>
      <c r="E27" s="1083"/>
      <c r="F27" s="1083"/>
      <c r="G27" s="1083"/>
      <c r="H27" s="1083"/>
      <c r="I27" s="1083"/>
      <c r="J27" s="1083"/>
      <c r="K27" s="1083"/>
      <c r="L27" s="1083"/>
      <c r="M27" s="1083"/>
      <c r="N27" s="1083"/>
      <c r="O27" s="1083"/>
      <c r="P27" s="1083"/>
      <c r="Q27" s="1083"/>
      <c r="R27" s="1083"/>
      <c r="S27" s="1083"/>
      <c r="T27" s="1083"/>
      <c r="U27" s="1083"/>
      <c r="V27" s="1459">
        <f t="shared" si="4"/>
        <v>0.65</v>
      </c>
      <c r="W27" s="1097">
        <f t="shared" ca="1" si="3"/>
        <v>1.8620356283377375</v>
      </c>
      <c r="X27" s="1083"/>
      <c r="Y27" s="1083"/>
      <c r="Z27" s="1083"/>
      <c r="AA27" s="1083"/>
      <c r="AB27" s="1083"/>
      <c r="AC27" s="1083"/>
      <c r="AD27" s="1083"/>
      <c r="AE27" s="1083"/>
      <c r="AF27" s="1083"/>
      <c r="AG27" s="1083"/>
      <c r="AH27" s="1083"/>
      <c r="AI27" s="1083"/>
      <c r="AJ27" s="1083"/>
      <c r="AK27" s="1083"/>
      <c r="AL27" s="1083"/>
      <c r="AM27" s="1083"/>
      <c r="AN27" s="1083"/>
      <c r="AO27" s="1083"/>
      <c r="AP27" s="1083"/>
      <c r="AQ27" s="1083"/>
      <c r="AR27" s="1083"/>
      <c r="AS27" s="1083"/>
      <c r="AT27" s="1083"/>
      <c r="AU27" s="1083"/>
      <c r="AV27" s="1083"/>
      <c r="AW27" s="1083"/>
      <c r="AX27" s="1083"/>
      <c r="AY27" s="1083"/>
      <c r="AZ27" s="1083"/>
      <c r="BA27" s="1083"/>
      <c r="BB27" s="1083"/>
      <c r="BC27" s="1083"/>
      <c r="BD27" s="1083"/>
      <c r="BE27" s="1083"/>
      <c r="BF27" s="1083"/>
      <c r="BG27" s="1083"/>
      <c r="BH27" s="1083"/>
      <c r="BI27" s="1083"/>
      <c r="BJ27" s="1083"/>
      <c r="BK27" s="1083"/>
      <c r="BL27" s="1083"/>
      <c r="BM27" s="1083"/>
      <c r="BN27" s="1083"/>
      <c r="BO27" s="1083"/>
      <c r="BP27" s="1083"/>
      <c r="BQ27" s="1083"/>
      <c r="BR27" s="1083"/>
      <c r="BS27" s="1083"/>
      <c r="BT27" s="1083"/>
      <c r="BU27" s="1083"/>
    </row>
    <row r="28" spans="1:73" x14ac:dyDescent="0.25">
      <c r="A28" s="1083"/>
      <c r="B28" s="1083"/>
      <c r="C28" s="1083"/>
      <c r="D28" s="1083"/>
      <c r="E28" s="1083"/>
      <c r="F28" s="1083"/>
      <c r="G28" s="1083"/>
      <c r="H28" s="1083"/>
      <c r="I28" s="1083"/>
      <c r="J28" s="1083"/>
      <c r="K28" s="1083"/>
      <c r="L28" s="1083"/>
      <c r="M28" s="1083"/>
      <c r="N28" s="1083"/>
      <c r="O28" s="1083"/>
      <c r="P28" s="1083"/>
      <c r="Q28" s="1083"/>
      <c r="R28" s="1083"/>
      <c r="S28" s="1083"/>
      <c r="T28" s="1083"/>
      <c r="U28" s="1083"/>
      <c r="V28" s="1459">
        <f t="shared" si="4"/>
        <v>0.70000000000000007</v>
      </c>
      <c r="W28" s="1097">
        <f t="shared" ca="1" si="3"/>
        <v>1.8673059111202828</v>
      </c>
      <c r="X28" s="1083"/>
      <c r="Y28" s="1083"/>
      <c r="Z28" s="1083"/>
      <c r="AA28" s="1083"/>
      <c r="AB28" s="1083"/>
      <c r="AC28" s="1083"/>
      <c r="AD28" s="1083"/>
      <c r="AE28" s="1083"/>
      <c r="AF28" s="1083"/>
      <c r="AG28" s="1083"/>
      <c r="AH28" s="1083"/>
      <c r="AI28" s="1083"/>
      <c r="AJ28" s="1083"/>
      <c r="AK28" s="1083"/>
      <c r="AL28" s="1083"/>
      <c r="AM28" s="1083"/>
      <c r="AN28" s="1083"/>
      <c r="AO28" s="1083"/>
      <c r="AP28" s="1083"/>
      <c r="AQ28" s="1083"/>
      <c r="AR28" s="1083"/>
      <c r="AS28" s="1083"/>
      <c r="AT28" s="1083"/>
      <c r="AU28" s="1083"/>
      <c r="AV28" s="1083"/>
      <c r="AW28" s="1083"/>
      <c r="AX28" s="1083"/>
      <c r="AY28" s="1083"/>
      <c r="AZ28" s="1083"/>
      <c r="BA28" s="1083"/>
      <c r="BB28" s="1083"/>
      <c r="BC28" s="1083"/>
      <c r="BD28" s="1083"/>
      <c r="BE28" s="1083"/>
      <c r="BF28" s="1083"/>
      <c r="BG28" s="1083"/>
      <c r="BH28" s="1083"/>
      <c r="BI28" s="1083"/>
      <c r="BJ28" s="1083"/>
      <c r="BK28" s="1083"/>
      <c r="BL28" s="1083"/>
      <c r="BM28" s="1083"/>
      <c r="BN28" s="1083"/>
      <c r="BO28" s="1083"/>
      <c r="BP28" s="1083"/>
      <c r="BQ28" s="1083"/>
      <c r="BR28" s="1083"/>
      <c r="BS28" s="1083"/>
      <c r="BT28" s="1083"/>
      <c r="BU28" s="1083"/>
    </row>
    <row r="29" spans="1:73" x14ac:dyDescent="0.25">
      <c r="A29" s="1083"/>
      <c r="B29" s="1083"/>
      <c r="C29" s="1083"/>
      <c r="D29" s="1083"/>
      <c r="E29" s="1083"/>
      <c r="F29" s="1083"/>
      <c r="G29" s="1083"/>
      <c r="H29" s="1083"/>
      <c r="I29" s="1083"/>
      <c r="J29" s="1083"/>
      <c r="K29" s="1083"/>
      <c r="L29" s="1083"/>
      <c r="M29" s="1083"/>
      <c r="N29" s="1083"/>
      <c r="O29" s="1083"/>
      <c r="P29" s="1083"/>
      <c r="Q29" s="1083"/>
      <c r="R29" s="1083"/>
      <c r="S29" s="1083"/>
      <c r="T29" s="1083"/>
      <c r="U29" s="1083"/>
      <c r="V29" s="1459">
        <f t="shared" si="4"/>
        <v>0.75000000000000011</v>
      </c>
      <c r="W29" s="1097">
        <f t="shared" ca="1" si="3"/>
        <v>1.8725969092099122</v>
      </c>
      <c r="X29" s="1083"/>
      <c r="Y29" s="1083"/>
      <c r="Z29" s="1083"/>
      <c r="AA29" s="1083"/>
      <c r="AB29" s="1083"/>
      <c r="AC29" s="1083"/>
      <c r="AD29" s="1083"/>
      <c r="AE29" s="1083"/>
      <c r="AF29" s="1083"/>
      <c r="AG29" s="1083"/>
      <c r="AH29" s="1083"/>
      <c r="AI29" s="1083"/>
      <c r="AJ29" s="1083"/>
      <c r="AK29" s="1083"/>
      <c r="AL29" s="1083"/>
      <c r="AM29" s="1083"/>
      <c r="AN29" s="1083"/>
      <c r="AO29" s="1083"/>
      <c r="AP29" s="1083"/>
      <c r="AQ29" s="1083"/>
      <c r="AR29" s="1083"/>
      <c r="AS29" s="1083"/>
      <c r="AT29" s="1083"/>
      <c r="AU29" s="1083"/>
      <c r="AV29" s="1083"/>
      <c r="AW29" s="1083"/>
      <c r="AX29" s="1083"/>
      <c r="AY29" s="1083"/>
      <c r="AZ29" s="1083"/>
      <c r="BA29" s="1083"/>
      <c r="BB29" s="1083"/>
      <c r="BC29" s="1083"/>
      <c r="BD29" s="1083"/>
      <c r="BE29" s="1083"/>
      <c r="BF29" s="1083"/>
      <c r="BG29" s="1083"/>
      <c r="BH29" s="1083"/>
      <c r="BI29" s="1083"/>
      <c r="BJ29" s="1083"/>
      <c r="BK29" s="1083"/>
      <c r="BL29" s="1083"/>
      <c r="BM29" s="1083"/>
      <c r="BN29" s="1083"/>
      <c r="BO29" s="1083"/>
      <c r="BP29" s="1083"/>
      <c r="BQ29" s="1083"/>
      <c r="BR29" s="1083"/>
      <c r="BS29" s="1083"/>
      <c r="BT29" s="1083"/>
      <c r="BU29" s="1083"/>
    </row>
    <row r="30" spans="1:73" x14ac:dyDescent="0.25">
      <c r="A30" s="1083"/>
      <c r="B30" s="1083"/>
      <c r="C30" s="1083"/>
      <c r="D30" s="1083"/>
      <c r="E30" s="1083"/>
      <c r="F30" s="1084"/>
      <c r="G30" s="1083"/>
      <c r="H30" s="1083"/>
      <c r="I30" s="1083"/>
      <c r="J30" s="1083"/>
      <c r="K30" s="1083"/>
      <c r="L30" s="1083"/>
      <c r="M30" s="1083"/>
      <c r="N30" s="1083"/>
      <c r="O30" s="1083"/>
      <c r="P30" s="1083"/>
      <c r="Q30" s="1083"/>
      <c r="R30" s="1083"/>
      <c r="S30" s="1083"/>
      <c r="T30" s="1083"/>
      <c r="U30" s="1083"/>
      <c r="V30" s="1459">
        <f t="shared" si="4"/>
        <v>0.80000000000000016</v>
      </c>
      <c r="W30" s="1097">
        <f t="shared" ca="1" si="3"/>
        <v>1.8787540694962839</v>
      </c>
      <c r="X30" s="1083"/>
      <c r="Y30" s="1083"/>
      <c r="Z30" s="1083"/>
      <c r="AA30" s="1083"/>
      <c r="AB30" s="1083"/>
      <c r="AC30" s="1083"/>
      <c r="AD30" s="1083"/>
      <c r="AE30" s="1083"/>
      <c r="AF30" s="1083"/>
      <c r="AG30" s="1083"/>
      <c r="AH30" s="1083"/>
      <c r="AI30" s="1083"/>
      <c r="AJ30" s="1083"/>
      <c r="AK30" s="1083"/>
      <c r="AL30" s="1083"/>
      <c r="AM30" s="1083"/>
      <c r="AN30" s="1083"/>
      <c r="AO30" s="1083"/>
      <c r="AP30" s="1083"/>
      <c r="AQ30" s="1083"/>
      <c r="AR30" s="1083"/>
      <c r="AS30" s="1083"/>
      <c r="AT30" s="1083"/>
      <c r="AU30" s="1083"/>
      <c r="AV30" s="1083"/>
      <c r="AW30" s="1083"/>
      <c r="AX30" s="1083"/>
      <c r="AY30" s="1083"/>
      <c r="AZ30" s="1083"/>
      <c r="BA30" s="1083"/>
      <c r="BB30" s="1083"/>
      <c r="BC30" s="1083"/>
      <c r="BD30" s="1083"/>
      <c r="BE30" s="1083"/>
      <c r="BF30" s="1083"/>
      <c r="BG30" s="1083"/>
      <c r="BH30" s="1083"/>
      <c r="BI30" s="1083"/>
      <c r="BJ30" s="1083"/>
      <c r="BK30" s="1083"/>
      <c r="BL30" s="1083"/>
      <c r="BM30" s="1083"/>
      <c r="BN30" s="1083"/>
      <c r="BO30" s="1083"/>
      <c r="BP30" s="1083"/>
      <c r="BQ30" s="1083"/>
      <c r="BR30" s="1083"/>
      <c r="BS30" s="1083"/>
      <c r="BT30" s="1083"/>
      <c r="BU30" s="1083"/>
    </row>
    <row r="31" spans="1:73" x14ac:dyDescent="0.25">
      <c r="A31" s="1083"/>
      <c r="B31" s="1083"/>
      <c r="C31" s="1083"/>
      <c r="D31" s="1083"/>
      <c r="E31" s="1083"/>
      <c r="F31" s="1083"/>
      <c r="G31" s="1083"/>
      <c r="H31" s="1083"/>
      <c r="I31" s="1083"/>
      <c r="J31" s="1083"/>
      <c r="K31" s="1083"/>
      <c r="L31" s="1083"/>
      <c r="M31" s="1083"/>
      <c r="N31" s="1083"/>
      <c r="O31" s="1083"/>
      <c r="P31" s="1083"/>
      <c r="Q31" s="1083"/>
      <c r="R31" s="1083"/>
      <c r="S31" s="1083"/>
      <c r="T31" s="1083"/>
      <c r="U31" s="1083"/>
      <c r="V31" s="1459">
        <f t="shared" si="4"/>
        <v>0.8500000000000002</v>
      </c>
      <c r="W31" s="1097">
        <f t="shared" ca="1" si="3"/>
        <v>1.8864614206678405</v>
      </c>
      <c r="X31" s="1083"/>
      <c r="Y31" s="1083"/>
      <c r="Z31" s="1083"/>
      <c r="AA31" s="1083"/>
      <c r="AB31" s="1083"/>
      <c r="AC31" s="1083"/>
      <c r="AD31" s="1083"/>
      <c r="AE31" s="1083"/>
      <c r="AF31" s="1083"/>
      <c r="AG31" s="1083"/>
      <c r="AH31" s="1083"/>
      <c r="AI31" s="1083"/>
      <c r="AJ31" s="1083"/>
      <c r="AK31" s="1083"/>
      <c r="AL31" s="1083"/>
      <c r="AM31" s="1083"/>
      <c r="AN31" s="1083"/>
      <c r="AO31" s="1083"/>
      <c r="AP31" s="1083"/>
      <c r="AQ31" s="1083"/>
      <c r="AR31" s="1083"/>
      <c r="AS31" s="1083"/>
      <c r="AT31" s="1083"/>
      <c r="AU31" s="1083"/>
      <c r="AV31" s="1083"/>
      <c r="AW31" s="1083"/>
      <c r="AX31" s="1083"/>
      <c r="AY31" s="1083"/>
      <c r="AZ31" s="1083"/>
      <c r="BA31" s="1083"/>
      <c r="BB31" s="1083"/>
      <c r="BC31" s="1083"/>
      <c r="BD31" s="1083"/>
      <c r="BE31" s="1083"/>
      <c r="BF31" s="1083"/>
      <c r="BG31" s="1083"/>
      <c r="BH31" s="1083"/>
      <c r="BI31" s="1083"/>
      <c r="BJ31" s="1083"/>
      <c r="BK31" s="1083"/>
      <c r="BL31" s="1083"/>
      <c r="BM31" s="1083"/>
      <c r="BN31" s="1083"/>
      <c r="BO31" s="1083"/>
      <c r="BP31" s="1083"/>
      <c r="BQ31" s="1083"/>
      <c r="BR31" s="1083"/>
      <c r="BS31" s="1083"/>
      <c r="BT31" s="1083"/>
      <c r="BU31" s="1083"/>
    </row>
    <row r="32" spans="1:73" x14ac:dyDescent="0.25">
      <c r="A32" s="1083"/>
      <c r="B32" s="1083"/>
      <c r="C32" s="1083"/>
      <c r="D32" s="1083"/>
      <c r="E32" s="1083"/>
      <c r="F32" s="1083"/>
      <c r="G32" s="1083"/>
      <c r="H32" s="1083"/>
      <c r="I32" s="1083"/>
      <c r="J32" s="1083"/>
      <c r="K32" s="1083"/>
      <c r="L32" s="1083"/>
      <c r="M32" s="1083"/>
      <c r="N32" s="1083"/>
      <c r="O32" s="1083"/>
      <c r="P32" s="1083"/>
      <c r="Q32" s="1083"/>
      <c r="R32" s="1083"/>
      <c r="S32" s="1083"/>
      <c r="T32" s="1083"/>
      <c r="U32" s="1083"/>
      <c r="V32" s="1459">
        <f t="shared" si="4"/>
        <v>0.90000000000000024</v>
      </c>
      <c r="W32" s="1097">
        <f t="shared" ca="1" si="3"/>
        <v>1.8965901075630411</v>
      </c>
      <c r="X32" s="1083"/>
      <c r="Y32" s="1083"/>
      <c r="Z32" s="1083"/>
      <c r="AA32" s="1083"/>
      <c r="AB32" s="1083"/>
      <c r="AC32" s="1083"/>
      <c r="AD32" s="1083"/>
      <c r="AE32" s="1083"/>
      <c r="AF32" s="1083"/>
      <c r="AG32" s="1083"/>
      <c r="AH32" s="1083"/>
      <c r="AI32" s="1083"/>
      <c r="AJ32" s="1083"/>
      <c r="AK32" s="1083"/>
      <c r="AL32" s="1083"/>
      <c r="AM32" s="1083"/>
      <c r="AN32" s="1083"/>
      <c r="AO32" s="1083"/>
      <c r="AP32" s="1083"/>
      <c r="AQ32" s="1083"/>
      <c r="AR32" s="1083"/>
      <c r="AS32" s="1083"/>
      <c r="AT32" s="1083"/>
      <c r="AU32" s="1083"/>
      <c r="AV32" s="1083"/>
      <c r="AW32" s="1083"/>
      <c r="AX32" s="1083"/>
      <c r="AY32" s="1083"/>
      <c r="AZ32" s="1083"/>
      <c r="BA32" s="1083"/>
      <c r="BB32" s="1083"/>
      <c r="BC32" s="1083"/>
      <c r="BD32" s="1083"/>
      <c r="BE32" s="1083"/>
      <c r="BF32" s="1083"/>
      <c r="BG32" s="1083"/>
      <c r="BH32" s="1083"/>
      <c r="BI32" s="1083"/>
      <c r="BJ32" s="1083"/>
      <c r="BK32" s="1083"/>
      <c r="BL32" s="1083"/>
      <c r="BM32" s="1083"/>
      <c r="BN32" s="1083"/>
      <c r="BO32" s="1083"/>
      <c r="BP32" s="1083"/>
      <c r="BQ32" s="1083"/>
      <c r="BR32" s="1083"/>
      <c r="BS32" s="1083"/>
      <c r="BT32" s="1083"/>
      <c r="BU32" s="1083"/>
    </row>
    <row r="33" spans="1:73" x14ac:dyDescent="0.25">
      <c r="A33" s="1083"/>
      <c r="B33" s="1083"/>
      <c r="C33" s="1083"/>
      <c r="D33" s="1083"/>
      <c r="E33" s="1083"/>
      <c r="F33" s="1083"/>
      <c r="G33" s="1083"/>
      <c r="H33" s="1083"/>
      <c r="I33" s="1083"/>
      <c r="J33" s="1083"/>
      <c r="K33" s="1083"/>
      <c r="L33" s="1083"/>
      <c r="M33" s="1083"/>
      <c r="N33" s="1083"/>
      <c r="O33" s="1083"/>
      <c r="P33" s="1083"/>
      <c r="Q33" s="1083"/>
      <c r="R33" s="1083"/>
      <c r="S33" s="1083"/>
      <c r="T33" s="1083"/>
      <c r="U33" s="1083"/>
      <c r="V33" s="1460">
        <f t="shared" si="4"/>
        <v>0.95000000000000029</v>
      </c>
      <c r="W33" s="1461">
        <f t="shared" ca="1" si="3"/>
        <v>1.9113615545147624</v>
      </c>
      <c r="X33" s="1083"/>
      <c r="Y33" s="1083"/>
      <c r="Z33" s="1083"/>
      <c r="AA33" s="1083"/>
      <c r="AB33" s="1083"/>
      <c r="AC33" s="1083"/>
      <c r="AD33" s="1083"/>
      <c r="AE33" s="1083"/>
      <c r="AF33" s="1083"/>
      <c r="AG33" s="1083"/>
      <c r="AH33" s="1083"/>
      <c r="AI33" s="1083"/>
      <c r="AJ33" s="1083"/>
      <c r="AK33" s="1083"/>
      <c r="AL33" s="1083"/>
      <c r="AM33" s="1083"/>
      <c r="AN33" s="1083"/>
      <c r="AO33" s="1083"/>
      <c r="AP33" s="1083"/>
      <c r="AQ33" s="1083"/>
      <c r="AR33" s="1083"/>
      <c r="AS33" s="1083"/>
      <c r="AT33" s="1083"/>
      <c r="AU33" s="1083"/>
      <c r="AV33" s="1083"/>
      <c r="AW33" s="1083"/>
      <c r="AX33" s="1083"/>
      <c r="AY33" s="1083"/>
      <c r="AZ33" s="1083"/>
      <c r="BA33" s="1083"/>
      <c r="BB33" s="1083"/>
      <c r="BC33" s="1083"/>
      <c r="BD33" s="1083"/>
      <c r="BE33" s="1083"/>
      <c r="BF33" s="1083"/>
      <c r="BG33" s="1083"/>
      <c r="BH33" s="1083"/>
      <c r="BI33" s="1083"/>
      <c r="BJ33" s="1083"/>
      <c r="BK33" s="1083"/>
      <c r="BL33" s="1083"/>
      <c r="BM33" s="1083"/>
      <c r="BN33" s="1083"/>
      <c r="BO33" s="1083"/>
      <c r="BP33" s="1083"/>
      <c r="BQ33" s="1083"/>
      <c r="BR33" s="1083"/>
      <c r="BS33" s="1083"/>
      <c r="BT33" s="1083"/>
      <c r="BU33" s="1083"/>
    </row>
    <row r="34" spans="1:73" x14ac:dyDescent="0.25">
      <c r="A34" s="1083"/>
      <c r="B34" s="1083"/>
      <c r="C34" s="1083"/>
      <c r="D34" s="1083"/>
      <c r="E34" s="1083"/>
      <c r="F34" s="1083"/>
      <c r="G34" s="1083"/>
      <c r="H34" s="1083"/>
      <c r="I34" s="1083"/>
      <c r="J34" s="1083"/>
      <c r="K34" s="1083"/>
      <c r="L34" s="1083"/>
      <c r="M34" s="1083"/>
      <c r="N34" s="1083"/>
      <c r="O34" s="1083"/>
      <c r="P34" s="1083"/>
      <c r="Q34" s="1083"/>
      <c r="R34" s="1083"/>
      <c r="S34" s="1083"/>
      <c r="T34" s="1083"/>
      <c r="U34" s="1083"/>
      <c r="V34" s="1459">
        <v>1</v>
      </c>
      <c r="W34" s="1097">
        <f ca="1">+MAX(OFFSET($B$251:$B$2250,0,$C$194))*$C$198</f>
        <v>1.9879469032568753</v>
      </c>
      <c r="X34" s="1083"/>
      <c r="Y34" s="1083"/>
      <c r="Z34" s="1083"/>
      <c r="AA34" s="1083"/>
      <c r="AB34" s="1083"/>
      <c r="AC34" s="1083"/>
      <c r="AD34" s="1083"/>
      <c r="AE34" s="1083"/>
      <c r="AF34" s="1083"/>
      <c r="AG34" s="1083"/>
      <c r="AH34" s="1083"/>
      <c r="AI34" s="1083"/>
      <c r="AJ34" s="1083"/>
      <c r="AK34" s="1083"/>
      <c r="AL34" s="1083"/>
      <c r="AM34" s="1083"/>
      <c r="AN34" s="1083"/>
      <c r="AO34" s="1083"/>
      <c r="AP34" s="1083"/>
      <c r="AQ34" s="1083"/>
      <c r="AR34" s="1083"/>
      <c r="AS34" s="1083"/>
      <c r="AT34" s="1083"/>
      <c r="AU34" s="1083"/>
      <c r="AV34" s="1083"/>
      <c r="AW34" s="1083"/>
      <c r="AX34" s="1083"/>
      <c r="AY34" s="1083"/>
      <c r="AZ34" s="1083"/>
      <c r="BA34" s="1083"/>
      <c r="BB34" s="1083"/>
      <c r="BC34" s="1083"/>
      <c r="BD34" s="1083"/>
      <c r="BE34" s="1083"/>
      <c r="BF34" s="1083"/>
      <c r="BG34" s="1083"/>
      <c r="BH34" s="1083"/>
      <c r="BI34" s="1083"/>
      <c r="BJ34" s="1083"/>
      <c r="BK34" s="1083"/>
      <c r="BL34" s="1083"/>
      <c r="BM34" s="1083"/>
      <c r="BN34" s="1083"/>
      <c r="BO34" s="1083"/>
      <c r="BP34" s="1083"/>
      <c r="BQ34" s="1083"/>
      <c r="BR34" s="1083"/>
      <c r="BS34" s="1083"/>
      <c r="BT34" s="1083"/>
      <c r="BU34" s="1083"/>
    </row>
    <row r="35" spans="1:73" ht="13.8" x14ac:dyDescent="0.3">
      <c r="A35" s="1083"/>
      <c r="B35" s="1083"/>
      <c r="C35" s="1083"/>
      <c r="D35" s="1083"/>
      <c r="E35" s="1083"/>
      <c r="F35" s="1083"/>
      <c r="G35" s="1083"/>
      <c r="H35" s="1083"/>
      <c r="I35" s="1083"/>
      <c r="J35" s="1083"/>
      <c r="K35" s="1083"/>
      <c r="L35" s="1083"/>
      <c r="M35" s="1218"/>
      <c r="N35" s="1083"/>
      <c r="O35" s="1083"/>
      <c r="P35" s="1083"/>
      <c r="Q35" s="1083"/>
      <c r="R35" s="1083"/>
      <c r="S35" s="1083"/>
      <c r="T35" s="1083"/>
      <c r="U35" s="1083"/>
      <c r="V35" s="1083"/>
      <c r="W35" s="1083"/>
      <c r="X35" s="1083"/>
      <c r="Y35" s="1083"/>
      <c r="Z35" s="1083"/>
      <c r="AA35" s="1083"/>
      <c r="AB35" s="1083"/>
      <c r="AC35" s="1083"/>
      <c r="AD35" s="1083"/>
      <c r="AE35" s="1083"/>
      <c r="AF35" s="1083"/>
      <c r="AG35" s="1083"/>
      <c r="AH35" s="1083"/>
      <c r="AI35" s="1083"/>
      <c r="AJ35" s="1083"/>
      <c r="AK35" s="1083"/>
      <c r="AL35" s="1083"/>
      <c r="AM35" s="1083"/>
      <c r="AN35" s="1083"/>
      <c r="AO35" s="1083"/>
      <c r="AP35" s="1083"/>
      <c r="AQ35" s="1083"/>
      <c r="AR35" s="1083"/>
      <c r="AS35" s="1083"/>
      <c r="AT35" s="1083"/>
      <c r="AU35" s="1083"/>
      <c r="AV35" s="1083"/>
      <c r="AW35" s="1083"/>
      <c r="AX35" s="1083"/>
      <c r="AY35" s="1083"/>
      <c r="AZ35" s="1083"/>
      <c r="BA35" s="1083"/>
      <c r="BB35" s="1083"/>
      <c r="BC35" s="1083"/>
      <c r="BD35" s="1083"/>
      <c r="BE35" s="1083"/>
      <c r="BF35" s="1083"/>
      <c r="BG35" s="1083"/>
      <c r="BH35" s="1083"/>
      <c r="BI35" s="1083"/>
      <c r="BJ35" s="1083"/>
      <c r="BK35" s="1083"/>
      <c r="BL35" s="1083"/>
      <c r="BM35" s="1083"/>
      <c r="BN35" s="1083"/>
      <c r="BO35" s="1083"/>
      <c r="BP35" s="1083"/>
      <c r="BQ35" s="1083"/>
      <c r="BR35" s="1083"/>
      <c r="BS35" s="1083"/>
      <c r="BT35" s="1083"/>
      <c r="BU35" s="1083"/>
    </row>
    <row r="36" spans="1:73" x14ac:dyDescent="0.25">
      <c r="A36" s="1083"/>
      <c r="B36" s="1083"/>
      <c r="C36" s="1083"/>
      <c r="D36" s="1083"/>
      <c r="E36" s="1083"/>
      <c r="F36" s="1083"/>
      <c r="G36" s="1083"/>
      <c r="H36" s="1083"/>
      <c r="I36" s="1083"/>
      <c r="J36" s="1083"/>
      <c r="K36" s="1083"/>
      <c r="L36" s="1083"/>
      <c r="M36" s="1083"/>
      <c r="N36" s="1083"/>
      <c r="O36" s="1083"/>
      <c r="P36" s="1083"/>
      <c r="Q36" s="1083"/>
      <c r="R36" s="1083"/>
      <c r="S36" s="1083"/>
      <c r="T36" s="1083"/>
      <c r="U36" s="1083"/>
      <c r="V36" s="1083"/>
      <c r="W36" s="1083"/>
      <c r="X36" s="1083"/>
      <c r="Y36" s="1083"/>
      <c r="Z36" s="1083"/>
      <c r="AA36" s="1083"/>
      <c r="AB36" s="1083"/>
      <c r="AC36" s="1083"/>
      <c r="AD36" s="1083"/>
      <c r="AE36" s="1083"/>
      <c r="AF36" s="1083"/>
      <c r="AG36" s="1083"/>
      <c r="AH36" s="1083"/>
      <c r="AI36" s="1083"/>
      <c r="AJ36" s="1083"/>
      <c r="AK36" s="1083"/>
      <c r="AL36" s="1083"/>
      <c r="AM36" s="1083"/>
      <c r="AN36" s="1083"/>
      <c r="AO36" s="1083"/>
      <c r="AP36" s="1083"/>
      <c r="AQ36" s="1083"/>
      <c r="AR36" s="1083"/>
      <c r="AS36" s="1083"/>
      <c r="AT36" s="1083"/>
      <c r="AU36" s="1083"/>
      <c r="AV36" s="1083"/>
      <c r="AW36" s="1083"/>
      <c r="AX36" s="1083"/>
      <c r="AY36" s="1083"/>
      <c r="AZ36" s="1083"/>
      <c r="BA36" s="1083"/>
      <c r="BB36" s="1083"/>
      <c r="BC36" s="1083"/>
      <c r="BD36" s="1083"/>
      <c r="BE36" s="1083"/>
      <c r="BF36" s="1083"/>
      <c r="BG36" s="1083"/>
      <c r="BH36" s="1083"/>
      <c r="BI36" s="1083"/>
      <c r="BJ36" s="1083"/>
      <c r="BK36" s="1083"/>
      <c r="BL36" s="1083"/>
      <c r="BM36" s="1083"/>
      <c r="BN36" s="1083"/>
      <c r="BO36" s="1083"/>
      <c r="BP36" s="1083"/>
      <c r="BQ36" s="1083"/>
      <c r="BR36" s="1083"/>
      <c r="BS36" s="1083"/>
      <c r="BT36" s="1083"/>
      <c r="BU36" s="1083"/>
    </row>
    <row r="37" spans="1:73" x14ac:dyDescent="0.25">
      <c r="A37" s="1083"/>
      <c r="B37" s="1083"/>
      <c r="C37" s="1083"/>
      <c r="D37" s="1083"/>
      <c r="E37" s="1083"/>
      <c r="F37" s="1083"/>
      <c r="G37" s="1083"/>
      <c r="H37" s="1083"/>
      <c r="I37" s="1083"/>
      <c r="J37" s="1083"/>
      <c r="K37" s="1083"/>
      <c r="L37" s="1083"/>
      <c r="M37" s="1083"/>
      <c r="N37" s="1083"/>
      <c r="O37" s="1083"/>
      <c r="P37" s="1083"/>
      <c r="Q37" s="1083"/>
      <c r="R37" s="1083"/>
      <c r="S37" s="1083"/>
      <c r="T37" s="1083"/>
      <c r="U37" s="1083"/>
      <c r="V37" s="1083"/>
      <c r="W37" s="1083"/>
      <c r="X37" s="1083"/>
      <c r="Y37" s="1083"/>
      <c r="Z37" s="1083"/>
      <c r="AA37" s="1083"/>
      <c r="AB37" s="1083"/>
      <c r="AC37" s="1083"/>
      <c r="AD37" s="1083"/>
      <c r="AE37" s="1083"/>
      <c r="AF37" s="1083"/>
      <c r="AG37" s="1083"/>
      <c r="AH37" s="1083"/>
      <c r="AI37" s="1083"/>
      <c r="AJ37" s="1083"/>
      <c r="AK37" s="1083"/>
      <c r="AL37" s="1083"/>
      <c r="AM37" s="1083"/>
      <c r="AN37" s="1083"/>
      <c r="AO37" s="1083"/>
      <c r="AP37" s="1083"/>
      <c r="AQ37" s="1083"/>
      <c r="AR37" s="1083"/>
      <c r="AS37" s="1083"/>
      <c r="AT37" s="1083"/>
      <c r="AU37" s="1083"/>
      <c r="AV37" s="1083"/>
      <c r="AW37" s="1083"/>
      <c r="AX37" s="1083"/>
      <c r="AY37" s="1083"/>
      <c r="AZ37" s="1083"/>
      <c r="BA37" s="1083"/>
      <c r="BB37" s="1083"/>
      <c r="BC37" s="1083"/>
      <c r="BD37" s="1083"/>
      <c r="BE37" s="1083"/>
      <c r="BF37" s="1083"/>
      <c r="BG37" s="1083"/>
      <c r="BH37" s="1083"/>
      <c r="BI37" s="1083"/>
      <c r="BJ37" s="1083"/>
      <c r="BK37" s="1083"/>
      <c r="BL37" s="1083"/>
      <c r="BM37" s="1083"/>
      <c r="BN37" s="1083"/>
      <c r="BO37" s="1083"/>
      <c r="BP37" s="1083"/>
      <c r="BQ37" s="1083"/>
      <c r="BR37" s="1083"/>
      <c r="BS37" s="1083"/>
      <c r="BT37" s="1083"/>
      <c r="BU37" s="1083"/>
    </row>
    <row r="38" spans="1:73" x14ac:dyDescent="0.25">
      <c r="A38" s="1083"/>
      <c r="B38" s="1083"/>
      <c r="C38" s="1083"/>
      <c r="D38" s="1083"/>
      <c r="E38" s="1083"/>
      <c r="F38" s="1083"/>
      <c r="G38" s="1083"/>
      <c r="H38" s="1083"/>
      <c r="I38" s="1083"/>
      <c r="J38" s="1083"/>
      <c r="K38" s="1083"/>
      <c r="L38" s="1083"/>
      <c r="M38" s="1083"/>
      <c r="N38" s="1083"/>
      <c r="O38" s="1083"/>
      <c r="P38" s="1083"/>
      <c r="Q38" s="1083"/>
      <c r="R38" s="1083"/>
      <c r="S38" s="1083"/>
      <c r="T38" s="1083"/>
      <c r="U38" s="1083"/>
      <c r="V38" s="1083"/>
      <c r="W38" s="1083"/>
      <c r="X38" s="1083"/>
      <c r="Y38" s="1083"/>
      <c r="Z38" s="1083"/>
      <c r="AA38" s="1083"/>
      <c r="AB38" s="1083"/>
      <c r="AC38" s="1083"/>
      <c r="AD38" s="1083"/>
      <c r="AE38" s="1083"/>
      <c r="AF38" s="1083"/>
      <c r="AG38" s="1083"/>
      <c r="AH38" s="1083"/>
      <c r="AI38" s="1083"/>
      <c r="AJ38" s="1083"/>
      <c r="AK38" s="1083"/>
      <c r="AL38" s="1083"/>
      <c r="AM38" s="1083"/>
      <c r="AN38" s="1083"/>
      <c r="AO38" s="1083"/>
      <c r="AP38" s="1083"/>
      <c r="AQ38" s="1083"/>
      <c r="AR38" s="1083"/>
      <c r="AS38" s="1083"/>
      <c r="AT38" s="1083"/>
      <c r="AU38" s="1083"/>
      <c r="AV38" s="1083"/>
      <c r="AW38" s="1083"/>
      <c r="AX38" s="1083"/>
      <c r="AY38" s="1083"/>
      <c r="AZ38" s="1083"/>
      <c r="BA38" s="1083"/>
      <c r="BB38" s="1083"/>
      <c r="BC38" s="1083"/>
      <c r="BD38" s="1083"/>
      <c r="BE38" s="1083"/>
      <c r="BF38" s="1083"/>
      <c r="BG38" s="1083"/>
      <c r="BH38" s="1083"/>
      <c r="BI38" s="1083"/>
      <c r="BJ38" s="1083"/>
      <c r="BK38" s="1083"/>
      <c r="BL38" s="1083"/>
      <c r="BM38" s="1083"/>
      <c r="BN38" s="1083"/>
      <c r="BO38" s="1083"/>
      <c r="BP38" s="1083"/>
      <c r="BQ38" s="1083"/>
      <c r="BR38" s="1083"/>
      <c r="BS38" s="1083"/>
      <c r="BT38" s="1083"/>
      <c r="BU38" s="1083"/>
    </row>
    <row r="39" spans="1:73" x14ac:dyDescent="0.25">
      <c r="A39" s="1083"/>
      <c r="B39" s="1083"/>
      <c r="C39" s="1083"/>
      <c r="D39" s="1083"/>
      <c r="E39" s="1083"/>
      <c r="F39" s="1083"/>
      <c r="G39" s="1083"/>
      <c r="H39" s="1083"/>
      <c r="I39" s="1083"/>
      <c r="J39" s="1083"/>
      <c r="K39" s="1083"/>
      <c r="L39" s="1083"/>
      <c r="M39" s="1083"/>
      <c r="N39" s="1083"/>
      <c r="O39" s="1083"/>
      <c r="P39" s="1083"/>
      <c r="Q39" s="1083"/>
      <c r="R39" s="1083"/>
      <c r="S39" s="1083"/>
      <c r="T39" s="1083"/>
      <c r="U39" s="1083"/>
      <c r="V39" s="1083"/>
      <c r="W39" s="1083"/>
      <c r="X39" s="1083"/>
      <c r="Y39" s="1083"/>
      <c r="Z39" s="1083"/>
      <c r="AA39" s="1083"/>
      <c r="AB39" s="1083"/>
      <c r="AC39" s="1083"/>
      <c r="AD39" s="1083"/>
      <c r="AE39" s="1083"/>
      <c r="AF39" s="1083"/>
      <c r="AG39" s="1083"/>
      <c r="AH39" s="1083"/>
      <c r="AI39" s="1083"/>
      <c r="AJ39" s="1083"/>
      <c r="AK39" s="1083"/>
      <c r="AL39" s="1083"/>
      <c r="AM39" s="1083"/>
      <c r="AN39" s="1083"/>
      <c r="AO39" s="1083"/>
      <c r="AP39" s="1083"/>
      <c r="AQ39" s="1083"/>
      <c r="AR39" s="1083"/>
      <c r="AS39" s="1083"/>
      <c r="AT39" s="1083"/>
      <c r="AU39" s="1083"/>
      <c r="AV39" s="1083"/>
      <c r="AW39" s="1083"/>
      <c r="AX39" s="1083"/>
      <c r="AY39" s="1083"/>
      <c r="AZ39" s="1083"/>
      <c r="BA39" s="1083"/>
      <c r="BB39" s="1083"/>
      <c r="BC39" s="1083"/>
      <c r="BD39" s="1083"/>
      <c r="BE39" s="1083"/>
      <c r="BF39" s="1083"/>
      <c r="BG39" s="1083"/>
      <c r="BH39" s="1083"/>
      <c r="BI39" s="1083"/>
      <c r="BJ39" s="1083"/>
      <c r="BK39" s="1083"/>
      <c r="BL39" s="1083"/>
      <c r="BM39" s="1083"/>
      <c r="BN39" s="1083"/>
      <c r="BO39" s="1083"/>
      <c r="BP39" s="1083"/>
      <c r="BQ39" s="1083"/>
      <c r="BR39" s="1083"/>
      <c r="BS39" s="1083"/>
      <c r="BT39" s="1083"/>
      <c r="BU39" s="1083"/>
    </row>
    <row r="40" spans="1:73" x14ac:dyDescent="0.25">
      <c r="A40" s="1083"/>
      <c r="B40" s="1083"/>
      <c r="C40" s="1083"/>
      <c r="D40" s="1083"/>
      <c r="E40" s="1083"/>
      <c r="F40" s="1083"/>
      <c r="G40" s="1083"/>
      <c r="H40" s="1083"/>
      <c r="I40" s="1083"/>
      <c r="J40" s="1083"/>
      <c r="K40" s="1083"/>
      <c r="L40" s="1083"/>
      <c r="M40" s="1083"/>
      <c r="N40" s="1083"/>
      <c r="O40" s="1083"/>
      <c r="P40" s="1083"/>
      <c r="Q40" s="1083"/>
      <c r="R40" s="1083"/>
      <c r="S40" s="1083"/>
      <c r="T40" s="1083"/>
      <c r="U40" s="1083"/>
      <c r="V40" s="1083"/>
      <c r="W40" s="1083"/>
      <c r="X40" s="1083"/>
      <c r="Y40" s="1083"/>
      <c r="Z40" s="1083"/>
      <c r="AA40" s="1083"/>
      <c r="AB40" s="1083"/>
      <c r="AC40" s="1083"/>
      <c r="AD40" s="1083"/>
      <c r="AE40" s="1083"/>
      <c r="AF40" s="1083"/>
      <c r="AG40" s="1083"/>
      <c r="AH40" s="1083"/>
      <c r="AI40" s="1083"/>
      <c r="AJ40" s="1083"/>
      <c r="AK40" s="1083"/>
      <c r="AL40" s="1083"/>
      <c r="AM40" s="1083"/>
      <c r="AN40" s="1083"/>
      <c r="AO40" s="1083"/>
      <c r="AP40" s="1083"/>
      <c r="AQ40" s="1083"/>
      <c r="AR40" s="1083"/>
      <c r="AS40" s="1083"/>
      <c r="AT40" s="1083"/>
      <c r="AU40" s="1083"/>
      <c r="AV40" s="1083"/>
      <c r="AW40" s="1083"/>
      <c r="AX40" s="1083"/>
      <c r="AY40" s="1083"/>
      <c r="AZ40" s="1083"/>
      <c r="BA40" s="1083"/>
      <c r="BB40" s="1083"/>
      <c r="BC40" s="1083"/>
      <c r="BD40" s="1083"/>
      <c r="BE40" s="1083"/>
      <c r="BF40" s="1083"/>
      <c r="BG40" s="1083"/>
      <c r="BH40" s="1083"/>
      <c r="BI40" s="1083"/>
      <c r="BJ40" s="1083"/>
      <c r="BK40" s="1083"/>
      <c r="BL40" s="1083"/>
      <c r="BM40" s="1083"/>
      <c r="BN40" s="1083"/>
      <c r="BO40" s="1083"/>
      <c r="BP40" s="1083"/>
      <c r="BQ40" s="1083"/>
      <c r="BR40" s="1083"/>
      <c r="BS40" s="1083"/>
      <c r="BT40" s="1083"/>
      <c r="BU40" s="1083"/>
    </row>
    <row r="41" spans="1:73" x14ac:dyDescent="0.25">
      <c r="A41" s="1083"/>
      <c r="B41" s="1083"/>
      <c r="C41" s="1083"/>
      <c r="D41" s="1083"/>
      <c r="E41" s="1083"/>
      <c r="F41" s="1083"/>
      <c r="G41" s="1083"/>
      <c r="H41" s="1083"/>
      <c r="I41" s="1083"/>
      <c r="J41" s="1083"/>
      <c r="K41" s="1083"/>
      <c r="L41" s="1083"/>
      <c r="M41" s="1083"/>
      <c r="N41" s="1083"/>
      <c r="O41" s="1083"/>
      <c r="P41" s="1083"/>
      <c r="Q41" s="1083"/>
      <c r="R41" s="1083"/>
      <c r="S41" s="1083"/>
      <c r="T41" s="1083"/>
      <c r="U41" s="1083"/>
      <c r="V41" s="1083"/>
      <c r="W41" s="1083"/>
      <c r="X41" s="1083"/>
      <c r="Y41" s="1083"/>
      <c r="Z41" s="1083"/>
      <c r="AA41" s="1083"/>
      <c r="AB41" s="1083"/>
      <c r="AC41" s="1083"/>
      <c r="AD41" s="1083"/>
      <c r="AE41" s="1083"/>
      <c r="AF41" s="1083"/>
      <c r="AG41" s="1083"/>
      <c r="AH41" s="1083"/>
      <c r="AI41" s="1083"/>
      <c r="AJ41" s="1083"/>
      <c r="AK41" s="1083"/>
      <c r="AL41" s="1083"/>
      <c r="AM41" s="1083"/>
      <c r="AN41" s="1083"/>
      <c r="AO41" s="1083"/>
      <c r="AP41" s="1083"/>
      <c r="AQ41" s="1083"/>
      <c r="AR41" s="1083"/>
      <c r="AS41" s="1083"/>
      <c r="AT41" s="1083"/>
      <c r="AU41" s="1083"/>
      <c r="AV41" s="1083"/>
      <c r="AW41" s="1083"/>
      <c r="AX41" s="1083"/>
      <c r="AY41" s="1083"/>
      <c r="AZ41" s="1083"/>
      <c r="BA41" s="1083"/>
      <c r="BB41" s="1083"/>
      <c r="BC41" s="1083"/>
      <c r="BD41" s="1083"/>
      <c r="BE41" s="1083"/>
      <c r="BF41" s="1083"/>
      <c r="BG41" s="1083"/>
      <c r="BH41" s="1083"/>
      <c r="BI41" s="1083"/>
      <c r="BJ41" s="1083"/>
      <c r="BK41" s="1083"/>
      <c r="BL41" s="1083"/>
      <c r="BM41" s="1083"/>
      <c r="BN41" s="1083"/>
      <c r="BO41" s="1083"/>
      <c r="BP41" s="1083"/>
      <c r="BQ41" s="1083"/>
      <c r="BR41" s="1083"/>
      <c r="BS41" s="1083"/>
      <c r="BT41" s="1083"/>
      <c r="BU41" s="1083"/>
    </row>
    <row r="42" spans="1:73" x14ac:dyDescent="0.25">
      <c r="A42" s="1083"/>
      <c r="B42" s="1083"/>
      <c r="C42" s="1083"/>
      <c r="D42" s="1083"/>
      <c r="E42" s="1083"/>
      <c r="F42" s="1083"/>
      <c r="G42" s="1083"/>
      <c r="H42" s="1083"/>
      <c r="I42" s="1083"/>
      <c r="J42" s="1083"/>
      <c r="K42" s="1083"/>
      <c r="L42" s="1083"/>
      <c r="M42" s="1083"/>
      <c r="N42" s="1083"/>
      <c r="O42" s="1083"/>
      <c r="P42" s="1083"/>
      <c r="Q42" s="1083"/>
      <c r="R42" s="1083"/>
      <c r="S42" s="1083"/>
      <c r="T42" s="1083"/>
      <c r="U42" s="1083"/>
      <c r="V42" s="1083"/>
      <c r="W42" s="1083"/>
      <c r="X42" s="1083"/>
      <c r="Y42" s="1083"/>
      <c r="Z42" s="1083"/>
      <c r="AA42" s="1083"/>
      <c r="AB42" s="1083"/>
      <c r="AC42" s="1083"/>
      <c r="AD42" s="1083"/>
      <c r="AE42" s="1083"/>
      <c r="AF42" s="1083"/>
      <c r="AG42" s="1083"/>
      <c r="AH42" s="1083"/>
      <c r="AI42" s="1083"/>
      <c r="AJ42" s="1083"/>
      <c r="AK42" s="1083"/>
      <c r="AL42" s="1083"/>
      <c r="AM42" s="1083"/>
      <c r="AN42" s="1083"/>
      <c r="AO42" s="1083"/>
      <c r="AP42" s="1083"/>
      <c r="AQ42" s="1083"/>
      <c r="AR42" s="1083"/>
      <c r="AS42" s="1083"/>
      <c r="AT42" s="1083"/>
      <c r="AU42" s="1083"/>
      <c r="AV42" s="1083"/>
      <c r="AW42" s="1083"/>
      <c r="AX42" s="1083"/>
      <c r="AY42" s="1083"/>
      <c r="AZ42" s="1083"/>
      <c r="BA42" s="1083"/>
      <c r="BB42" s="1083"/>
      <c r="BC42" s="1083"/>
      <c r="BD42" s="1083"/>
      <c r="BE42" s="1083"/>
      <c r="BF42" s="1083"/>
      <c r="BG42" s="1083"/>
      <c r="BH42" s="1083"/>
      <c r="BI42" s="1083"/>
      <c r="BJ42" s="1083"/>
      <c r="BK42" s="1083"/>
      <c r="BL42" s="1083"/>
      <c r="BM42" s="1083"/>
      <c r="BN42" s="1083"/>
      <c r="BO42" s="1083"/>
      <c r="BP42" s="1083"/>
      <c r="BQ42" s="1083"/>
      <c r="BR42" s="1083"/>
      <c r="BS42" s="1083"/>
      <c r="BT42" s="1083"/>
      <c r="BU42" s="1083"/>
    </row>
    <row r="43" spans="1:73" x14ac:dyDescent="0.25">
      <c r="A43" s="1083"/>
      <c r="B43" s="1083"/>
      <c r="C43" s="1083"/>
      <c r="D43" s="1083"/>
      <c r="E43" s="1083"/>
      <c r="F43" s="1083"/>
      <c r="G43" s="1083"/>
      <c r="H43" s="1083"/>
      <c r="I43" s="1083"/>
      <c r="J43" s="1083"/>
      <c r="K43" s="1083"/>
      <c r="L43" s="1083"/>
      <c r="M43" s="1083"/>
      <c r="N43" s="1083"/>
      <c r="O43" s="1083"/>
      <c r="P43" s="1083"/>
      <c r="Q43" s="1083"/>
      <c r="R43" s="1083"/>
      <c r="S43" s="1083"/>
      <c r="T43" s="1083"/>
      <c r="U43" s="1083"/>
      <c r="V43" s="1083"/>
      <c r="W43" s="1083"/>
      <c r="X43" s="1083"/>
      <c r="Y43" s="1083"/>
      <c r="Z43" s="1083"/>
      <c r="AA43" s="1083"/>
      <c r="AB43" s="1083"/>
      <c r="AC43" s="1083"/>
      <c r="AD43" s="1083"/>
      <c r="AE43" s="1083"/>
      <c r="AF43" s="1083"/>
      <c r="AG43" s="1083"/>
      <c r="AH43" s="1083"/>
      <c r="AI43" s="1083"/>
      <c r="AJ43" s="1083"/>
      <c r="AK43" s="1083"/>
      <c r="AL43" s="1083"/>
      <c r="AM43" s="1083"/>
      <c r="AN43" s="1083"/>
      <c r="AO43" s="1083"/>
      <c r="AP43" s="1083"/>
      <c r="AQ43" s="1083"/>
      <c r="AR43" s="1083"/>
      <c r="AS43" s="1083"/>
      <c r="AT43" s="1083"/>
      <c r="AU43" s="1083"/>
      <c r="AV43" s="1083"/>
      <c r="AW43" s="1083"/>
      <c r="AX43" s="1083"/>
      <c r="AY43" s="1083"/>
      <c r="AZ43" s="1083"/>
      <c r="BA43" s="1083"/>
      <c r="BB43" s="1083"/>
      <c r="BC43" s="1083"/>
      <c r="BD43" s="1083"/>
      <c r="BE43" s="1083"/>
      <c r="BF43" s="1083"/>
      <c r="BG43" s="1083"/>
      <c r="BH43" s="1083"/>
      <c r="BI43" s="1083"/>
      <c r="BJ43" s="1083"/>
      <c r="BK43" s="1083"/>
      <c r="BL43" s="1083"/>
      <c r="BM43" s="1083"/>
      <c r="BN43" s="1083"/>
      <c r="BO43" s="1083"/>
      <c r="BP43" s="1083"/>
      <c r="BQ43" s="1083"/>
      <c r="BR43" s="1083"/>
      <c r="BS43" s="1083"/>
      <c r="BT43" s="1083"/>
      <c r="BU43" s="1083"/>
    </row>
    <row r="44" spans="1:73" x14ac:dyDescent="0.25">
      <c r="A44" s="1083"/>
      <c r="B44" s="1083"/>
      <c r="C44" s="1083"/>
      <c r="D44" s="1083"/>
      <c r="E44" s="1083"/>
      <c r="F44" s="1083"/>
      <c r="G44" s="1083"/>
      <c r="H44" s="1083"/>
      <c r="I44" s="1083"/>
      <c r="J44" s="1083"/>
      <c r="K44" s="1083"/>
      <c r="L44" s="1083"/>
      <c r="M44" s="1083"/>
      <c r="N44" s="1083"/>
      <c r="O44" s="1083"/>
      <c r="P44" s="1083"/>
      <c r="Q44" s="1083"/>
      <c r="R44" s="1083"/>
      <c r="S44" s="1083"/>
      <c r="T44" s="1083"/>
      <c r="U44" s="1083"/>
      <c r="V44" s="1083"/>
      <c r="W44" s="1083"/>
      <c r="X44" s="1083"/>
      <c r="Y44" s="1083"/>
      <c r="Z44" s="1083"/>
      <c r="AA44" s="1083"/>
      <c r="AB44" s="1083"/>
      <c r="AC44" s="1083"/>
      <c r="AD44" s="1083"/>
      <c r="AE44" s="1083"/>
      <c r="AF44" s="1083"/>
      <c r="AG44" s="1083"/>
      <c r="AH44" s="1083"/>
      <c r="AI44" s="1083"/>
      <c r="AJ44" s="1083"/>
      <c r="AK44" s="1083"/>
      <c r="AL44" s="1083"/>
      <c r="AM44" s="1083"/>
      <c r="AN44" s="1083"/>
      <c r="AO44" s="1083"/>
      <c r="AP44" s="1083"/>
      <c r="AQ44" s="1083"/>
      <c r="AR44" s="1083"/>
      <c r="AS44" s="1083"/>
      <c r="AT44" s="1083"/>
      <c r="AU44" s="1083"/>
      <c r="AV44" s="1083"/>
      <c r="AW44" s="1083"/>
      <c r="AX44" s="1083"/>
      <c r="AY44" s="1083"/>
      <c r="AZ44" s="1083"/>
      <c r="BA44" s="1083"/>
      <c r="BB44" s="1083"/>
      <c r="BC44" s="1083"/>
      <c r="BD44" s="1083"/>
      <c r="BE44" s="1083"/>
      <c r="BF44" s="1083"/>
      <c r="BG44" s="1083"/>
      <c r="BH44" s="1083"/>
      <c r="BI44" s="1083"/>
      <c r="BJ44" s="1083"/>
      <c r="BK44" s="1083"/>
      <c r="BL44" s="1083"/>
      <c r="BM44" s="1083"/>
      <c r="BN44" s="1083"/>
      <c r="BO44" s="1083"/>
      <c r="BP44" s="1083"/>
      <c r="BQ44" s="1083"/>
      <c r="BR44" s="1083"/>
      <c r="BS44" s="1083"/>
      <c r="BT44" s="1083"/>
      <c r="BU44" s="1083"/>
    </row>
    <row r="45" spans="1:73" ht="13.8" thickBot="1" x14ac:dyDescent="0.3">
      <c r="A45" s="1083"/>
      <c r="B45" s="1181" t="s">
        <v>1338</v>
      </c>
      <c r="C45" s="1181"/>
      <c r="D45" s="1181"/>
      <c r="E45" s="1181"/>
      <c r="F45" s="1181"/>
      <c r="G45" s="1181"/>
      <c r="H45" s="1181"/>
      <c r="I45" s="1181"/>
      <c r="J45" s="1181"/>
      <c r="K45" s="1181"/>
      <c r="L45" s="1181"/>
      <c r="M45" s="1181"/>
      <c r="N45" s="1181"/>
      <c r="O45" s="1181"/>
      <c r="P45" s="1181"/>
      <c r="Q45" s="1181"/>
      <c r="R45" s="1181"/>
      <c r="S45" s="1181"/>
      <c r="T45" s="1181"/>
      <c r="U45" s="1181"/>
      <c r="V45" s="1181"/>
      <c r="W45" s="1181"/>
      <c r="X45" s="1181"/>
      <c r="Y45" s="1083"/>
      <c r="Z45" s="1083"/>
      <c r="AA45" s="1083"/>
      <c r="AB45" s="1083"/>
      <c r="AC45" s="1083"/>
      <c r="AD45" s="1083"/>
      <c r="AE45" s="1083"/>
      <c r="AF45" s="1083"/>
      <c r="AG45" s="1083"/>
      <c r="AH45" s="1083"/>
      <c r="AI45" s="1083"/>
      <c r="AJ45" s="1083"/>
      <c r="AK45" s="1083"/>
      <c r="AL45" s="1083"/>
      <c r="AM45" s="1083"/>
      <c r="AN45" s="1083"/>
      <c r="AO45" s="1083"/>
      <c r="AP45" s="1083"/>
      <c r="AQ45" s="1083"/>
      <c r="AR45" s="1083"/>
      <c r="AS45" s="1083"/>
      <c r="AT45" s="1083"/>
      <c r="AU45" s="1083"/>
      <c r="AV45" s="1083"/>
      <c r="AW45" s="1083"/>
      <c r="AX45" s="1083"/>
      <c r="AY45" s="1083"/>
      <c r="AZ45" s="1083"/>
      <c r="BA45" s="1083"/>
      <c r="BB45" s="1083"/>
      <c r="BC45" s="1083"/>
      <c r="BD45" s="1083"/>
      <c r="BE45" s="1083"/>
      <c r="BF45" s="1083"/>
      <c r="BG45" s="1083"/>
      <c r="BH45" s="1083"/>
      <c r="BI45" s="1083"/>
      <c r="BJ45" s="1083"/>
      <c r="BK45" s="1083"/>
      <c r="BL45" s="1083"/>
      <c r="BM45" s="1083"/>
      <c r="BN45" s="1083"/>
      <c r="BO45" s="1083"/>
      <c r="BP45" s="1083"/>
      <c r="BQ45" s="1083"/>
      <c r="BR45" s="1083"/>
      <c r="BS45" s="1083"/>
      <c r="BT45" s="1083"/>
      <c r="BU45" s="1083"/>
    </row>
    <row r="46" spans="1:73" ht="13.8" thickTop="1" x14ac:dyDescent="0.25">
      <c r="A46" s="1083"/>
      <c r="B46" s="1083"/>
      <c r="C46" s="1083"/>
      <c r="D46" s="1083"/>
      <c r="E46" s="1083"/>
      <c r="F46" s="1083"/>
      <c r="G46" s="1083"/>
      <c r="H46" s="1083"/>
      <c r="I46" s="1083"/>
      <c r="J46" s="1083"/>
      <c r="K46" s="1083"/>
      <c r="L46" s="1083"/>
      <c r="M46" s="1083"/>
      <c r="N46" s="1083"/>
      <c r="O46" s="1083"/>
      <c r="P46" s="1083"/>
      <c r="Q46" s="1083"/>
      <c r="R46" s="1083"/>
      <c r="S46" s="1083"/>
      <c r="T46" s="1083"/>
      <c r="U46" s="1083"/>
      <c r="V46" s="1083"/>
      <c r="W46" s="1083"/>
      <c r="X46" s="1083"/>
      <c r="Y46" s="1083"/>
      <c r="Z46" s="1083"/>
      <c r="AA46" s="1083"/>
      <c r="AB46" s="1083"/>
      <c r="AC46" s="1083"/>
      <c r="AD46" s="1083"/>
      <c r="AE46" s="1083"/>
      <c r="AF46" s="1083"/>
      <c r="AG46" s="1083"/>
      <c r="AH46" s="1083"/>
      <c r="AI46" s="1083"/>
      <c r="AJ46" s="1083"/>
      <c r="AK46" s="1083"/>
      <c r="AL46" s="1083"/>
      <c r="AM46" s="1083"/>
      <c r="AN46" s="1083"/>
      <c r="AO46" s="1083"/>
      <c r="AP46" s="1083"/>
      <c r="AQ46" s="1083"/>
      <c r="AR46" s="1083"/>
      <c r="AS46" s="1083"/>
      <c r="AT46" s="1083"/>
      <c r="AU46" s="1083"/>
      <c r="AV46" s="1083"/>
      <c r="AW46" s="1083"/>
      <c r="AX46" s="1083"/>
      <c r="AY46" s="1083"/>
      <c r="AZ46" s="1083"/>
      <c r="BA46" s="1083"/>
      <c r="BB46" s="1083"/>
      <c r="BC46" s="1083"/>
      <c r="BD46" s="1083"/>
      <c r="BE46" s="1083"/>
      <c r="BF46" s="1083"/>
      <c r="BG46" s="1083"/>
      <c r="BH46" s="1083"/>
      <c r="BI46" s="1083"/>
      <c r="BJ46" s="1083"/>
      <c r="BK46" s="1083"/>
      <c r="BL46" s="1083"/>
      <c r="BM46" s="1083"/>
      <c r="BN46" s="1083"/>
      <c r="BO46" s="1083"/>
      <c r="BP46" s="1083"/>
      <c r="BQ46" s="1083"/>
      <c r="BR46" s="1083"/>
      <c r="BS46" s="1083"/>
      <c r="BT46" s="1083"/>
      <c r="BU46" s="1083"/>
    </row>
    <row r="47" spans="1:73" x14ac:dyDescent="0.25">
      <c r="A47" s="1083"/>
      <c r="B47" s="1098" t="s">
        <v>1154</v>
      </c>
      <c r="C47" s="1083"/>
      <c r="D47" s="1083"/>
      <c r="E47" s="1083"/>
      <c r="F47" s="1083"/>
      <c r="G47" s="1083"/>
      <c r="H47" s="1083"/>
      <c r="I47" s="1083"/>
      <c r="J47" s="1083"/>
      <c r="K47" s="1083"/>
      <c r="L47" s="1083"/>
      <c r="M47" s="1083"/>
      <c r="N47" s="1083"/>
      <c r="O47" s="1083"/>
      <c r="P47" s="1083"/>
      <c r="Q47" s="1083"/>
      <c r="R47" s="1083"/>
      <c r="S47" s="1083"/>
      <c r="T47" s="1083"/>
      <c r="U47" s="1083"/>
      <c r="V47" s="1083"/>
      <c r="W47" s="1083"/>
      <c r="X47" s="1083"/>
      <c r="Y47" s="1083"/>
      <c r="Z47" s="1083"/>
      <c r="AA47" s="1083"/>
      <c r="AB47" s="1083"/>
      <c r="AC47" s="1083"/>
      <c r="AD47" s="1083"/>
      <c r="AE47" s="1083"/>
      <c r="AF47" s="1083"/>
      <c r="AG47" s="1083"/>
      <c r="AH47" s="1083"/>
      <c r="AI47" s="1083"/>
      <c r="AJ47" s="1083"/>
      <c r="AK47" s="1083"/>
      <c r="AL47" s="1083"/>
      <c r="AM47" s="1083"/>
      <c r="AN47" s="1083"/>
      <c r="AO47" s="1083"/>
      <c r="AP47" s="1083"/>
      <c r="AQ47" s="1083"/>
      <c r="AR47" s="1083"/>
      <c r="AS47" s="1083"/>
      <c r="AT47" s="1083"/>
      <c r="AU47" s="1083"/>
      <c r="AV47" s="1083"/>
      <c r="AW47" s="1083"/>
      <c r="AX47" s="1083"/>
      <c r="AY47" s="1083"/>
      <c r="AZ47" s="1083"/>
      <c r="BA47" s="1083"/>
      <c r="BB47" s="1083"/>
      <c r="BC47" s="1083"/>
      <c r="BD47" s="1083"/>
      <c r="BE47" s="1083"/>
      <c r="BF47" s="1083"/>
      <c r="BG47" s="1083"/>
      <c r="BH47" s="1083"/>
      <c r="BI47" s="1083"/>
      <c r="BJ47" s="1083"/>
      <c r="BK47" s="1083"/>
      <c r="BL47" s="1083"/>
      <c r="BM47" s="1083"/>
      <c r="BN47" s="1083"/>
      <c r="BO47" s="1083"/>
      <c r="BP47" s="1083"/>
      <c r="BQ47" s="1083"/>
      <c r="BR47" s="1083"/>
      <c r="BS47" s="1083"/>
      <c r="BT47" s="1083"/>
      <c r="BU47" s="1083"/>
    </row>
    <row r="48" spans="1:73" x14ac:dyDescent="0.25">
      <c r="A48" s="1083"/>
      <c r="B48" s="1086">
        <v>1</v>
      </c>
      <c r="C48" s="1088">
        <f t="shared" ref="C48:E48" ca="1" si="5">+OFFSET(C50,$B$48,0)</f>
        <v>1</v>
      </c>
      <c r="D48" s="1088">
        <f t="shared" ca="1" si="5"/>
        <v>1</v>
      </c>
      <c r="E48" s="1088">
        <f t="shared" ca="1" si="5"/>
        <v>1</v>
      </c>
      <c r="F48" s="1088">
        <f ca="1">+OFFSET(F50,$B$48,0)</f>
        <v>1</v>
      </c>
      <c r="G48" s="1088">
        <f ca="1">+OFFSET(G50,$B$48,0)</f>
        <v>1</v>
      </c>
      <c r="H48" s="1088">
        <f ca="1">+OFFSET(H50,$B$48,0)</f>
        <v>1</v>
      </c>
      <c r="I48" s="1088">
        <f ca="1">+OFFSET(I50,$B$48,0)</f>
        <v>1</v>
      </c>
      <c r="J48" s="1083"/>
      <c r="K48" s="1100">
        <f ca="1">+'Cash Flow Analysis'!F118</f>
        <v>2.096272488534916</v>
      </c>
      <c r="L48" s="1100">
        <f ca="1">+'Cash Flow Analysis'!Q118</f>
        <v>0</v>
      </c>
      <c r="M48" s="1100">
        <f ca="1">+'Cash Flow Analysis'!L118</f>
        <v>7.833954497661123E-3</v>
      </c>
      <c r="N48" s="1100">
        <f ca="1">+'Cash Flow Analysis'!H117</f>
        <v>0.34493720750075096</v>
      </c>
      <c r="O48" s="1100">
        <f ca="1">+'Cash Flow Analysis'!I117</f>
        <v>0.2102763660312999</v>
      </c>
      <c r="P48" s="1100">
        <f ca="1">+'Cash Flow Analysis'!J117</f>
        <v>1.6716247250263983E-2</v>
      </c>
      <c r="Q48" s="1100">
        <f ca="1">+'Cash Flow Analysis'!K117</f>
        <v>5.3597733382844371E-4</v>
      </c>
      <c r="R48" s="1100">
        <f ca="1">+'Cash Flow Analysis'!M117</f>
        <v>7.8293879683621684E-3</v>
      </c>
      <c r="S48" s="1100">
        <f ca="1">+'Cash Flow Analysis'!N117</f>
        <v>0.45559227155166604</v>
      </c>
      <c r="T48" s="1100">
        <f ca="1">+'Cash Flow Analysis'!O117</f>
        <v>0.48092254303115112</v>
      </c>
      <c r="U48" s="1100">
        <f ca="1">+'Cash Flow Analysis'!P117</f>
        <v>8.0066254969842487E-3</v>
      </c>
      <c r="V48" s="1100">
        <f ca="1">+'Cash Flow Analysis'!R117</f>
        <v>0.28680615426802791</v>
      </c>
      <c r="W48" s="1100">
        <f ca="1">+'Cash Flow Analysis'!S117</f>
        <v>0.21388232359907813</v>
      </c>
      <c r="X48" s="1100">
        <f ca="1">+'Cash Flow Analysis'!X117</f>
        <v>5.2879312798845259E-2</v>
      </c>
      <c r="Y48" s="1100">
        <f ca="1">+'Cash Flow Analysis'!Z117</f>
        <v>2.5722026202317508E-2</v>
      </c>
      <c r="Z48" s="1083"/>
      <c r="AA48" s="1083"/>
      <c r="AB48" s="1083"/>
      <c r="AC48" s="1083"/>
      <c r="AD48" s="1083"/>
      <c r="AE48" s="1083"/>
      <c r="AF48" s="1083"/>
      <c r="AG48" s="1083"/>
      <c r="AH48" s="1083"/>
      <c r="AI48" s="1083"/>
      <c r="AJ48" s="1083"/>
      <c r="AK48" s="1083"/>
      <c r="AL48" s="1083"/>
      <c r="AM48" s="1083"/>
      <c r="AN48" s="1083"/>
      <c r="AO48" s="1083"/>
      <c r="AP48" s="1083"/>
      <c r="AQ48" s="1083"/>
      <c r="AR48" s="1083"/>
      <c r="AS48" s="1083"/>
      <c r="AT48" s="1083"/>
      <c r="AU48" s="1083"/>
      <c r="AV48" s="1083"/>
      <c r="AW48" s="1083"/>
      <c r="AX48" s="1083"/>
      <c r="AY48" s="1083"/>
      <c r="AZ48" s="1083"/>
      <c r="BA48" s="1083"/>
      <c r="BB48" s="1083"/>
      <c r="BC48" s="1083"/>
      <c r="BD48" s="1083"/>
      <c r="BE48" s="1083"/>
      <c r="BF48" s="1083"/>
      <c r="BG48" s="1083"/>
      <c r="BH48" s="1083"/>
      <c r="BI48" s="1083"/>
      <c r="BJ48" s="1083"/>
      <c r="BK48" s="1083"/>
      <c r="BL48" s="1083"/>
      <c r="BM48" s="1083"/>
      <c r="BN48" s="1083"/>
      <c r="BO48" s="1083"/>
      <c r="BP48" s="1083"/>
      <c r="BQ48" s="1083"/>
      <c r="BR48" s="1083"/>
      <c r="BS48" s="1083"/>
      <c r="BT48" s="1083"/>
      <c r="BU48" s="1083"/>
    </row>
    <row r="49" spans="1:73" x14ac:dyDescent="0.25">
      <c r="A49" s="1083"/>
      <c r="B49" s="1085"/>
      <c r="C49" s="1085"/>
      <c r="D49" s="1085"/>
      <c r="E49" s="1085"/>
      <c r="F49" s="1085"/>
      <c r="G49" s="1085"/>
      <c r="H49" s="1085"/>
      <c r="I49" s="1085"/>
      <c r="J49" s="1085"/>
      <c r="K49" s="1085"/>
      <c r="L49" s="1085"/>
      <c r="M49" s="1085"/>
      <c r="N49" s="1083"/>
      <c r="O49" s="1083"/>
      <c r="P49" s="1083"/>
      <c r="Q49" s="1083"/>
      <c r="R49" s="1083"/>
      <c r="S49" s="1083"/>
      <c r="T49" s="1083"/>
      <c r="U49" s="1083"/>
      <c r="V49" s="1083"/>
      <c r="W49" s="1083"/>
      <c r="X49" s="1083"/>
      <c r="Y49" s="1083"/>
      <c r="Z49" s="1083"/>
      <c r="AA49" s="1083"/>
      <c r="AB49" s="1083"/>
      <c r="AC49" s="1083"/>
      <c r="AD49" s="1083"/>
      <c r="AE49" s="1083"/>
      <c r="AF49" s="1083"/>
      <c r="AG49" s="1083"/>
      <c r="AH49" s="1083"/>
      <c r="AI49" s="1083"/>
      <c r="AJ49" s="1083"/>
      <c r="AK49" s="1083"/>
      <c r="AL49" s="1083"/>
      <c r="AM49" s="1083"/>
      <c r="AN49" s="1083"/>
      <c r="AO49" s="1083"/>
      <c r="AP49" s="1083"/>
      <c r="AQ49" s="1083"/>
      <c r="AR49" s="1083"/>
      <c r="AS49" s="1083"/>
      <c r="AT49" s="1083"/>
      <c r="AU49" s="1083"/>
      <c r="AV49" s="1083"/>
      <c r="AW49" s="1083"/>
      <c r="AX49" s="1083"/>
      <c r="AY49" s="1083"/>
      <c r="AZ49" s="1083"/>
      <c r="BA49" s="1083"/>
      <c r="BB49" s="1083"/>
      <c r="BC49" s="1083"/>
      <c r="BD49" s="1083"/>
      <c r="BE49" s="1083"/>
      <c r="BF49" s="1083"/>
      <c r="BG49" s="1083"/>
      <c r="BH49" s="1083"/>
      <c r="BI49" s="1083"/>
      <c r="BJ49" s="1083"/>
      <c r="BK49" s="1083"/>
      <c r="BL49" s="1083"/>
      <c r="BM49" s="1083"/>
      <c r="BN49" s="1083"/>
      <c r="BO49" s="1083"/>
      <c r="BP49" s="1083"/>
      <c r="BQ49" s="1083"/>
      <c r="BR49" s="1083"/>
      <c r="BS49" s="1083"/>
      <c r="BT49" s="1083"/>
      <c r="BU49" s="1083"/>
    </row>
    <row r="50" spans="1:73" ht="52.8" x14ac:dyDescent="0.25">
      <c r="A50" s="1083"/>
      <c r="B50" s="1094" t="s">
        <v>1138</v>
      </c>
      <c r="C50" s="1094" t="s">
        <v>1339</v>
      </c>
      <c r="D50" s="1094" t="s">
        <v>1340</v>
      </c>
      <c r="E50" s="1094" t="s">
        <v>1341</v>
      </c>
      <c r="F50" s="1094" t="s">
        <v>1342</v>
      </c>
      <c r="G50" s="1094" t="s">
        <v>1343</v>
      </c>
      <c r="H50" s="1094" t="s">
        <v>1359</v>
      </c>
      <c r="I50" s="1094" t="s">
        <v>1358</v>
      </c>
      <c r="J50" s="1083"/>
      <c r="K50" s="1094" t="s">
        <v>1360</v>
      </c>
      <c r="L50" s="1094" t="s">
        <v>1344</v>
      </c>
      <c r="M50" s="1094" t="s">
        <v>1345</v>
      </c>
      <c r="N50" s="1094" t="s">
        <v>1346</v>
      </c>
      <c r="O50" s="1094" t="s">
        <v>1347</v>
      </c>
      <c r="P50" s="1094" t="s">
        <v>1348</v>
      </c>
      <c r="Q50" s="1094" t="s">
        <v>1349</v>
      </c>
      <c r="R50" s="1094" t="s">
        <v>1350</v>
      </c>
      <c r="S50" s="1094" t="s">
        <v>1351</v>
      </c>
      <c r="T50" s="1094" t="s">
        <v>1352</v>
      </c>
      <c r="U50" s="1094" t="s">
        <v>1353</v>
      </c>
      <c r="V50" s="1094" t="s">
        <v>1354</v>
      </c>
      <c r="W50" s="1094" t="s">
        <v>1355</v>
      </c>
      <c r="X50" s="1094" t="s">
        <v>1356</v>
      </c>
      <c r="Y50" s="1094" t="s">
        <v>1357</v>
      </c>
      <c r="Z50" s="1083"/>
      <c r="AA50" s="1083"/>
      <c r="AB50" s="1083"/>
      <c r="AC50" s="1083"/>
      <c r="AD50" s="1083"/>
      <c r="AE50" s="1083"/>
      <c r="AF50" s="1083"/>
      <c r="AG50" s="1083"/>
      <c r="AH50" s="1083"/>
      <c r="AI50" s="1083"/>
      <c r="AJ50" s="1083"/>
      <c r="AK50" s="1083"/>
      <c r="AL50" s="1083"/>
      <c r="AM50" s="1083"/>
      <c r="AN50" s="1083"/>
      <c r="AO50" s="1083"/>
      <c r="AP50" s="1083"/>
      <c r="AQ50" s="1083"/>
      <c r="AR50" s="1083"/>
      <c r="AS50" s="1083"/>
      <c r="AT50" s="1083"/>
      <c r="AU50" s="1083"/>
      <c r="AV50" s="1083"/>
      <c r="AW50" s="1083"/>
      <c r="AX50" s="1083"/>
      <c r="AY50" s="1083"/>
      <c r="AZ50" s="1083"/>
      <c r="BA50" s="1083"/>
      <c r="BB50" s="1083"/>
      <c r="BC50" s="1083"/>
      <c r="BD50" s="1083"/>
      <c r="BE50" s="1083"/>
      <c r="BF50" s="1083"/>
      <c r="BG50" s="1083"/>
      <c r="BH50" s="1083"/>
      <c r="BI50" s="1083"/>
      <c r="BJ50" s="1083"/>
      <c r="BK50" s="1083"/>
      <c r="BL50" s="1083"/>
      <c r="BM50" s="1083"/>
      <c r="BN50" s="1083"/>
      <c r="BO50" s="1083"/>
      <c r="BP50" s="1083"/>
      <c r="BQ50" s="1083"/>
      <c r="BR50" s="1083"/>
      <c r="BS50" s="1083"/>
      <c r="BT50" s="1083"/>
      <c r="BU50" s="1083"/>
    </row>
    <row r="51" spans="1:73" x14ac:dyDescent="0.25">
      <c r="A51" s="1083"/>
      <c r="B51" s="1095">
        <v>1</v>
      </c>
      <c r="C51" s="1088">
        <v>1</v>
      </c>
      <c r="D51" s="1088">
        <v>1</v>
      </c>
      <c r="E51" s="1088">
        <v>1</v>
      </c>
      <c r="F51" s="1088">
        <v>1</v>
      </c>
      <c r="G51" s="1088">
        <v>1</v>
      </c>
      <c r="H51" s="1088">
        <v>1</v>
      </c>
      <c r="I51" s="1088">
        <v>1</v>
      </c>
      <c r="J51" s="1083"/>
      <c r="K51" s="1101">
        <v>1.8491740829657206</v>
      </c>
      <c r="L51" s="1102">
        <v>0</v>
      </c>
      <c r="M51" s="1102">
        <v>3.6370810062790462E-3</v>
      </c>
      <c r="N51" s="1102">
        <v>0.34534711025346798</v>
      </c>
      <c r="O51" s="1102">
        <v>0.23874163416600355</v>
      </c>
      <c r="P51" s="1102">
        <v>1.320283908623009E-2</v>
      </c>
      <c r="Q51" s="1102">
        <v>1.5837029979080296E-3</v>
      </c>
      <c r="R51" s="1102">
        <v>3.6308310639724464E-3</v>
      </c>
      <c r="S51" s="1102">
        <v>0.36517456991515829</v>
      </c>
      <c r="T51" s="1102">
        <v>0.40269372654596947</v>
      </c>
      <c r="U51" s="1102">
        <v>0</v>
      </c>
      <c r="V51" s="1102">
        <v>0.19976377164187348</v>
      </c>
      <c r="W51" s="1102">
        <v>0.21997825832401219</v>
      </c>
      <c r="X51" s="1102">
        <v>5.281279472440787E-2</v>
      </c>
      <c r="Y51" s="1102">
        <v>9.8819252529944342E-3</v>
      </c>
      <c r="Z51" s="1217"/>
      <c r="AA51" s="1083"/>
      <c r="AB51" s="1083"/>
      <c r="AC51" s="1083"/>
      <c r="AD51" s="1083"/>
      <c r="AE51" s="1083"/>
      <c r="AF51" s="1083"/>
      <c r="AG51" s="1083"/>
      <c r="AH51" s="1083"/>
      <c r="AI51" s="1083"/>
      <c r="AJ51" s="1083"/>
      <c r="AK51" s="1083"/>
      <c r="AL51" s="1083"/>
      <c r="AM51" s="1083"/>
      <c r="AN51" s="1083"/>
      <c r="AO51" s="1083"/>
      <c r="AP51" s="1083"/>
      <c r="AQ51" s="1083"/>
      <c r="AR51" s="1083"/>
      <c r="AS51" s="1083"/>
      <c r="AT51" s="1083"/>
      <c r="AU51" s="1083"/>
      <c r="AV51" s="1083"/>
      <c r="AW51" s="1083"/>
      <c r="AX51" s="1083"/>
      <c r="AY51" s="1083"/>
      <c r="AZ51" s="1083"/>
      <c r="BA51" s="1083"/>
      <c r="BB51" s="1083"/>
      <c r="BC51" s="1083"/>
      <c r="BD51" s="1083"/>
      <c r="BE51" s="1083"/>
      <c r="BF51" s="1083"/>
      <c r="BG51" s="1083"/>
      <c r="BH51" s="1083"/>
      <c r="BI51" s="1083"/>
      <c r="BJ51" s="1083"/>
      <c r="BK51" s="1083"/>
      <c r="BL51" s="1083"/>
      <c r="BM51" s="1083"/>
      <c r="BN51" s="1083"/>
      <c r="BO51" s="1083"/>
      <c r="BP51" s="1083"/>
      <c r="BQ51" s="1083"/>
      <c r="BR51" s="1083"/>
      <c r="BS51" s="1083"/>
      <c r="BT51" s="1083"/>
      <c r="BU51" s="1083"/>
    </row>
    <row r="52" spans="1:73" x14ac:dyDescent="0.25">
      <c r="A52" s="1083"/>
      <c r="B52" s="1103">
        <f>+B51+1</f>
        <v>2</v>
      </c>
      <c r="C52" s="1104">
        <f>+F3</f>
        <v>1.05</v>
      </c>
      <c r="D52" s="1104">
        <v>1</v>
      </c>
      <c r="E52" s="1104">
        <v>1</v>
      </c>
      <c r="F52" s="1104">
        <v>1</v>
      </c>
      <c r="G52" s="1104">
        <v>1</v>
      </c>
      <c r="H52" s="1104">
        <v>1</v>
      </c>
      <c r="I52" s="1104">
        <v>1</v>
      </c>
      <c r="J52" s="1083"/>
      <c r="K52" s="1101">
        <v>1.7912603889642307</v>
      </c>
      <c r="L52" s="1102">
        <v>0</v>
      </c>
      <c r="M52" s="1102">
        <v>3.4626932688945357E-3</v>
      </c>
      <c r="N52" s="1102">
        <v>0.32878849896563644</v>
      </c>
      <c r="O52" s="1102">
        <v>0.23285979484018343</v>
      </c>
      <c r="P52" s="1102">
        <v>1.2894250535825194E-2</v>
      </c>
      <c r="Q52" s="1102">
        <v>1.5082885694362189E-3</v>
      </c>
      <c r="R52" s="1102">
        <v>3.4567409428882508E-3</v>
      </c>
      <c r="S52" s="1102">
        <v>0.3477257845340902</v>
      </c>
      <c r="T52" s="1102">
        <v>0.40269372654596958</v>
      </c>
      <c r="U52" s="1102">
        <v>0</v>
      </c>
      <c r="V52" s="1102">
        <v>0.19459846963289612</v>
      </c>
      <c r="W52" s="1102">
        <v>0.20943079936688319</v>
      </c>
      <c r="X52" s="1102">
        <v>5.135861896711829E-2</v>
      </c>
      <c r="Y52" s="1102">
        <v>9.408109332196244E-3</v>
      </c>
      <c r="Z52" s="1217"/>
      <c r="AA52" s="1083"/>
      <c r="AB52" s="1083"/>
      <c r="AC52" s="1083"/>
      <c r="AD52" s="1083"/>
      <c r="AE52" s="1083"/>
      <c r="AF52" s="1083"/>
      <c r="AG52" s="1083"/>
      <c r="AH52" s="1083"/>
      <c r="AI52" s="1083"/>
      <c r="AJ52" s="1083"/>
      <c r="AK52" s="1083"/>
      <c r="AL52" s="1083"/>
      <c r="AM52" s="1083"/>
      <c r="AN52" s="1083"/>
      <c r="AO52" s="1083"/>
      <c r="AP52" s="1083"/>
      <c r="AQ52" s="1083"/>
      <c r="AR52" s="1083"/>
      <c r="AS52" s="1083"/>
      <c r="AT52" s="1083"/>
      <c r="AU52" s="1083"/>
      <c r="AV52" s="1083"/>
      <c r="AW52" s="1083"/>
      <c r="AX52" s="1083"/>
      <c r="AY52" s="1083"/>
      <c r="AZ52" s="1083"/>
      <c r="BA52" s="1083"/>
      <c r="BB52" s="1083"/>
      <c r="BC52" s="1083"/>
      <c r="BD52" s="1083"/>
      <c r="BE52" s="1083"/>
      <c r="BF52" s="1083"/>
      <c r="BG52" s="1083"/>
      <c r="BH52" s="1083"/>
      <c r="BI52" s="1083"/>
      <c r="BJ52" s="1083"/>
      <c r="BK52" s="1083"/>
      <c r="BL52" s="1083"/>
      <c r="BM52" s="1083"/>
      <c r="BN52" s="1083"/>
      <c r="BO52" s="1083"/>
      <c r="BP52" s="1083"/>
      <c r="BQ52" s="1083"/>
      <c r="BR52" s="1083"/>
      <c r="BS52" s="1083"/>
      <c r="BT52" s="1083"/>
      <c r="BU52" s="1083"/>
    </row>
    <row r="53" spans="1:73" x14ac:dyDescent="0.25">
      <c r="A53" s="1083"/>
      <c r="B53" s="1103">
        <f t="shared" ref="B53:B70" si="6">+B52+1</f>
        <v>3</v>
      </c>
      <c r="C53" s="1104">
        <f>+G3</f>
        <v>0.95</v>
      </c>
      <c r="D53" s="1104">
        <v>1</v>
      </c>
      <c r="E53" s="1104">
        <v>1</v>
      </c>
      <c r="F53" s="1104">
        <v>1</v>
      </c>
      <c r="G53" s="1104">
        <v>1</v>
      </c>
      <c r="H53" s="1104">
        <v>1</v>
      </c>
      <c r="I53" s="1104">
        <v>1</v>
      </c>
      <c r="J53" s="1083"/>
      <c r="K53" s="1101">
        <v>1.9123888153652373</v>
      </c>
      <c r="L53" s="1102">
        <v>0</v>
      </c>
      <c r="M53" s="1102">
        <v>3.8281235444443278E-3</v>
      </c>
      <c r="N53" s="1102">
        <v>0.36348686596117197</v>
      </c>
      <c r="O53" s="1102">
        <v>0.24498110262090883</v>
      </c>
      <c r="P53" s="1102">
        <v>1.3541020100559742E-2</v>
      </c>
      <c r="Q53" s="1102">
        <v>1.6670557872716101E-3</v>
      </c>
      <c r="R53" s="1102">
        <v>3.8215446578058021E-3</v>
      </c>
      <c r="S53" s="1102">
        <v>0.38437519334821513</v>
      </c>
      <c r="T53" s="1102">
        <v>0.40269372654596919</v>
      </c>
      <c r="U53" s="1102">
        <v>0</v>
      </c>
      <c r="V53" s="1102">
        <v>0.20534584040177384</v>
      </c>
      <c r="W53" s="1102">
        <v>0.23153287033184108</v>
      </c>
      <c r="X53" s="1102">
        <v>5.4370734367473479E-2</v>
      </c>
      <c r="Y53" s="1102">
        <v>1.0400984786689519E-2</v>
      </c>
      <c r="Z53" s="1217"/>
      <c r="AA53" s="1083"/>
      <c r="AB53" s="1083"/>
      <c r="AC53" s="1083"/>
      <c r="AD53" s="1083"/>
      <c r="AE53" s="1083"/>
      <c r="AF53" s="1083"/>
      <c r="AG53" s="1083"/>
      <c r="AH53" s="1083"/>
      <c r="AI53" s="1083"/>
      <c r="AJ53" s="1083"/>
      <c r="AK53" s="1083"/>
      <c r="AL53" s="1083"/>
      <c r="AM53" s="1083"/>
      <c r="AN53" s="1083"/>
      <c r="AO53" s="1083"/>
      <c r="AP53" s="1083"/>
      <c r="AQ53" s="1083"/>
      <c r="AR53" s="1083"/>
      <c r="AS53" s="1083"/>
      <c r="AT53" s="1083"/>
      <c r="AU53" s="1083"/>
      <c r="AV53" s="1083"/>
      <c r="AW53" s="1083"/>
      <c r="AX53" s="1083"/>
      <c r="AY53" s="1083"/>
      <c r="AZ53" s="1083"/>
      <c r="BA53" s="1083"/>
      <c r="BB53" s="1083"/>
      <c r="BC53" s="1083"/>
      <c r="BD53" s="1083"/>
      <c r="BE53" s="1083"/>
      <c r="BF53" s="1083"/>
      <c r="BG53" s="1083"/>
      <c r="BH53" s="1083"/>
      <c r="BI53" s="1083"/>
      <c r="BJ53" s="1083"/>
      <c r="BK53" s="1083"/>
      <c r="BL53" s="1083"/>
      <c r="BM53" s="1083"/>
      <c r="BN53" s="1083"/>
      <c r="BO53" s="1083"/>
      <c r="BP53" s="1083"/>
      <c r="BQ53" s="1083"/>
      <c r="BR53" s="1083"/>
      <c r="BS53" s="1083"/>
      <c r="BT53" s="1083"/>
      <c r="BU53" s="1083"/>
    </row>
    <row r="54" spans="1:73" x14ac:dyDescent="0.25">
      <c r="A54" s="1083"/>
      <c r="B54" s="1095">
        <f t="shared" si="6"/>
        <v>4</v>
      </c>
      <c r="C54" s="1088">
        <v>1</v>
      </c>
      <c r="D54" s="1088">
        <f>+F4</f>
        <v>1.05</v>
      </c>
      <c r="E54" s="1088">
        <v>1</v>
      </c>
      <c r="F54" s="1088">
        <v>1</v>
      </c>
      <c r="G54" s="1088">
        <v>1</v>
      </c>
      <c r="H54" s="1088">
        <v>1</v>
      </c>
      <c r="I54" s="1088">
        <v>1</v>
      </c>
      <c r="J54" s="1083"/>
      <c r="K54" s="1101">
        <v>1.8156618367626984</v>
      </c>
      <c r="L54" s="1102">
        <v>0</v>
      </c>
      <c r="M54" s="1102">
        <v>3.5418784228434153E-3</v>
      </c>
      <c r="N54" s="1102">
        <v>0.336303389569654</v>
      </c>
      <c r="O54" s="1102">
        <v>0.23388317597847552</v>
      </c>
      <c r="P54" s="1102">
        <v>1.3034774516267906E-2</v>
      </c>
      <c r="Q54" s="1102">
        <v>1.5530949916168176E-3</v>
      </c>
      <c r="R54" s="1102">
        <v>3.5357492722974501E-3</v>
      </c>
      <c r="S54" s="1102">
        <v>0.35544319217040965</v>
      </c>
      <c r="T54" s="1102">
        <v>0.40269372654596958</v>
      </c>
      <c r="U54" s="1102">
        <v>0</v>
      </c>
      <c r="V54" s="1102">
        <v>0.19717898645868709</v>
      </c>
      <c r="W54" s="1102">
        <v>0.21421761384277091</v>
      </c>
      <c r="X54" s="1102">
        <v>5.1736867879631374E-2</v>
      </c>
      <c r="Y54" s="1102">
        <v>9.6231439597592987E-3</v>
      </c>
      <c r="Z54" s="1217"/>
      <c r="AA54" s="1083"/>
      <c r="AB54" s="1083"/>
      <c r="AC54" s="1083"/>
      <c r="AD54" s="1083"/>
      <c r="AE54" s="1083"/>
      <c r="AF54" s="1083"/>
      <c r="AG54" s="1083"/>
      <c r="AH54" s="1083"/>
      <c r="AI54" s="1083"/>
      <c r="AJ54" s="1083"/>
      <c r="AK54" s="1083"/>
      <c r="AL54" s="1083"/>
      <c r="AM54" s="1083"/>
      <c r="AN54" s="1083"/>
      <c r="AO54" s="1083"/>
      <c r="AP54" s="1083"/>
      <c r="AQ54" s="1083"/>
      <c r="AR54" s="1083"/>
      <c r="AS54" s="1083"/>
      <c r="AT54" s="1083"/>
      <c r="AU54" s="1083"/>
      <c r="AV54" s="1083"/>
      <c r="AW54" s="1083"/>
      <c r="AX54" s="1083"/>
      <c r="AY54" s="1083"/>
      <c r="AZ54" s="1083"/>
      <c r="BA54" s="1083"/>
      <c r="BB54" s="1083"/>
      <c r="BC54" s="1083"/>
      <c r="BD54" s="1083"/>
      <c r="BE54" s="1083"/>
      <c r="BF54" s="1083"/>
      <c r="BG54" s="1083"/>
      <c r="BH54" s="1083"/>
      <c r="BI54" s="1083"/>
      <c r="BJ54" s="1083"/>
      <c r="BK54" s="1083"/>
      <c r="BL54" s="1083"/>
      <c r="BM54" s="1083"/>
      <c r="BN54" s="1083"/>
      <c r="BO54" s="1083"/>
      <c r="BP54" s="1083"/>
      <c r="BQ54" s="1083"/>
      <c r="BR54" s="1083"/>
      <c r="BS54" s="1083"/>
      <c r="BT54" s="1083"/>
      <c r="BU54" s="1083"/>
    </row>
    <row r="55" spans="1:73" x14ac:dyDescent="0.25">
      <c r="A55" s="1083"/>
      <c r="B55" s="1095">
        <f t="shared" si="6"/>
        <v>5</v>
      </c>
      <c r="C55" s="1088">
        <v>1</v>
      </c>
      <c r="D55" s="1088">
        <f>+G4</f>
        <v>0.95</v>
      </c>
      <c r="E55" s="1088">
        <v>1</v>
      </c>
      <c r="F55" s="1088">
        <v>1</v>
      </c>
      <c r="G55" s="1088">
        <v>1</v>
      </c>
      <c r="H55" s="1088">
        <v>1</v>
      </c>
      <c r="I55" s="1088">
        <v>1</v>
      </c>
      <c r="J55" s="1083"/>
      <c r="K55" s="1101">
        <v>1.8849687250954414</v>
      </c>
      <c r="L55" s="1102">
        <v>0</v>
      </c>
      <c r="M55" s="1102">
        <v>3.7388449771865303E-3</v>
      </c>
      <c r="N55" s="1102">
        <v>0.35501408474785112</v>
      </c>
      <c r="O55" s="1102">
        <v>0.24382727551423722</v>
      </c>
      <c r="P55" s="1102">
        <v>1.3383813052922383E-2</v>
      </c>
      <c r="Q55" s="1102">
        <v>1.6165319650883042E-3</v>
      </c>
      <c r="R55" s="1102">
        <v>3.732465478295689E-3</v>
      </c>
      <c r="S55" s="1102">
        <v>0.37570684556305534</v>
      </c>
      <c r="T55" s="1102">
        <v>0.40269372654596919</v>
      </c>
      <c r="U55" s="1102">
        <v>0</v>
      </c>
      <c r="V55" s="1102">
        <v>0.20249368971841056</v>
      </c>
      <c r="W55" s="1102">
        <v>0.22613590131391953</v>
      </c>
      <c r="X55" s="1102">
        <v>5.3944695547871048E-2</v>
      </c>
      <c r="Y55" s="1102">
        <v>1.0158540625006623E-2</v>
      </c>
      <c r="Z55" s="1217"/>
      <c r="AA55" s="1083"/>
      <c r="AB55" s="1083"/>
      <c r="AC55" s="1083"/>
      <c r="AD55" s="1083"/>
      <c r="AE55" s="1083"/>
      <c r="AF55" s="1083"/>
      <c r="AG55" s="1083"/>
      <c r="AH55" s="1083"/>
      <c r="AI55" s="1083"/>
      <c r="AJ55" s="1083"/>
      <c r="AK55" s="1083"/>
      <c r="AL55" s="1083"/>
      <c r="AM55" s="1083"/>
      <c r="AN55" s="1083"/>
      <c r="AO55" s="1083"/>
      <c r="AP55" s="1083"/>
      <c r="AQ55" s="1083"/>
      <c r="AR55" s="1083"/>
      <c r="AS55" s="1083"/>
      <c r="AT55" s="1083"/>
      <c r="AU55" s="1083"/>
      <c r="AV55" s="1083"/>
      <c r="AW55" s="1083"/>
      <c r="AX55" s="1083"/>
      <c r="AY55" s="1083"/>
      <c r="AZ55" s="1083"/>
      <c r="BA55" s="1083"/>
      <c r="BB55" s="1083"/>
      <c r="BC55" s="1083"/>
      <c r="BD55" s="1083"/>
      <c r="BE55" s="1083"/>
      <c r="BF55" s="1083"/>
      <c r="BG55" s="1083"/>
      <c r="BH55" s="1083"/>
      <c r="BI55" s="1083"/>
      <c r="BJ55" s="1083"/>
      <c r="BK55" s="1083"/>
      <c r="BL55" s="1083"/>
      <c r="BM55" s="1083"/>
      <c r="BN55" s="1083"/>
      <c r="BO55" s="1083"/>
      <c r="BP55" s="1083"/>
      <c r="BQ55" s="1083"/>
      <c r="BR55" s="1083"/>
      <c r="BS55" s="1083"/>
      <c r="BT55" s="1083"/>
      <c r="BU55" s="1083"/>
    </row>
    <row r="56" spans="1:73" x14ac:dyDescent="0.25">
      <c r="A56" s="1083"/>
      <c r="B56" s="1103">
        <f t="shared" si="6"/>
        <v>6</v>
      </c>
      <c r="C56" s="1104">
        <v>1</v>
      </c>
      <c r="D56" s="1104">
        <v>1</v>
      </c>
      <c r="E56" s="1104">
        <f>+F5</f>
        <v>0.95</v>
      </c>
      <c r="F56" s="1104">
        <v>1</v>
      </c>
      <c r="G56" s="1104">
        <v>1</v>
      </c>
      <c r="H56" s="1104">
        <v>1</v>
      </c>
      <c r="I56" s="1104">
        <v>1</v>
      </c>
      <c r="J56" s="1083"/>
      <c r="K56" s="1101">
        <v>1.8218064218176202</v>
      </c>
      <c r="L56" s="1102">
        <v>0</v>
      </c>
      <c r="M56" s="1102">
        <v>4.0271113542573005E-3</v>
      </c>
      <c r="N56" s="1102">
        <v>0.32817738289123682</v>
      </c>
      <c r="O56" s="1102">
        <v>0.2380235204280392</v>
      </c>
      <c r="P56" s="1102">
        <v>1.2693533222636456E-2</v>
      </c>
      <c r="Q56" s="1102">
        <v>1.5004864186657948E-3</v>
      </c>
      <c r="R56" s="1102">
        <v>4.020191185698253E-3</v>
      </c>
      <c r="S56" s="1102">
        <v>0.36460403329098245</v>
      </c>
      <c r="T56" s="1102">
        <v>0.40239626114265992</v>
      </c>
      <c r="U56" s="1102">
        <v>0</v>
      </c>
      <c r="V56" s="1102">
        <v>0.19946415253352626</v>
      </c>
      <c r="W56" s="1102">
        <v>0.21580416835197552</v>
      </c>
      <c r="X56" s="1102">
        <v>4.8208168554653937E-2</v>
      </c>
      <c r="Y56" s="1102">
        <v>1.0941635151802447E-2</v>
      </c>
      <c r="Z56" s="1217"/>
      <c r="AA56" s="1083"/>
      <c r="AB56" s="1083"/>
      <c r="AC56" s="1083"/>
      <c r="AD56" s="1083"/>
      <c r="AE56" s="1083"/>
      <c r="AF56" s="1083"/>
      <c r="AG56" s="1083"/>
      <c r="AH56" s="1083"/>
      <c r="AI56" s="1083"/>
      <c r="AJ56" s="1083"/>
      <c r="AK56" s="1083"/>
      <c r="AL56" s="1083"/>
      <c r="AM56" s="1083"/>
      <c r="AN56" s="1083"/>
      <c r="AO56" s="1083"/>
      <c r="AP56" s="1083"/>
      <c r="AQ56" s="1083"/>
      <c r="AR56" s="1083"/>
      <c r="AS56" s="1083"/>
      <c r="AT56" s="1083"/>
      <c r="AU56" s="1083"/>
      <c r="AV56" s="1083"/>
      <c r="AW56" s="1083"/>
      <c r="AX56" s="1083"/>
      <c r="AY56" s="1083"/>
      <c r="AZ56" s="1083"/>
      <c r="BA56" s="1083"/>
      <c r="BB56" s="1083"/>
      <c r="BC56" s="1083"/>
      <c r="BD56" s="1083"/>
      <c r="BE56" s="1083"/>
      <c r="BF56" s="1083"/>
      <c r="BG56" s="1083"/>
      <c r="BH56" s="1083"/>
      <c r="BI56" s="1083"/>
      <c r="BJ56" s="1083"/>
      <c r="BK56" s="1083"/>
      <c r="BL56" s="1083"/>
      <c r="BM56" s="1083"/>
      <c r="BN56" s="1083"/>
      <c r="BO56" s="1083"/>
      <c r="BP56" s="1083"/>
      <c r="BQ56" s="1083"/>
      <c r="BR56" s="1083"/>
      <c r="BS56" s="1083"/>
      <c r="BT56" s="1083"/>
      <c r="BU56" s="1083"/>
    </row>
    <row r="57" spans="1:73" x14ac:dyDescent="0.25">
      <c r="A57" s="1083"/>
      <c r="B57" s="1103">
        <f t="shared" si="6"/>
        <v>7</v>
      </c>
      <c r="C57" s="1104">
        <v>1</v>
      </c>
      <c r="D57" s="1104">
        <v>1</v>
      </c>
      <c r="E57" s="1104">
        <f>+G5</f>
        <v>1.05</v>
      </c>
      <c r="F57" s="1104">
        <v>1</v>
      </c>
      <c r="G57" s="1104">
        <v>1</v>
      </c>
      <c r="H57" s="1104">
        <v>1</v>
      </c>
      <c r="I57" s="1104">
        <v>1</v>
      </c>
      <c r="J57" s="1083"/>
      <c r="K57" s="1101">
        <v>1.8772996802143009</v>
      </c>
      <c r="L57" s="1102">
        <v>0</v>
      </c>
      <c r="M57" s="1102">
        <v>3.2821950937542582E-3</v>
      </c>
      <c r="N57" s="1102">
        <v>0.36292202135830925</v>
      </c>
      <c r="O57" s="1102">
        <v>0.23946519869848851</v>
      </c>
      <c r="P57" s="1102">
        <v>1.3709856584535024E-2</v>
      </c>
      <c r="Q57" s="1102">
        <v>1.6692342183562616E-3</v>
      </c>
      <c r="R57" s="1102">
        <v>3.2765549856732024E-3</v>
      </c>
      <c r="S57" s="1102">
        <v>0.36574943715959751</v>
      </c>
      <c r="T57" s="1102">
        <v>0.40300196401588734</v>
      </c>
      <c r="U57" s="1102">
        <v>0</v>
      </c>
      <c r="V57" s="1102">
        <v>0.20006599455678498</v>
      </c>
      <c r="W57" s="1102">
        <v>0.22419214572718418</v>
      </c>
      <c r="X57" s="1102">
        <v>5.7611765448294036E-2</v>
      </c>
      <c r="Y57" s="1102">
        <v>8.9177025549417172E-3</v>
      </c>
      <c r="Z57" s="1217"/>
      <c r="AA57" s="1083"/>
      <c r="AB57" s="1083"/>
      <c r="AC57" s="1083"/>
      <c r="AD57" s="1083"/>
      <c r="AE57" s="1083"/>
      <c r="AF57" s="1083"/>
      <c r="AG57" s="1083"/>
      <c r="AH57" s="1083"/>
      <c r="AI57" s="1083"/>
      <c r="AJ57" s="1083"/>
      <c r="AK57" s="1083"/>
      <c r="AL57" s="1083"/>
      <c r="AM57" s="1083"/>
      <c r="AN57" s="1083"/>
      <c r="AO57" s="1083"/>
      <c r="AP57" s="1083"/>
      <c r="AQ57" s="1083"/>
      <c r="AR57" s="1083"/>
      <c r="AS57" s="1083"/>
      <c r="AT57" s="1083"/>
      <c r="AU57" s="1083"/>
      <c r="AV57" s="1083"/>
      <c r="AW57" s="1083"/>
      <c r="AX57" s="1083"/>
      <c r="AY57" s="1083"/>
      <c r="AZ57" s="1083"/>
      <c r="BA57" s="1083"/>
      <c r="BB57" s="1083"/>
      <c r="BC57" s="1083"/>
      <c r="BD57" s="1083"/>
      <c r="BE57" s="1083"/>
      <c r="BF57" s="1083"/>
      <c r="BG57" s="1083"/>
      <c r="BH57" s="1083"/>
      <c r="BI57" s="1083"/>
      <c r="BJ57" s="1083"/>
      <c r="BK57" s="1083"/>
      <c r="BL57" s="1083"/>
      <c r="BM57" s="1083"/>
      <c r="BN57" s="1083"/>
      <c r="BO57" s="1083"/>
      <c r="BP57" s="1083"/>
      <c r="BQ57" s="1083"/>
      <c r="BR57" s="1083"/>
      <c r="BS57" s="1083"/>
      <c r="BT57" s="1083"/>
      <c r="BU57" s="1083"/>
    </row>
    <row r="58" spans="1:73" x14ac:dyDescent="0.25">
      <c r="A58" s="1083"/>
      <c r="B58" s="1095">
        <f t="shared" si="6"/>
        <v>8</v>
      </c>
      <c r="C58" s="1088">
        <v>1</v>
      </c>
      <c r="D58" s="1088">
        <v>1</v>
      </c>
      <c r="E58" s="1088">
        <v>1</v>
      </c>
      <c r="F58" s="1088">
        <f>+F6</f>
        <v>0.95</v>
      </c>
      <c r="G58" s="1088">
        <v>1</v>
      </c>
      <c r="H58" s="1088">
        <v>1</v>
      </c>
      <c r="I58" s="1088">
        <v>1</v>
      </c>
      <c r="J58" s="1083"/>
      <c r="K58" s="1101">
        <v>1.8169845479284283</v>
      </c>
      <c r="L58" s="1102">
        <v>0</v>
      </c>
      <c r="M58" s="1102">
        <v>3.6362098602220794E-3</v>
      </c>
      <c r="N58" s="1102">
        <v>0.34526425104903752</v>
      </c>
      <c r="O58" s="1102">
        <v>0.23272547384003106</v>
      </c>
      <c r="P58" s="1102">
        <v>1.2868044790277654E-2</v>
      </c>
      <c r="Q58" s="1102">
        <v>1.5837029979080296E-3</v>
      </c>
      <c r="R58" s="1102">
        <v>3.6299599179154787E-3</v>
      </c>
      <c r="S58" s="1102">
        <v>0.36513112213708143</v>
      </c>
      <c r="T58" s="1102">
        <v>0.38255904021867082</v>
      </c>
      <c r="U58" s="1102">
        <v>0</v>
      </c>
      <c r="V58" s="1102">
        <v>0.19540253632563279</v>
      </c>
      <c r="W58" s="1102">
        <v>0.21992547889445976</v>
      </c>
      <c r="X58" s="1102">
        <v>5.1651593337033223E-2</v>
      </c>
      <c r="Y58" s="1102">
        <v>9.8795542806005918E-3</v>
      </c>
      <c r="Z58" s="1217"/>
      <c r="AA58" s="1083"/>
      <c r="AB58" s="1083"/>
      <c r="AC58" s="1083"/>
      <c r="AD58" s="1083"/>
      <c r="AE58" s="1083"/>
      <c r="AF58" s="1083"/>
      <c r="AG58" s="1083"/>
      <c r="AH58" s="1083"/>
      <c r="AI58" s="1083"/>
      <c r="AJ58" s="1083"/>
      <c r="AK58" s="1083"/>
      <c r="AL58" s="1083"/>
      <c r="AM58" s="1083"/>
      <c r="AN58" s="1083"/>
      <c r="AO58" s="1083"/>
      <c r="AP58" s="1083"/>
      <c r="AQ58" s="1083"/>
      <c r="AR58" s="1083"/>
      <c r="AS58" s="1083"/>
      <c r="AT58" s="1083"/>
      <c r="AU58" s="1083"/>
      <c r="AV58" s="1083"/>
      <c r="AW58" s="1083"/>
      <c r="AX58" s="1083"/>
      <c r="AY58" s="1083"/>
      <c r="AZ58" s="1083"/>
      <c r="BA58" s="1083"/>
      <c r="BB58" s="1083"/>
      <c r="BC58" s="1083"/>
      <c r="BD58" s="1083"/>
      <c r="BE58" s="1083"/>
      <c r="BF58" s="1083"/>
      <c r="BG58" s="1083"/>
      <c r="BH58" s="1083"/>
      <c r="BI58" s="1083"/>
      <c r="BJ58" s="1083"/>
      <c r="BK58" s="1083"/>
      <c r="BL58" s="1083"/>
      <c r="BM58" s="1083"/>
      <c r="BN58" s="1083"/>
      <c r="BO58" s="1083"/>
      <c r="BP58" s="1083"/>
      <c r="BQ58" s="1083"/>
      <c r="BR58" s="1083"/>
      <c r="BS58" s="1083"/>
      <c r="BT58" s="1083"/>
      <c r="BU58" s="1083"/>
    </row>
    <row r="59" spans="1:73" x14ac:dyDescent="0.25">
      <c r="A59" s="1083"/>
      <c r="B59" s="1095">
        <f t="shared" si="6"/>
        <v>9</v>
      </c>
      <c r="C59" s="1088">
        <v>1</v>
      </c>
      <c r="D59" s="1088">
        <v>1</v>
      </c>
      <c r="E59" s="1088">
        <v>1</v>
      </c>
      <c r="F59" s="1088">
        <f>+G6</f>
        <v>1.05</v>
      </c>
      <c r="G59" s="1088">
        <v>1</v>
      </c>
      <c r="H59" s="1088">
        <v>1</v>
      </c>
      <c r="I59" s="1088">
        <v>1</v>
      </c>
      <c r="J59" s="1083"/>
      <c r="K59" s="1101">
        <v>1.8806082330379454</v>
      </c>
      <c r="L59" s="1102">
        <v>0</v>
      </c>
      <c r="M59" s="1102">
        <v>3.6363354324760108E-3</v>
      </c>
      <c r="N59" s="1102">
        <v>0.34527619487519162</v>
      </c>
      <c r="O59" s="1102">
        <v>0.24450935814312616</v>
      </c>
      <c r="P59" s="1102">
        <v>1.3534887356620697E-2</v>
      </c>
      <c r="Q59" s="1102">
        <v>1.5837029979080296E-3</v>
      </c>
      <c r="R59" s="1102">
        <v>3.6300854901694102E-3</v>
      </c>
      <c r="S59" s="1102">
        <v>0.36513738496221604</v>
      </c>
      <c r="T59" s="1102">
        <v>0.42282841287326794</v>
      </c>
      <c r="U59" s="1102">
        <v>0</v>
      </c>
      <c r="V59" s="1102">
        <v>0.20400440468847875</v>
      </c>
      <c r="W59" s="1102">
        <v>0.2199330868401965</v>
      </c>
      <c r="X59" s="1102">
        <v>5.3927154196363958E-2</v>
      </c>
      <c r="Y59" s="1102">
        <v>9.8798960468809097E-3</v>
      </c>
      <c r="Z59" s="1217"/>
      <c r="AA59" s="1083"/>
      <c r="AB59" s="1083"/>
      <c r="AC59" s="1083"/>
      <c r="AD59" s="1083"/>
      <c r="AE59" s="1083"/>
      <c r="AF59" s="1083"/>
      <c r="AG59" s="1083"/>
      <c r="AH59" s="1083"/>
      <c r="AI59" s="1083"/>
      <c r="AJ59" s="1083"/>
      <c r="AK59" s="1083"/>
      <c r="AL59" s="1083"/>
      <c r="AM59" s="1083"/>
      <c r="AN59" s="1083"/>
      <c r="AO59" s="1083"/>
      <c r="AP59" s="1083"/>
      <c r="AQ59" s="1083"/>
      <c r="AR59" s="1083"/>
      <c r="AS59" s="1083"/>
      <c r="AT59" s="1083"/>
      <c r="AU59" s="1083"/>
      <c r="AV59" s="1083"/>
      <c r="AW59" s="1083"/>
      <c r="AX59" s="1083"/>
      <c r="AY59" s="1083"/>
      <c r="AZ59" s="1083"/>
      <c r="BA59" s="1083"/>
      <c r="BB59" s="1083"/>
      <c r="BC59" s="1083"/>
      <c r="BD59" s="1083"/>
      <c r="BE59" s="1083"/>
      <c r="BF59" s="1083"/>
      <c r="BG59" s="1083"/>
      <c r="BH59" s="1083"/>
      <c r="BI59" s="1083"/>
      <c r="BJ59" s="1083"/>
      <c r="BK59" s="1083"/>
      <c r="BL59" s="1083"/>
      <c r="BM59" s="1083"/>
      <c r="BN59" s="1083"/>
      <c r="BO59" s="1083"/>
      <c r="BP59" s="1083"/>
      <c r="BQ59" s="1083"/>
      <c r="BR59" s="1083"/>
      <c r="BS59" s="1083"/>
      <c r="BT59" s="1083"/>
      <c r="BU59" s="1083"/>
    </row>
    <row r="60" spans="1:73" x14ac:dyDescent="0.25">
      <c r="A60" s="1083"/>
      <c r="B60" s="1103">
        <f t="shared" si="6"/>
        <v>10</v>
      </c>
      <c r="C60" s="1104">
        <v>1</v>
      </c>
      <c r="D60" s="1104">
        <v>1</v>
      </c>
      <c r="E60" s="1104">
        <v>1</v>
      </c>
      <c r="F60" s="1104">
        <v>1</v>
      </c>
      <c r="G60" s="1104">
        <f>+F7</f>
        <v>0.95</v>
      </c>
      <c r="H60" s="1104">
        <v>1</v>
      </c>
      <c r="I60" s="1104">
        <v>1</v>
      </c>
      <c r="J60" s="1083"/>
      <c r="K60" s="1101">
        <v>1.8491740829657206</v>
      </c>
      <c r="L60" s="1102">
        <v>0</v>
      </c>
      <c r="M60" s="1102">
        <v>3.6370810062790462E-3</v>
      </c>
      <c r="N60" s="1102">
        <v>0.34534711025346798</v>
      </c>
      <c r="O60" s="1102">
        <v>0.23874163416600355</v>
      </c>
      <c r="P60" s="1102">
        <v>1.320283908623009E-2</v>
      </c>
      <c r="Q60" s="1102">
        <v>1.5837029979080296E-3</v>
      </c>
      <c r="R60" s="1102">
        <v>3.6308310639724464E-3</v>
      </c>
      <c r="S60" s="1102">
        <v>0.36517456991515829</v>
      </c>
      <c r="T60" s="1102">
        <v>0.40269372654596947</v>
      </c>
      <c r="U60" s="1102">
        <v>0</v>
      </c>
      <c r="V60" s="1102">
        <v>0.19976377164187348</v>
      </c>
      <c r="W60" s="1102">
        <v>0.21997825832401219</v>
      </c>
      <c r="X60" s="1102">
        <v>5.281279472440787E-2</v>
      </c>
      <c r="Y60" s="1102">
        <v>9.8819252529944342E-3</v>
      </c>
      <c r="Z60" s="1217"/>
      <c r="AA60" s="1083"/>
      <c r="AB60" s="1083"/>
      <c r="AC60" s="1083"/>
      <c r="AD60" s="1083"/>
      <c r="AE60" s="1083"/>
      <c r="AF60" s="1083"/>
      <c r="AG60" s="1083"/>
      <c r="AH60" s="1083"/>
      <c r="AI60" s="1083"/>
      <c r="AJ60" s="1083"/>
      <c r="AK60" s="1083"/>
      <c r="AL60" s="1083"/>
      <c r="AM60" s="1083"/>
      <c r="AN60" s="1083"/>
      <c r="AO60" s="1083"/>
      <c r="AP60" s="1083"/>
      <c r="AQ60" s="1083"/>
      <c r="AR60" s="1083"/>
      <c r="AS60" s="1083"/>
      <c r="AT60" s="1083"/>
      <c r="AU60" s="1083"/>
      <c r="AV60" s="1083"/>
      <c r="AW60" s="1083"/>
      <c r="AX60" s="1083"/>
      <c r="AY60" s="1083"/>
      <c r="AZ60" s="1083"/>
      <c r="BA60" s="1083"/>
      <c r="BB60" s="1083"/>
      <c r="BC60" s="1083"/>
      <c r="BD60" s="1083"/>
      <c r="BE60" s="1083"/>
      <c r="BF60" s="1083"/>
      <c r="BG60" s="1083"/>
      <c r="BH60" s="1083"/>
      <c r="BI60" s="1083"/>
      <c r="BJ60" s="1083"/>
      <c r="BK60" s="1083"/>
      <c r="BL60" s="1083"/>
      <c r="BM60" s="1083"/>
      <c r="BN60" s="1083"/>
      <c r="BO60" s="1083"/>
      <c r="BP60" s="1083"/>
      <c r="BQ60" s="1083"/>
      <c r="BR60" s="1083"/>
      <c r="BS60" s="1083"/>
      <c r="BT60" s="1083"/>
      <c r="BU60" s="1083"/>
    </row>
    <row r="61" spans="1:73" x14ac:dyDescent="0.25">
      <c r="A61" s="1083"/>
      <c r="B61" s="1103">
        <f t="shared" si="6"/>
        <v>11</v>
      </c>
      <c r="C61" s="1104">
        <v>1</v>
      </c>
      <c r="D61" s="1104">
        <v>1</v>
      </c>
      <c r="E61" s="1104">
        <v>1</v>
      </c>
      <c r="F61" s="1104">
        <v>1</v>
      </c>
      <c r="G61" s="1104">
        <f>+G6</f>
        <v>1.05</v>
      </c>
      <c r="H61" s="1104">
        <v>1</v>
      </c>
      <c r="I61" s="1104">
        <v>1</v>
      </c>
      <c r="J61" s="1083"/>
      <c r="K61" s="1101">
        <v>1.8491740829657206</v>
      </c>
      <c r="L61" s="1102">
        <v>0</v>
      </c>
      <c r="M61" s="1102">
        <v>3.6370810062790462E-3</v>
      </c>
      <c r="N61" s="1102">
        <v>0.34534711025346798</v>
      </c>
      <c r="O61" s="1102">
        <v>0.23874163416600355</v>
      </c>
      <c r="P61" s="1102">
        <v>1.320283908623009E-2</v>
      </c>
      <c r="Q61" s="1102">
        <v>1.5837029979080296E-3</v>
      </c>
      <c r="R61" s="1102">
        <v>3.6308310639724464E-3</v>
      </c>
      <c r="S61" s="1102">
        <v>0.36517456991515829</v>
      </c>
      <c r="T61" s="1102">
        <v>0.40269372654596947</v>
      </c>
      <c r="U61" s="1102">
        <v>0</v>
      </c>
      <c r="V61" s="1102">
        <v>0.19976377164187348</v>
      </c>
      <c r="W61" s="1102">
        <v>0.21997825832401219</v>
      </c>
      <c r="X61" s="1102">
        <v>5.281279472440787E-2</v>
      </c>
      <c r="Y61" s="1102">
        <v>9.8819252529944342E-3</v>
      </c>
      <c r="Z61" s="1217"/>
      <c r="AA61" s="1083"/>
      <c r="AB61" s="1083"/>
      <c r="AC61" s="1083"/>
      <c r="AD61" s="1083"/>
      <c r="AE61" s="1083"/>
      <c r="AF61" s="1083"/>
      <c r="AG61" s="1083"/>
      <c r="AH61" s="1083"/>
      <c r="AI61" s="1083"/>
      <c r="AJ61" s="1083"/>
      <c r="AK61" s="1083"/>
      <c r="AL61" s="1083"/>
      <c r="AM61" s="1083"/>
      <c r="AN61" s="1083"/>
      <c r="AO61" s="1083"/>
      <c r="AP61" s="1083"/>
      <c r="AQ61" s="1083"/>
      <c r="AR61" s="1083"/>
      <c r="AS61" s="1083"/>
      <c r="AT61" s="1083"/>
      <c r="AU61" s="1083"/>
      <c r="AV61" s="1083"/>
      <c r="AW61" s="1083"/>
      <c r="AX61" s="1083"/>
      <c r="AY61" s="1083"/>
      <c r="AZ61" s="1083"/>
      <c r="BA61" s="1083"/>
      <c r="BB61" s="1083"/>
      <c r="BC61" s="1083"/>
      <c r="BD61" s="1083"/>
      <c r="BE61" s="1083"/>
      <c r="BF61" s="1083"/>
      <c r="BG61" s="1083"/>
      <c r="BH61" s="1083"/>
      <c r="BI61" s="1083"/>
      <c r="BJ61" s="1083"/>
      <c r="BK61" s="1083"/>
      <c r="BL61" s="1083"/>
      <c r="BM61" s="1083"/>
      <c r="BN61" s="1083"/>
      <c r="BO61" s="1083"/>
      <c r="BP61" s="1083"/>
      <c r="BQ61" s="1083"/>
      <c r="BR61" s="1083"/>
      <c r="BS61" s="1083"/>
      <c r="BT61" s="1083"/>
      <c r="BU61" s="1083"/>
    </row>
    <row r="62" spans="1:73" x14ac:dyDescent="0.25">
      <c r="A62" s="1083"/>
      <c r="B62" s="1095">
        <f t="shared" si="6"/>
        <v>12</v>
      </c>
      <c r="C62" s="1088">
        <v>1</v>
      </c>
      <c r="D62" s="1088">
        <v>1</v>
      </c>
      <c r="E62" s="1088">
        <v>1</v>
      </c>
      <c r="F62" s="1088">
        <v>1</v>
      </c>
      <c r="G62" s="1088">
        <v>1</v>
      </c>
      <c r="H62" s="1088">
        <f>+F8</f>
        <v>0.95</v>
      </c>
      <c r="I62" s="1088">
        <v>1</v>
      </c>
      <c r="J62" s="1083"/>
      <c r="K62" s="1101">
        <v>1.8108135720598462</v>
      </c>
      <c r="L62" s="1102">
        <v>0</v>
      </c>
      <c r="M62" s="1102">
        <v>3.4552269559650932E-3</v>
      </c>
      <c r="N62" s="1102">
        <v>0.32805003152485851</v>
      </c>
      <c r="O62" s="1102">
        <v>0.23874163416600355</v>
      </c>
      <c r="P62" s="1102">
        <v>1.3079073382472951E-2</v>
      </c>
      <c r="Q62" s="1102">
        <v>1.5837029979080296E-3</v>
      </c>
      <c r="R62" s="1102">
        <v>3.4489770136584934E-3</v>
      </c>
      <c r="S62" s="1102">
        <v>0.35610473098605999</v>
      </c>
      <c r="T62" s="1102">
        <v>0.40269372654596947</v>
      </c>
      <c r="U62" s="1102">
        <v>0</v>
      </c>
      <c r="V62" s="1102">
        <v>0.19976377164187348</v>
      </c>
      <c r="W62" s="1102">
        <v>0.2089604123949694</v>
      </c>
      <c r="X62" s="1102">
        <v>5.2455759885823745E-2</v>
      </c>
      <c r="Y62" s="1102">
        <v>9.3869784762114303E-3</v>
      </c>
      <c r="Z62" s="1217"/>
      <c r="AA62" s="1083"/>
      <c r="AB62" s="1083"/>
      <c r="AC62" s="1083"/>
      <c r="AD62" s="1083"/>
      <c r="AE62" s="1083"/>
      <c r="AF62" s="1083"/>
      <c r="AG62" s="1083"/>
      <c r="AH62" s="1083"/>
      <c r="AI62" s="1083"/>
      <c r="AJ62" s="1083"/>
      <c r="AK62" s="1083"/>
      <c r="AL62" s="1083"/>
      <c r="AM62" s="1083"/>
      <c r="AN62" s="1083"/>
      <c r="AO62" s="1083"/>
      <c r="AP62" s="1083"/>
      <c r="AQ62" s="1083"/>
      <c r="AR62" s="1083"/>
      <c r="AS62" s="1083"/>
      <c r="AT62" s="1083"/>
      <c r="AU62" s="1083"/>
      <c r="AV62" s="1083"/>
      <c r="AW62" s="1083"/>
      <c r="AX62" s="1083"/>
      <c r="AY62" s="1083"/>
      <c r="AZ62" s="1083"/>
      <c r="BA62" s="1083"/>
      <c r="BB62" s="1083"/>
      <c r="BC62" s="1083"/>
      <c r="BD62" s="1083"/>
      <c r="BE62" s="1083"/>
      <c r="BF62" s="1083"/>
      <c r="BG62" s="1083"/>
      <c r="BH62" s="1083"/>
      <c r="BI62" s="1083"/>
      <c r="BJ62" s="1083"/>
      <c r="BK62" s="1083"/>
      <c r="BL62" s="1083"/>
      <c r="BM62" s="1083"/>
      <c r="BN62" s="1083"/>
      <c r="BO62" s="1083"/>
      <c r="BP62" s="1083"/>
      <c r="BQ62" s="1083"/>
      <c r="BR62" s="1083"/>
      <c r="BS62" s="1083"/>
      <c r="BT62" s="1083"/>
      <c r="BU62" s="1083"/>
    </row>
    <row r="63" spans="1:73" x14ac:dyDescent="0.25">
      <c r="A63" s="1083"/>
      <c r="B63" s="1095">
        <f t="shared" si="6"/>
        <v>13</v>
      </c>
      <c r="C63" s="1088">
        <v>1</v>
      </c>
      <c r="D63" s="1088">
        <v>1</v>
      </c>
      <c r="E63" s="1088">
        <v>1</v>
      </c>
      <c r="F63" s="1088">
        <v>1</v>
      </c>
      <c r="G63" s="1088">
        <v>1</v>
      </c>
      <c r="H63" s="1088">
        <f>+G8</f>
        <v>1.05</v>
      </c>
      <c r="I63" s="1088">
        <v>1</v>
      </c>
      <c r="J63" s="1083"/>
      <c r="K63" s="1101">
        <v>1.8875345938715946</v>
      </c>
      <c r="L63" s="1102">
        <v>0</v>
      </c>
      <c r="M63" s="1102">
        <v>3.8189350565929979E-3</v>
      </c>
      <c r="N63" s="1102">
        <v>0.36264418898207745</v>
      </c>
      <c r="O63" s="1102">
        <v>0.23874163416600355</v>
      </c>
      <c r="P63" s="1102">
        <v>1.3326604789987238E-2</v>
      </c>
      <c r="Q63" s="1102">
        <v>1.5837029979080296E-3</v>
      </c>
      <c r="R63" s="1102">
        <v>3.8126851142863982E-3</v>
      </c>
      <c r="S63" s="1102">
        <v>0.37424440884425642</v>
      </c>
      <c r="T63" s="1102">
        <v>0.40269372654596947</v>
      </c>
      <c r="U63" s="1102">
        <v>0</v>
      </c>
      <c r="V63" s="1102">
        <v>0.19976377164187348</v>
      </c>
      <c r="W63" s="1102">
        <v>0.23099610425305483</v>
      </c>
      <c r="X63" s="1102">
        <v>5.3169829562991718E-2</v>
      </c>
      <c r="Y63" s="1102">
        <v>1.0376872029777436E-2</v>
      </c>
      <c r="Z63" s="1217"/>
      <c r="AA63" s="1083"/>
      <c r="AB63" s="1083"/>
      <c r="AC63" s="1083"/>
      <c r="AD63" s="1083"/>
      <c r="AE63" s="1083"/>
      <c r="AF63" s="1083"/>
      <c r="AG63" s="1083"/>
      <c r="AH63" s="1083"/>
      <c r="AI63" s="1083"/>
      <c r="AJ63" s="1083"/>
      <c r="AK63" s="1083"/>
      <c r="AL63" s="1083"/>
      <c r="AM63" s="1083"/>
      <c r="AN63" s="1083"/>
      <c r="AO63" s="1083"/>
      <c r="AP63" s="1083"/>
      <c r="AQ63" s="1083"/>
      <c r="AR63" s="1083"/>
      <c r="AS63" s="1083"/>
      <c r="AT63" s="1083"/>
      <c r="AU63" s="1083"/>
      <c r="AV63" s="1083"/>
      <c r="AW63" s="1083"/>
      <c r="AX63" s="1083"/>
      <c r="AY63" s="1083"/>
      <c r="AZ63" s="1083"/>
      <c r="BA63" s="1083"/>
      <c r="BB63" s="1083"/>
      <c r="BC63" s="1083"/>
      <c r="BD63" s="1083"/>
      <c r="BE63" s="1083"/>
      <c r="BF63" s="1083"/>
      <c r="BG63" s="1083"/>
      <c r="BH63" s="1083"/>
      <c r="BI63" s="1083"/>
      <c r="BJ63" s="1083"/>
      <c r="BK63" s="1083"/>
      <c r="BL63" s="1083"/>
      <c r="BM63" s="1083"/>
      <c r="BN63" s="1083"/>
      <c r="BO63" s="1083"/>
      <c r="BP63" s="1083"/>
      <c r="BQ63" s="1083"/>
      <c r="BR63" s="1083"/>
      <c r="BS63" s="1083"/>
      <c r="BT63" s="1083"/>
      <c r="BU63" s="1083"/>
    </row>
    <row r="64" spans="1:73" x14ac:dyDescent="0.25">
      <c r="A64" s="1083"/>
      <c r="B64" s="1103">
        <f t="shared" si="6"/>
        <v>14</v>
      </c>
      <c r="C64" s="1088">
        <v>1</v>
      </c>
      <c r="D64" s="1088">
        <v>1</v>
      </c>
      <c r="E64" s="1088">
        <v>1</v>
      </c>
      <c r="F64" s="1088">
        <v>1</v>
      </c>
      <c r="G64" s="1088">
        <v>1</v>
      </c>
      <c r="H64" s="1088">
        <v>1</v>
      </c>
      <c r="I64" s="1088">
        <f>+F9</f>
        <v>0.95</v>
      </c>
      <c r="J64" s="1083"/>
      <c r="K64" s="1101">
        <v>1.8305798360815821</v>
      </c>
      <c r="L64" s="1102">
        <v>0</v>
      </c>
      <c r="M64" s="1102">
        <v>3.6370810062790462E-3</v>
      </c>
      <c r="N64" s="1102">
        <v>0.34534711025346798</v>
      </c>
      <c r="O64" s="1102">
        <v>0.23874163416600355</v>
      </c>
      <c r="P64" s="1102">
        <v>1.2953683131019222E-2</v>
      </c>
      <c r="Q64" s="1102">
        <v>1.5837029979080296E-3</v>
      </c>
      <c r="R64" s="1102">
        <v>3.6308310639724464E-3</v>
      </c>
      <c r="S64" s="1102">
        <v>0.34691584141940035</v>
      </c>
      <c r="T64" s="1102">
        <v>0.40269372654596947</v>
      </c>
      <c r="U64" s="1102">
        <v>0</v>
      </c>
      <c r="V64" s="1102">
        <v>0.19976377164187348</v>
      </c>
      <c r="W64" s="1102">
        <v>0.21997825832401219</v>
      </c>
      <c r="X64" s="1102">
        <v>5.2726432291238898E-2</v>
      </c>
      <c r="Y64" s="1102">
        <v>9.8819252529944342E-3</v>
      </c>
      <c r="Z64" s="1217"/>
      <c r="AA64" s="1083"/>
      <c r="AB64" s="1083"/>
      <c r="AC64" s="1083"/>
      <c r="AD64" s="1083"/>
      <c r="AE64" s="1083"/>
      <c r="AF64" s="1083"/>
      <c r="AG64" s="1083"/>
      <c r="AH64" s="1083"/>
      <c r="AI64" s="1083"/>
      <c r="AJ64" s="1083"/>
      <c r="AK64" s="1083"/>
      <c r="AL64" s="1083"/>
      <c r="AM64" s="1083"/>
      <c r="AN64" s="1083"/>
      <c r="AO64" s="1083"/>
      <c r="AP64" s="1083"/>
      <c r="AQ64" s="1083"/>
      <c r="AR64" s="1083"/>
      <c r="AS64" s="1083"/>
      <c r="AT64" s="1083"/>
      <c r="AU64" s="1083"/>
      <c r="AV64" s="1083"/>
      <c r="AW64" s="1083"/>
      <c r="AX64" s="1083"/>
      <c r="AY64" s="1083"/>
      <c r="AZ64" s="1083"/>
      <c r="BA64" s="1083"/>
      <c r="BB64" s="1083"/>
      <c r="BC64" s="1083"/>
      <c r="BD64" s="1083"/>
      <c r="BE64" s="1083"/>
      <c r="BF64" s="1083"/>
      <c r="BG64" s="1083"/>
      <c r="BH64" s="1083"/>
      <c r="BI64" s="1083"/>
      <c r="BJ64" s="1083"/>
      <c r="BK64" s="1083"/>
      <c r="BL64" s="1083"/>
      <c r="BM64" s="1083"/>
      <c r="BN64" s="1083"/>
      <c r="BO64" s="1083"/>
      <c r="BP64" s="1083"/>
      <c r="BQ64" s="1083"/>
      <c r="BR64" s="1083"/>
      <c r="BS64" s="1083"/>
      <c r="BT64" s="1083"/>
      <c r="BU64" s="1083"/>
    </row>
    <row r="65" spans="1:73" ht="13.8" thickBot="1" x14ac:dyDescent="0.3">
      <c r="A65" s="1083"/>
      <c r="B65" s="1206">
        <f t="shared" si="6"/>
        <v>15</v>
      </c>
      <c r="C65" s="1207">
        <v>1</v>
      </c>
      <c r="D65" s="1207">
        <v>1</v>
      </c>
      <c r="E65" s="1207">
        <v>1</v>
      </c>
      <c r="F65" s="1207">
        <v>1</v>
      </c>
      <c r="G65" s="1207">
        <v>1</v>
      </c>
      <c r="H65" s="1207">
        <v>1</v>
      </c>
      <c r="I65" s="1207">
        <f>+G9</f>
        <v>1.05</v>
      </c>
      <c r="J65" s="1208"/>
      <c r="K65" s="1209">
        <v>1.8677683298498582</v>
      </c>
      <c r="L65" s="1210">
        <v>0</v>
      </c>
      <c r="M65" s="1210">
        <v>3.6370810062790462E-3</v>
      </c>
      <c r="N65" s="1210">
        <v>0.34534711025346798</v>
      </c>
      <c r="O65" s="1210">
        <v>0.23874163416600355</v>
      </c>
      <c r="P65" s="1210">
        <v>1.3451995041440954E-2</v>
      </c>
      <c r="Q65" s="1210">
        <v>1.5837029979080296E-3</v>
      </c>
      <c r="R65" s="1210">
        <v>3.6308310639724464E-3</v>
      </c>
      <c r="S65" s="1210">
        <v>0.38343329841091622</v>
      </c>
      <c r="T65" s="1210">
        <v>0.40269372654596947</v>
      </c>
      <c r="U65" s="1210">
        <v>0</v>
      </c>
      <c r="V65" s="1210">
        <v>0.19976377164187348</v>
      </c>
      <c r="W65" s="1210">
        <v>0.21997825832401219</v>
      </c>
      <c r="X65" s="1210">
        <v>5.2899157157576905E-2</v>
      </c>
      <c r="Y65" s="1210">
        <v>9.8819252529944342E-3</v>
      </c>
      <c r="Z65" s="1217"/>
      <c r="AA65" s="1083"/>
      <c r="AB65" s="1083"/>
      <c r="AC65" s="1083"/>
      <c r="AD65" s="1083"/>
      <c r="AE65" s="1083"/>
      <c r="AF65" s="1083"/>
      <c r="AG65" s="1083"/>
      <c r="AH65" s="1083"/>
      <c r="AI65" s="1083"/>
      <c r="AJ65" s="1083"/>
      <c r="AK65" s="1083"/>
      <c r="AL65" s="1083"/>
      <c r="AM65" s="1083"/>
      <c r="AN65" s="1083"/>
      <c r="AO65" s="1083"/>
      <c r="AP65" s="1083"/>
      <c r="AQ65" s="1083"/>
      <c r="AR65" s="1083"/>
      <c r="AS65" s="1083"/>
      <c r="AT65" s="1083"/>
      <c r="AU65" s="1083"/>
      <c r="AV65" s="1083"/>
      <c r="AW65" s="1083"/>
      <c r="AX65" s="1083"/>
      <c r="AY65" s="1083"/>
      <c r="AZ65" s="1083"/>
      <c r="BA65" s="1083"/>
      <c r="BB65" s="1083"/>
      <c r="BC65" s="1083"/>
      <c r="BD65" s="1083"/>
      <c r="BE65" s="1083"/>
      <c r="BF65" s="1083"/>
      <c r="BG65" s="1083"/>
      <c r="BH65" s="1083"/>
      <c r="BI65" s="1083"/>
      <c r="BJ65" s="1083"/>
      <c r="BK65" s="1083"/>
      <c r="BL65" s="1083"/>
      <c r="BM65" s="1083"/>
      <c r="BN65" s="1083"/>
      <c r="BO65" s="1083"/>
      <c r="BP65" s="1083"/>
      <c r="BQ65" s="1083"/>
      <c r="BR65" s="1083"/>
      <c r="BS65" s="1083"/>
      <c r="BT65" s="1083"/>
      <c r="BU65" s="1083"/>
    </row>
    <row r="66" spans="1:73" ht="13.8" thickTop="1" x14ac:dyDescent="0.25">
      <c r="A66" s="1083"/>
      <c r="B66" s="1202">
        <f t="shared" si="6"/>
        <v>16</v>
      </c>
      <c r="C66" s="1203">
        <f>(C$72=1)*$F$3
+(C$72=2)
+(C$72=3)
+(C$72=4)
+(C$72=5)</f>
        <v>1.05</v>
      </c>
      <c r="D66" s="1203">
        <v>1</v>
      </c>
      <c r="E66" s="1203">
        <v>1</v>
      </c>
      <c r="F66" s="1203">
        <f>(F$72=1)*$F$6
+(F$72=2)
+(F$72=3)
+(F$72=4)
+(F$72=5)</f>
        <v>1</v>
      </c>
      <c r="G66" s="1203">
        <f>(G$72=1)*$F$7
+(G$72=2)
+(G$72=3)
+(G$72=4)
+(G$72=5)</f>
        <v>1</v>
      </c>
      <c r="H66" s="1203">
        <f>(H$72=1)*$F$8
+(H$72=2)
+(H$72=3)
+(H$72=4)
+(H$72=5)</f>
        <v>1</v>
      </c>
      <c r="I66" s="1203">
        <f>(I$72=1)*$F$9
+(I$72=2)
+(I$72=3)
+(I$72=4)
+(I$72=5)</f>
        <v>1</v>
      </c>
      <c r="J66" s="1083"/>
      <c r="K66" s="1204">
        <v>1.7912603889642307</v>
      </c>
      <c r="L66" s="1205">
        <v>0</v>
      </c>
      <c r="M66" s="1205">
        <v>3.4626932688945357E-3</v>
      </c>
      <c r="N66" s="1205">
        <v>0.32878849896563644</v>
      </c>
      <c r="O66" s="1205">
        <v>0.23285979484018343</v>
      </c>
      <c r="P66" s="1205">
        <v>1.2894250535825194E-2</v>
      </c>
      <c r="Q66" s="1205">
        <v>1.5082885694362189E-3</v>
      </c>
      <c r="R66" s="1205">
        <v>3.4567409428882508E-3</v>
      </c>
      <c r="S66" s="1205">
        <v>0.3477257845340902</v>
      </c>
      <c r="T66" s="1205">
        <v>0.40269372654596958</v>
      </c>
      <c r="U66" s="1205">
        <v>0</v>
      </c>
      <c r="V66" s="1205">
        <v>0.19459846963289612</v>
      </c>
      <c r="W66" s="1205">
        <v>0.20943079936688319</v>
      </c>
      <c r="X66" s="1205">
        <v>5.135861896711829E-2</v>
      </c>
      <c r="Y66" s="1205">
        <v>9.408109332196244E-3</v>
      </c>
      <c r="Z66" s="1217"/>
      <c r="AA66" s="1083"/>
      <c r="AB66" s="1083"/>
      <c r="AC66" s="1083"/>
      <c r="AD66" s="1083"/>
      <c r="AE66" s="1083"/>
      <c r="AF66" s="1083"/>
      <c r="AG66" s="1083"/>
      <c r="AH66" s="1083"/>
      <c r="AI66" s="1083"/>
      <c r="AJ66" s="1083"/>
      <c r="AK66" s="1083"/>
      <c r="AL66" s="1083"/>
      <c r="AM66" s="1083"/>
      <c r="AN66" s="1083"/>
      <c r="AO66" s="1083"/>
      <c r="AP66" s="1083"/>
      <c r="AQ66" s="1083"/>
      <c r="AR66" s="1083"/>
      <c r="AS66" s="1083"/>
      <c r="AT66" s="1083"/>
      <c r="AU66" s="1083"/>
      <c r="AV66" s="1083"/>
      <c r="AW66" s="1083"/>
      <c r="AX66" s="1083"/>
      <c r="AY66" s="1083"/>
      <c r="AZ66" s="1083"/>
      <c r="BA66" s="1083"/>
      <c r="BB66" s="1083"/>
      <c r="BC66" s="1083"/>
      <c r="BD66" s="1083"/>
      <c r="BE66" s="1083"/>
      <c r="BF66" s="1083"/>
      <c r="BG66" s="1083"/>
      <c r="BH66" s="1083"/>
      <c r="BI66" s="1083"/>
      <c r="BJ66" s="1083"/>
      <c r="BK66" s="1083"/>
      <c r="BL66" s="1083"/>
      <c r="BM66" s="1083"/>
      <c r="BN66" s="1083"/>
      <c r="BO66" s="1083"/>
      <c r="BP66" s="1083"/>
      <c r="BQ66" s="1083"/>
      <c r="BR66" s="1083"/>
      <c r="BS66" s="1083"/>
      <c r="BT66" s="1083"/>
      <c r="BU66" s="1083"/>
    </row>
    <row r="67" spans="1:73" x14ac:dyDescent="0.25">
      <c r="A67" s="1083"/>
      <c r="B67" s="1095">
        <f t="shared" si="6"/>
        <v>17</v>
      </c>
      <c r="C67" s="1203">
        <f>(C$72=1)*$F$3
+(C$72=2)*$F$3
+(C$72=3)
+(C$72=4)
+(C$72=5)</f>
        <v>1.05</v>
      </c>
      <c r="D67" s="1088">
        <v>1</v>
      </c>
      <c r="E67" s="1088">
        <v>1</v>
      </c>
      <c r="F67" s="1203">
        <f>(F$72=1)*$F$6
+(F$72=2)*$F$6
+(F$72=3)
+(F$72=4)
+(F$72=5)</f>
        <v>1</v>
      </c>
      <c r="G67" s="1203">
        <f>(G$72=1)*$F$7
+(G$72=2)*$F$7
+(G$72=3)
+(G$72=4)
+(G$72=5)</f>
        <v>1</v>
      </c>
      <c r="H67" s="1203">
        <f>(H$72=1)*$F$8
+(H$72=2)*$F$8
+(H$72=3)
+(H$72=4)
+(H$72=5)</f>
        <v>0.95</v>
      </c>
      <c r="I67" s="1203">
        <f>(I$72=1)*$F$9
+(I$72=2)*$F$9
+(I$72=3)
+(I$72=4)
+(I$72=5)</f>
        <v>1</v>
      </c>
      <c r="J67" s="1083"/>
      <c r="K67" s="1101">
        <v>1.754739155954625</v>
      </c>
      <c r="L67" s="1102">
        <v>0</v>
      </c>
      <c r="M67" s="1102">
        <v>3.2895586054498089E-3</v>
      </c>
      <c r="N67" s="1102">
        <v>0.31232076619265364</v>
      </c>
      <c r="O67" s="1102">
        <v>0.23285979484018343</v>
      </c>
      <c r="P67" s="1102">
        <v>1.2776419047172624E-2</v>
      </c>
      <c r="Q67" s="1102">
        <v>1.5082885694362189E-3</v>
      </c>
      <c r="R67" s="1102">
        <v>3.2836062794435231E-3</v>
      </c>
      <c r="S67" s="1102">
        <v>0.33909081870420443</v>
      </c>
      <c r="T67" s="1102">
        <v>0.40269372654596958</v>
      </c>
      <c r="U67" s="1102">
        <v>0</v>
      </c>
      <c r="V67" s="1102">
        <v>0.19459846963289612</v>
      </c>
      <c r="W67" s="1102">
        <v>0.19894122795773714</v>
      </c>
      <c r="X67" s="1102">
        <v>5.1018702938250352E-2</v>
      </c>
      <c r="Y67" s="1102">
        <v>8.9368938521261661E-3</v>
      </c>
      <c r="Z67" s="1217"/>
      <c r="AA67" s="1083"/>
      <c r="AB67" s="1083"/>
      <c r="AC67" s="1083"/>
      <c r="AD67" s="1083"/>
      <c r="AE67" s="1083"/>
      <c r="AF67" s="1083"/>
      <c r="AG67" s="1083"/>
      <c r="AH67" s="1083"/>
      <c r="AI67" s="1083"/>
      <c r="AJ67" s="1083"/>
      <c r="AK67" s="1083"/>
      <c r="AL67" s="1083"/>
      <c r="AM67" s="1083"/>
      <c r="AN67" s="1083"/>
      <c r="AO67" s="1083"/>
      <c r="AP67" s="1083"/>
      <c r="AQ67" s="1083"/>
      <c r="AR67" s="1083"/>
      <c r="AS67" s="1083"/>
      <c r="AT67" s="1083"/>
      <c r="AU67" s="1083"/>
      <c r="AV67" s="1083"/>
      <c r="AW67" s="1083"/>
      <c r="AX67" s="1083"/>
      <c r="AY67" s="1083"/>
      <c r="AZ67" s="1083"/>
      <c r="BA67" s="1083"/>
      <c r="BB67" s="1083"/>
      <c r="BC67" s="1083"/>
      <c r="BD67" s="1083"/>
      <c r="BE67" s="1083"/>
      <c r="BF67" s="1083"/>
      <c r="BG67" s="1083"/>
      <c r="BH67" s="1083"/>
      <c r="BI67" s="1083"/>
      <c r="BJ67" s="1083"/>
      <c r="BK67" s="1083"/>
      <c r="BL67" s="1083"/>
      <c r="BM67" s="1083"/>
      <c r="BN67" s="1083"/>
      <c r="BO67" s="1083"/>
      <c r="BP67" s="1083"/>
      <c r="BQ67" s="1083"/>
      <c r="BR67" s="1083"/>
      <c r="BS67" s="1083"/>
      <c r="BT67" s="1083"/>
      <c r="BU67" s="1083"/>
    </row>
    <row r="68" spans="1:73" x14ac:dyDescent="0.25">
      <c r="A68" s="1083"/>
      <c r="B68" s="1103">
        <f t="shared" si="6"/>
        <v>18</v>
      </c>
      <c r="C68" s="1203">
        <f>(C$72=1)*$F$3
+(C$72=2)*$F$3
+(C$72=3)*$F$3
+(C$72=4)
+(C$72=5)</f>
        <v>1.05</v>
      </c>
      <c r="D68" s="1088">
        <v>1</v>
      </c>
      <c r="E68" s="1088">
        <v>1</v>
      </c>
      <c r="F68" s="1203">
        <f>(F$72=1)*$F$6
+(F$72=2)*$F$6
+(F$72=3)*$F$6
+(F$72=4)
+(F$72=5)</f>
        <v>0.95</v>
      </c>
      <c r="G68" s="1203">
        <f>(G$72=1)*$F$7
+(G$72=2)*$F$7
+(G$72=3)*$F$7
+(G$72=4)
+(G$72=5)</f>
        <v>1</v>
      </c>
      <c r="H68" s="1203">
        <f>(H$72=1)*$F$8
+(H$72=2)*$F$8
+(H$72=3)*$F$8
+(H$72=4)
+(H$72=5)</f>
        <v>0.95</v>
      </c>
      <c r="I68" s="1203">
        <f>(I$72=1)*$F$9
+(I$72=2)*$F$9
+(I$72=3)*$F$9
+(I$72=4)
+(I$72=5)</f>
        <v>1</v>
      </c>
      <c r="J68" s="1083"/>
      <c r="K68" s="1101">
        <v>1.7232893797906057</v>
      </c>
      <c r="L68" s="1102">
        <v>0</v>
      </c>
      <c r="M68" s="1102">
        <v>3.2902514705697604E-3</v>
      </c>
      <c r="N68" s="1102">
        <v>0.31238666817563066</v>
      </c>
      <c r="O68" s="1102">
        <v>0.22708813155593768</v>
      </c>
      <c r="P68" s="1102">
        <v>1.2444336444994052E-2</v>
      </c>
      <c r="Q68" s="1102">
        <v>1.5082885694362189E-3</v>
      </c>
      <c r="R68" s="1102">
        <v>3.2842991445634745E-3</v>
      </c>
      <c r="S68" s="1102">
        <v>0.33912537484978783</v>
      </c>
      <c r="T68" s="1102">
        <v>0.38255904021867082</v>
      </c>
      <c r="U68" s="1102">
        <v>0</v>
      </c>
      <c r="V68" s="1102">
        <v>0.19035794952894669</v>
      </c>
      <c r="W68" s="1102">
        <v>0.19898320602271874</v>
      </c>
      <c r="X68" s="1102">
        <v>4.9903557147907937E-2</v>
      </c>
      <c r="Y68" s="1102">
        <v>8.9387796025797474E-3</v>
      </c>
      <c r="Z68" s="1217"/>
      <c r="AA68" s="1083"/>
      <c r="AB68" s="1083"/>
      <c r="AC68" s="1083"/>
      <c r="AD68" s="1083"/>
      <c r="AE68" s="1083"/>
      <c r="AF68" s="1083"/>
      <c r="AG68" s="1083"/>
      <c r="AH68" s="1083"/>
      <c r="AI68" s="1083"/>
      <c r="AJ68" s="1083"/>
      <c r="AK68" s="1083"/>
      <c r="AL68" s="1083"/>
      <c r="AM68" s="1083"/>
      <c r="AN68" s="1083"/>
      <c r="AO68" s="1083"/>
      <c r="AP68" s="1083"/>
      <c r="AQ68" s="1083"/>
      <c r="AR68" s="1083"/>
      <c r="AS68" s="1083"/>
      <c r="AT68" s="1083"/>
      <c r="AU68" s="1083"/>
      <c r="AV68" s="1083"/>
      <c r="AW68" s="1083"/>
      <c r="AX68" s="1083"/>
      <c r="AY68" s="1083"/>
      <c r="AZ68" s="1083"/>
      <c r="BA68" s="1083"/>
      <c r="BB68" s="1083"/>
      <c r="BC68" s="1083"/>
      <c r="BD68" s="1083"/>
      <c r="BE68" s="1083"/>
      <c r="BF68" s="1083"/>
      <c r="BG68" s="1083"/>
      <c r="BH68" s="1083"/>
      <c r="BI68" s="1083"/>
      <c r="BJ68" s="1083"/>
      <c r="BK68" s="1083"/>
      <c r="BL68" s="1083"/>
      <c r="BM68" s="1083"/>
      <c r="BN68" s="1083"/>
      <c r="BO68" s="1083"/>
      <c r="BP68" s="1083"/>
      <c r="BQ68" s="1083"/>
      <c r="BR68" s="1083"/>
      <c r="BS68" s="1083"/>
      <c r="BT68" s="1083"/>
      <c r="BU68" s="1083"/>
    </row>
    <row r="69" spans="1:73" x14ac:dyDescent="0.25">
      <c r="A69" s="1083"/>
      <c r="B69" s="1103">
        <f t="shared" si="6"/>
        <v>19</v>
      </c>
      <c r="C69" s="1203">
        <f>(C$72=1)*$F$3
+(C$72=2)*$F$3
+(C$72=3)*$F$3
+(C$72=4)*$F$3
+(C$72=5)</f>
        <v>1.05</v>
      </c>
      <c r="D69" s="1088">
        <v>1</v>
      </c>
      <c r="E69" s="1088">
        <v>1</v>
      </c>
      <c r="F69" s="1203">
        <f>(F$72=1)*$F$6
+(F$72=2)*$F$6
+(F$72=3)*$F$6
+(F$72=4)*$F$6
+(F$72=5)</f>
        <v>0.95</v>
      </c>
      <c r="G69" s="1203">
        <f>(G$72=1)*$F$7
+(G$72=2)*$F$7
+(G$72=3)*$F$7
+(G$72=4)*$F$7
+(G$72=5)</f>
        <v>1</v>
      </c>
      <c r="H69" s="1203">
        <f>(H$72=1)*$F$8
+(H$72=2)*$F$8
+(H$72=3)*$F$8
+(H$72=4)*$F$8
+(H$72=5)</f>
        <v>0.95</v>
      </c>
      <c r="I69" s="1203">
        <f>(I$72=1)*$F$9
+(I$72=2)*$F$9
+(I$72=3)*$F$9
+(I$72=4)*$F$9
+(I$72=5)</f>
        <v>0.95</v>
      </c>
      <c r="J69" s="1083"/>
      <c r="K69" s="1101">
        <v>1.7060215263743672</v>
      </c>
      <c r="L69" s="1102">
        <v>0</v>
      </c>
      <c r="M69" s="1102">
        <v>3.2902514705697604E-3</v>
      </c>
      <c r="N69" s="1102">
        <v>0.31238666817563066</v>
      </c>
      <c r="O69" s="1102">
        <v>0.22708813155593768</v>
      </c>
      <c r="P69" s="1102">
        <v>1.2212953666268326E-2</v>
      </c>
      <c r="Q69" s="1102">
        <v>1.5082885694362189E-3</v>
      </c>
      <c r="R69" s="1102">
        <v>3.2842991445634745E-3</v>
      </c>
      <c r="S69" s="1102">
        <v>0.32216910610729832</v>
      </c>
      <c r="T69" s="1102">
        <v>0.38255904021867082</v>
      </c>
      <c r="U69" s="1102">
        <v>0</v>
      </c>
      <c r="V69" s="1102">
        <v>0.19035794952894669</v>
      </c>
      <c r="W69" s="1102">
        <v>0.19898320602271874</v>
      </c>
      <c r="X69" s="1102">
        <v>4.9823355252884928E-2</v>
      </c>
      <c r="Y69" s="1102">
        <v>8.9387796025797474E-3</v>
      </c>
      <c r="Z69" s="1217"/>
      <c r="AA69" s="1083"/>
      <c r="AB69" s="1083"/>
      <c r="AC69" s="1083"/>
      <c r="AD69" s="1083"/>
      <c r="AE69" s="1083"/>
      <c r="AF69" s="1083"/>
      <c r="AG69" s="1083"/>
      <c r="AH69" s="1083"/>
      <c r="AI69" s="1083"/>
      <c r="AJ69" s="1083"/>
      <c r="AK69" s="1083"/>
      <c r="AL69" s="1083"/>
      <c r="AM69" s="1083"/>
      <c r="AN69" s="1083"/>
      <c r="AO69" s="1083"/>
      <c r="AP69" s="1083"/>
      <c r="AQ69" s="1083"/>
      <c r="AR69" s="1083"/>
      <c r="AS69" s="1083"/>
      <c r="AT69" s="1083"/>
      <c r="AU69" s="1083"/>
      <c r="AV69" s="1083"/>
      <c r="AW69" s="1083"/>
      <c r="AX69" s="1083"/>
      <c r="AY69" s="1083"/>
      <c r="AZ69" s="1083"/>
      <c r="BA69" s="1083"/>
      <c r="BB69" s="1083"/>
      <c r="BC69" s="1083"/>
      <c r="BD69" s="1083"/>
      <c r="BE69" s="1083"/>
      <c r="BF69" s="1083"/>
      <c r="BG69" s="1083"/>
      <c r="BH69" s="1083"/>
      <c r="BI69" s="1083"/>
      <c r="BJ69" s="1083"/>
      <c r="BK69" s="1083"/>
      <c r="BL69" s="1083"/>
      <c r="BM69" s="1083"/>
      <c r="BN69" s="1083"/>
      <c r="BO69" s="1083"/>
      <c r="BP69" s="1083"/>
      <c r="BQ69" s="1083"/>
      <c r="BR69" s="1083"/>
      <c r="BS69" s="1083"/>
      <c r="BT69" s="1083"/>
      <c r="BU69" s="1083"/>
    </row>
    <row r="70" spans="1:73" x14ac:dyDescent="0.25">
      <c r="A70" s="1083"/>
      <c r="B70" s="1095">
        <f t="shared" si="6"/>
        <v>20</v>
      </c>
      <c r="C70" s="1203">
        <f>(C$72=1)*$F$3
+(C$72=2)*$F$3
+(C$72=3)*$F$3
+(C$72=4)*$F$3
+(C$72=5)*$F$3</f>
        <v>1.05</v>
      </c>
      <c r="D70" s="1088">
        <v>1</v>
      </c>
      <c r="E70" s="1088">
        <v>1</v>
      </c>
      <c r="F70" s="1203">
        <f>(F$72=1)*$F$6
+(F$72=2)*$F$6
+(F$72=3)*$F$6
+(F$72=4)*$F$6
+(F$72=5)*$F$6</f>
        <v>0.95</v>
      </c>
      <c r="G70" s="1203">
        <f>(G$72=1)*$F$7
+(G$72=2)*$F$7
+(G$72=3)*$F$7
+(G$72=4)*$F$7
+(G$72=5)*$F$7</f>
        <v>0.95</v>
      </c>
      <c r="H70" s="1203">
        <f>(H$72=1)*$F$8
+(H$72=2)*$F$8
+(H$72=3)*$F$8
+(H$72=4)*$F$8
+(H$72=5)*$F$8</f>
        <v>0.95</v>
      </c>
      <c r="I70" s="1203">
        <f>(I$72=1)*$F$9
+(I$72=2)*$F$9
+(I$72=3)*$F$9
+(I$72=4)*$F$9
+(I$72=5)*$F$9</f>
        <v>0.95</v>
      </c>
      <c r="J70" s="1083"/>
      <c r="K70" s="1101">
        <v>1.7060215263743672</v>
      </c>
      <c r="L70" s="1102">
        <v>0</v>
      </c>
      <c r="M70" s="1102">
        <v>3.2902514705697604E-3</v>
      </c>
      <c r="N70" s="1102">
        <v>0.31238666817563066</v>
      </c>
      <c r="O70" s="1102">
        <v>0.22708813155593768</v>
      </c>
      <c r="P70" s="1102">
        <v>1.2212953666268326E-2</v>
      </c>
      <c r="Q70" s="1102">
        <v>1.5082885694362189E-3</v>
      </c>
      <c r="R70" s="1102">
        <v>3.2842991445634745E-3</v>
      </c>
      <c r="S70" s="1102">
        <v>0.32216910610729832</v>
      </c>
      <c r="T70" s="1102">
        <v>0.38255904021867082</v>
      </c>
      <c r="U70" s="1102">
        <v>0</v>
      </c>
      <c r="V70" s="1102">
        <v>0.19035794952894669</v>
      </c>
      <c r="W70" s="1102">
        <v>0.19898320602271874</v>
      </c>
      <c r="X70" s="1102">
        <v>4.9823355252884928E-2</v>
      </c>
      <c r="Y70" s="1102">
        <v>8.9387796025797474E-3</v>
      </c>
      <c r="Z70" s="1217"/>
      <c r="AA70" s="1083"/>
      <c r="AB70" s="1083"/>
      <c r="AC70" s="1083"/>
      <c r="AD70" s="1083"/>
      <c r="AE70" s="1083"/>
      <c r="AF70" s="1083"/>
      <c r="AG70" s="1083"/>
      <c r="AH70" s="1083"/>
      <c r="AI70" s="1083"/>
      <c r="AJ70" s="1083"/>
      <c r="AK70" s="1083"/>
      <c r="AL70" s="1083"/>
      <c r="AM70" s="1083"/>
      <c r="AN70" s="1083"/>
      <c r="AO70" s="1083"/>
      <c r="AP70" s="1083"/>
      <c r="AQ70" s="1083"/>
      <c r="AR70" s="1083"/>
      <c r="AS70" s="1083"/>
      <c r="AT70" s="1083"/>
      <c r="AU70" s="1083"/>
      <c r="AV70" s="1083"/>
      <c r="AW70" s="1083"/>
      <c r="AX70" s="1083"/>
      <c r="AY70" s="1083"/>
      <c r="AZ70" s="1083"/>
      <c r="BA70" s="1083"/>
      <c r="BB70" s="1083"/>
      <c r="BC70" s="1083"/>
      <c r="BD70" s="1083"/>
      <c r="BE70" s="1083"/>
      <c r="BF70" s="1083"/>
      <c r="BG70" s="1083"/>
      <c r="BH70" s="1083"/>
      <c r="BI70" s="1083"/>
      <c r="BJ70" s="1083"/>
      <c r="BK70" s="1083"/>
      <c r="BL70" s="1083"/>
      <c r="BM70" s="1083"/>
      <c r="BN70" s="1083"/>
      <c r="BO70" s="1083"/>
      <c r="BP70" s="1083"/>
      <c r="BQ70" s="1083"/>
      <c r="BR70" s="1083"/>
      <c r="BS70" s="1083"/>
      <c r="BT70" s="1083"/>
      <c r="BU70" s="1083"/>
    </row>
    <row r="71" spans="1:73" x14ac:dyDescent="0.25">
      <c r="A71" s="1083"/>
      <c r="B71" s="1083"/>
      <c r="C71" s="1083"/>
      <c r="D71" s="1083"/>
      <c r="E71" s="1083"/>
      <c r="F71" s="1083"/>
      <c r="G71" s="1083"/>
      <c r="H71" s="1083"/>
      <c r="I71" s="1083"/>
      <c r="J71" s="1083"/>
      <c r="K71" s="1083"/>
      <c r="L71" s="1083"/>
      <c r="M71" s="1083"/>
      <c r="N71" s="1083"/>
      <c r="O71" s="1083"/>
      <c r="P71" s="1083"/>
      <c r="Q71" s="1083"/>
      <c r="R71" s="1083"/>
      <c r="S71" s="1083"/>
      <c r="T71" s="1083"/>
      <c r="U71" s="1083"/>
      <c r="V71" s="1083"/>
      <c r="W71" s="1083"/>
      <c r="X71" s="1083"/>
      <c r="Y71" s="1083"/>
      <c r="Z71" s="1083"/>
      <c r="AA71" s="1083"/>
      <c r="AB71" s="1083"/>
      <c r="AC71" s="1083"/>
      <c r="AD71" s="1083"/>
      <c r="AE71" s="1083"/>
      <c r="AF71" s="1083"/>
      <c r="AG71" s="1083"/>
      <c r="AH71" s="1083"/>
      <c r="AI71" s="1083"/>
      <c r="AJ71" s="1083"/>
      <c r="AK71" s="1083"/>
      <c r="AL71" s="1083"/>
      <c r="AM71" s="1083"/>
      <c r="AN71" s="1083"/>
      <c r="AO71" s="1083"/>
      <c r="AP71" s="1083"/>
      <c r="AQ71" s="1083"/>
      <c r="AR71" s="1083"/>
      <c r="AS71" s="1083"/>
      <c r="AT71" s="1083"/>
      <c r="AU71" s="1083"/>
      <c r="AV71" s="1083"/>
      <c r="AW71" s="1083"/>
      <c r="AX71" s="1083"/>
      <c r="AY71" s="1083"/>
      <c r="AZ71" s="1083"/>
      <c r="BA71" s="1083"/>
      <c r="BB71" s="1083"/>
      <c r="BC71" s="1083"/>
      <c r="BD71" s="1083"/>
      <c r="BE71" s="1083"/>
      <c r="BF71" s="1083"/>
      <c r="BG71" s="1083"/>
      <c r="BH71" s="1083"/>
      <c r="BI71" s="1083"/>
      <c r="BJ71" s="1083"/>
      <c r="BK71" s="1083"/>
      <c r="BL71" s="1083"/>
      <c r="BM71" s="1083"/>
      <c r="BN71" s="1083"/>
      <c r="BO71" s="1083"/>
      <c r="BP71" s="1083"/>
      <c r="BQ71" s="1083"/>
      <c r="BR71" s="1083"/>
      <c r="BS71" s="1083"/>
      <c r="BT71" s="1083"/>
      <c r="BU71" s="1083"/>
    </row>
    <row r="72" spans="1:73" x14ac:dyDescent="0.25">
      <c r="A72" s="1083"/>
      <c r="B72" s="1211" t="s">
        <v>1184</v>
      </c>
      <c r="C72" s="1087">
        <f>6-RANK($N$101,($N$101,$N$104:$N$107))</f>
        <v>1</v>
      </c>
      <c r="D72" s="1212"/>
      <c r="E72" s="1212"/>
      <c r="F72" s="1087">
        <f>6-RANK($N$104,($N$101,$N$104:$N$107))</f>
        <v>3</v>
      </c>
      <c r="G72" s="1087">
        <f>6-RANK($N$105,($N$101,$N$104:$N$107))</f>
        <v>5</v>
      </c>
      <c r="H72" s="1087">
        <f>6-RANK($N$106,($N$101,$N$104:$N$107))</f>
        <v>2</v>
      </c>
      <c r="I72" s="1087">
        <f>6-RANK($N$107,($N$101,$N$104:$N$107))</f>
        <v>4</v>
      </c>
      <c r="J72" s="1083"/>
      <c r="K72" s="1083"/>
      <c r="L72" s="1083"/>
      <c r="M72" s="1083"/>
      <c r="N72" s="1083"/>
      <c r="O72" s="1083"/>
      <c r="P72" s="1083"/>
      <c r="Q72" s="1083"/>
      <c r="R72" s="1083"/>
      <c r="S72" s="1083"/>
      <c r="T72" s="1083"/>
      <c r="U72" s="1083"/>
      <c r="V72" s="1083"/>
      <c r="W72" s="1083"/>
      <c r="X72" s="1083"/>
      <c r="Y72" s="1083"/>
      <c r="Z72" s="1083"/>
      <c r="AA72" s="1083"/>
      <c r="AB72" s="1083"/>
      <c r="AC72" s="1083"/>
      <c r="AD72" s="1083"/>
      <c r="AE72" s="1083"/>
      <c r="AF72" s="1083"/>
      <c r="AG72" s="1083"/>
      <c r="AH72" s="1083"/>
      <c r="AI72" s="1083"/>
      <c r="AJ72" s="1083"/>
      <c r="AK72" s="1083"/>
      <c r="AL72" s="1083"/>
      <c r="AM72" s="1083"/>
      <c r="AN72" s="1083"/>
      <c r="AO72" s="1083"/>
      <c r="AP72" s="1083"/>
      <c r="AQ72" s="1083"/>
      <c r="AR72" s="1083"/>
      <c r="AS72" s="1083"/>
      <c r="AT72" s="1083"/>
      <c r="AU72" s="1083"/>
      <c r="AV72" s="1083"/>
      <c r="AW72" s="1083"/>
      <c r="AX72" s="1083"/>
      <c r="AY72" s="1083"/>
      <c r="AZ72" s="1083"/>
      <c r="BA72" s="1083"/>
      <c r="BB72" s="1083"/>
      <c r="BC72" s="1083"/>
      <c r="BD72" s="1083"/>
      <c r="BE72" s="1083"/>
      <c r="BF72" s="1083"/>
      <c r="BG72" s="1083"/>
      <c r="BH72" s="1083"/>
      <c r="BI72" s="1083"/>
      <c r="BJ72" s="1083"/>
      <c r="BK72" s="1083"/>
      <c r="BL72" s="1083"/>
      <c r="BM72" s="1083"/>
      <c r="BN72" s="1083"/>
      <c r="BO72" s="1083"/>
      <c r="BP72" s="1083"/>
      <c r="BQ72" s="1083"/>
      <c r="BR72" s="1083"/>
      <c r="BS72" s="1083"/>
      <c r="BT72" s="1083"/>
      <c r="BU72" s="1083"/>
    </row>
    <row r="73" spans="1:73" x14ac:dyDescent="0.25">
      <c r="A73" s="1083"/>
      <c r="B73" s="1083"/>
      <c r="C73" s="1083"/>
      <c r="D73" s="1083"/>
      <c r="E73" s="1083"/>
      <c r="F73" s="1083"/>
      <c r="G73" s="1083"/>
      <c r="H73" s="1083"/>
      <c r="I73" s="1083"/>
      <c r="J73" s="1083"/>
      <c r="K73" s="1083"/>
      <c r="L73" s="1083"/>
      <c r="M73" s="1083"/>
      <c r="N73" s="1083"/>
      <c r="O73" s="1083"/>
      <c r="P73" s="1083"/>
      <c r="Q73" s="1083"/>
      <c r="R73" s="1083"/>
      <c r="S73" s="1083"/>
      <c r="T73" s="1083"/>
      <c r="U73" s="1083"/>
      <c r="V73" s="1083"/>
      <c r="W73" s="1083"/>
      <c r="X73" s="1083"/>
      <c r="Y73" s="1083"/>
      <c r="Z73" s="1083"/>
      <c r="AA73" s="1083"/>
      <c r="AB73" s="1083"/>
      <c r="AC73" s="1083"/>
      <c r="AD73" s="1083"/>
      <c r="AE73" s="1083"/>
      <c r="AF73" s="1083"/>
      <c r="AG73" s="1083"/>
      <c r="AH73" s="1083"/>
      <c r="AI73" s="1083"/>
      <c r="AJ73" s="1083"/>
      <c r="AK73" s="1083"/>
      <c r="AL73" s="1083"/>
      <c r="AM73" s="1083"/>
      <c r="AN73" s="1083"/>
      <c r="AO73" s="1083"/>
      <c r="AP73" s="1083"/>
      <c r="AQ73" s="1083"/>
      <c r="AR73" s="1083"/>
      <c r="AS73" s="1083"/>
      <c r="AT73" s="1083"/>
      <c r="AU73" s="1083"/>
      <c r="AV73" s="1083"/>
      <c r="AW73" s="1083"/>
      <c r="AX73" s="1083"/>
      <c r="AY73" s="1083"/>
      <c r="AZ73" s="1083"/>
      <c r="BA73" s="1083"/>
      <c r="BB73" s="1083"/>
      <c r="BC73" s="1083"/>
      <c r="BD73" s="1083"/>
      <c r="BE73" s="1083"/>
      <c r="BF73" s="1083"/>
      <c r="BG73" s="1083"/>
      <c r="BH73" s="1083"/>
      <c r="BI73" s="1083"/>
      <c r="BJ73" s="1083"/>
      <c r="BK73" s="1083"/>
      <c r="BL73" s="1083"/>
      <c r="BM73" s="1083"/>
      <c r="BN73" s="1083"/>
      <c r="BO73" s="1083"/>
      <c r="BP73" s="1083"/>
      <c r="BQ73" s="1083"/>
      <c r="BR73" s="1083"/>
      <c r="BS73" s="1083"/>
      <c r="BT73" s="1083"/>
      <c r="BU73" s="1083"/>
    </row>
    <row r="74" spans="1:73" x14ac:dyDescent="0.25">
      <c r="A74" s="1083"/>
      <c r="B74" s="1085" t="s">
        <v>1148</v>
      </c>
      <c r="C74" s="1083"/>
      <c r="D74" s="1083"/>
      <c r="E74" s="1083"/>
      <c r="F74" s="1083"/>
      <c r="G74" s="1083"/>
      <c r="H74" s="1083"/>
      <c r="I74" s="1083"/>
      <c r="J74" s="1083"/>
      <c r="K74" s="1083"/>
      <c r="L74" s="1083"/>
      <c r="M74" s="1083"/>
      <c r="N74" s="1083"/>
      <c r="O74" s="1083"/>
      <c r="P74" s="1083"/>
      <c r="Q74" s="1083"/>
      <c r="R74" s="1083"/>
      <c r="S74" s="1083"/>
      <c r="T74" s="1083"/>
      <c r="U74" s="1083"/>
      <c r="V74" s="1083"/>
      <c r="W74" s="1083"/>
      <c r="X74" s="1083"/>
      <c r="Y74" s="1083"/>
      <c r="Z74" s="1083"/>
      <c r="AA74" s="1083"/>
      <c r="AB74" s="1083"/>
      <c r="AC74" s="1083"/>
      <c r="AD74" s="1083"/>
      <c r="AE74" s="1083"/>
      <c r="AF74" s="1083"/>
      <c r="AG74" s="1083"/>
      <c r="AH74" s="1083"/>
      <c r="AI74" s="1083"/>
      <c r="AJ74" s="1083"/>
      <c r="AK74" s="1083"/>
      <c r="AL74" s="1083"/>
      <c r="AM74" s="1083"/>
      <c r="AN74" s="1083"/>
      <c r="AO74" s="1083"/>
      <c r="AP74" s="1083"/>
      <c r="AQ74" s="1083"/>
      <c r="AR74" s="1083"/>
      <c r="AS74" s="1083"/>
      <c r="AT74" s="1083"/>
      <c r="AU74" s="1083"/>
      <c r="AV74" s="1083"/>
      <c r="AW74" s="1083"/>
      <c r="AX74" s="1083"/>
      <c r="AY74" s="1083"/>
      <c r="AZ74" s="1083"/>
      <c r="BA74" s="1083"/>
      <c r="BB74" s="1083"/>
      <c r="BC74" s="1083"/>
      <c r="BD74" s="1083"/>
      <c r="BE74" s="1083"/>
      <c r="BF74" s="1083"/>
      <c r="BG74" s="1083"/>
      <c r="BH74" s="1083"/>
      <c r="BI74" s="1083"/>
      <c r="BJ74" s="1083"/>
      <c r="BK74" s="1083"/>
      <c r="BL74" s="1083"/>
      <c r="BM74" s="1083"/>
      <c r="BN74" s="1083"/>
      <c r="BO74" s="1083"/>
      <c r="BP74" s="1083"/>
      <c r="BQ74" s="1083"/>
      <c r="BR74" s="1083"/>
      <c r="BS74" s="1083"/>
      <c r="BT74" s="1083"/>
      <c r="BU74" s="1083"/>
    </row>
    <row r="75" spans="1:73" x14ac:dyDescent="0.25">
      <c r="A75" s="1083"/>
      <c r="B75" s="1083"/>
      <c r="C75" s="1083"/>
      <c r="D75" s="1083"/>
      <c r="E75" s="1083"/>
      <c r="F75" s="1083"/>
      <c r="G75" s="1083"/>
      <c r="H75" s="1083"/>
      <c r="I75" s="1083"/>
      <c r="J75" s="1083"/>
      <c r="K75" s="1083"/>
      <c r="L75" s="1083"/>
      <c r="M75" s="1083"/>
      <c r="N75" s="1083"/>
      <c r="O75" s="1083"/>
      <c r="P75" s="1083"/>
      <c r="Q75" s="1083"/>
      <c r="R75" s="1083"/>
      <c r="S75" s="1083"/>
      <c r="T75" s="1083"/>
      <c r="U75" s="1083"/>
      <c r="V75" s="1083"/>
      <c r="W75" s="1083"/>
      <c r="X75" s="1083"/>
      <c r="Y75" s="1083"/>
      <c r="Z75" s="1083"/>
      <c r="AA75" s="1083"/>
      <c r="AB75" s="1083"/>
      <c r="AC75" s="1083"/>
      <c r="AD75" s="1083"/>
      <c r="AE75" s="1083"/>
      <c r="AF75" s="1083"/>
      <c r="AG75" s="1083"/>
      <c r="AH75" s="1083"/>
      <c r="AI75" s="1083"/>
      <c r="AJ75" s="1083"/>
      <c r="AK75" s="1083"/>
      <c r="AL75" s="1083"/>
      <c r="AM75" s="1083"/>
      <c r="AN75" s="1083"/>
      <c r="AO75" s="1083"/>
      <c r="AP75" s="1083"/>
      <c r="AQ75" s="1083"/>
      <c r="AR75" s="1083"/>
      <c r="AS75" s="1083"/>
      <c r="AT75" s="1083"/>
      <c r="AU75" s="1083"/>
      <c r="AV75" s="1083"/>
      <c r="AW75" s="1083"/>
      <c r="AX75" s="1083"/>
      <c r="AY75" s="1083"/>
      <c r="AZ75" s="1083"/>
      <c r="BA75" s="1083"/>
      <c r="BB75" s="1083"/>
      <c r="BC75" s="1083"/>
      <c r="BD75" s="1083"/>
      <c r="BE75" s="1083"/>
      <c r="BF75" s="1083"/>
      <c r="BG75" s="1083"/>
      <c r="BH75" s="1083"/>
      <c r="BI75" s="1083"/>
      <c r="BJ75" s="1083"/>
      <c r="BK75" s="1083"/>
      <c r="BL75" s="1083"/>
      <c r="BM75" s="1083"/>
      <c r="BN75" s="1083"/>
      <c r="BO75" s="1083"/>
      <c r="BP75" s="1083"/>
      <c r="BQ75" s="1083"/>
      <c r="BR75" s="1083"/>
      <c r="BS75" s="1083"/>
      <c r="BT75" s="1083"/>
      <c r="BU75" s="1083"/>
    </row>
    <row r="76" spans="1:73" ht="52.8" x14ac:dyDescent="0.25">
      <c r="A76" s="1083"/>
      <c r="B76" s="1094" t="s">
        <v>1145</v>
      </c>
      <c r="C76" s="1094" t="s">
        <v>1146</v>
      </c>
      <c r="D76" s="1094" t="s">
        <v>1147</v>
      </c>
      <c r="E76" s="1094" t="s">
        <v>1134</v>
      </c>
      <c r="F76" s="1094" t="s">
        <v>1135</v>
      </c>
      <c r="G76" s="1094" t="s">
        <v>994</v>
      </c>
      <c r="H76" s="1094" t="s">
        <v>122</v>
      </c>
      <c r="I76" s="1094" t="s">
        <v>123</v>
      </c>
      <c r="J76" s="1094" t="s">
        <v>1173</v>
      </c>
      <c r="K76" s="1094" t="s">
        <v>135</v>
      </c>
      <c r="L76" s="1094" t="s">
        <v>84</v>
      </c>
      <c r="M76" s="1094" t="s">
        <v>136</v>
      </c>
      <c r="N76" s="1094" t="s">
        <v>1133</v>
      </c>
      <c r="O76" s="1094" t="s">
        <v>137</v>
      </c>
      <c r="P76" s="1094" t="s">
        <v>138</v>
      </c>
      <c r="Q76" s="1094" t="s">
        <v>139</v>
      </c>
      <c r="R76" s="1094" t="s">
        <v>1139</v>
      </c>
      <c r="S76" s="1094" t="s">
        <v>45</v>
      </c>
      <c r="T76" s="1083"/>
      <c r="U76" s="1083"/>
      <c r="V76" s="1083"/>
      <c r="W76" s="1083"/>
      <c r="X76" s="1083"/>
      <c r="Y76" s="1083"/>
      <c r="Z76" s="1083"/>
      <c r="AA76" s="1083"/>
      <c r="AB76" s="1083"/>
      <c r="AC76" s="1083"/>
      <c r="AD76" s="1083"/>
      <c r="AE76" s="1083"/>
      <c r="AF76" s="1083"/>
      <c r="AG76" s="1083"/>
      <c r="AH76" s="1083"/>
      <c r="AI76" s="1083"/>
      <c r="AJ76" s="1083"/>
      <c r="AK76" s="1083"/>
      <c r="AL76" s="1083"/>
      <c r="AM76" s="1083"/>
      <c r="AN76" s="1083"/>
      <c r="AO76" s="1083"/>
      <c r="AP76" s="1083"/>
      <c r="AQ76" s="1083"/>
      <c r="AR76" s="1083"/>
      <c r="AS76" s="1083"/>
      <c r="AT76" s="1083"/>
      <c r="AU76" s="1083"/>
      <c r="AV76" s="1083"/>
      <c r="AW76" s="1083"/>
      <c r="AX76" s="1083"/>
      <c r="AY76" s="1083"/>
      <c r="AZ76" s="1083"/>
      <c r="BA76" s="1083"/>
      <c r="BB76" s="1083"/>
      <c r="BC76" s="1083"/>
      <c r="BD76" s="1083"/>
      <c r="BE76" s="1083"/>
      <c r="BF76" s="1083"/>
      <c r="BG76" s="1083"/>
      <c r="BH76" s="1083"/>
      <c r="BI76" s="1083"/>
      <c r="BJ76" s="1083"/>
      <c r="BK76" s="1083"/>
      <c r="BL76" s="1083"/>
      <c r="BM76" s="1083"/>
      <c r="BN76" s="1083"/>
      <c r="BO76" s="1083"/>
      <c r="BP76" s="1083"/>
      <c r="BQ76" s="1083"/>
      <c r="BR76" s="1083"/>
      <c r="BS76" s="1083"/>
      <c r="BT76" s="1083"/>
      <c r="BU76" s="1083"/>
    </row>
    <row r="77" spans="1:73" x14ac:dyDescent="0.25">
      <c r="A77" s="1083"/>
      <c r="B77" s="1087" t="str">
        <f>+$B$3</f>
        <v>Operating Capacity Factor</v>
      </c>
      <c r="C77" s="1096">
        <f ca="1">+H3</f>
        <v>0.94500000000000006</v>
      </c>
      <c r="D77" s="1096" t="str">
        <f ca="1">+B77&amp;" = "&amp;C77*100&amp;"%"</f>
        <v>Operating Capacity Factor = 94.5%</v>
      </c>
      <c r="E77" s="1100">
        <f t="shared" ref="E77:S77" si="7">+K52</f>
        <v>1.7912603889642307</v>
      </c>
      <c r="F77" s="1100">
        <f t="shared" si="7"/>
        <v>0</v>
      </c>
      <c r="G77" s="1100">
        <f t="shared" si="7"/>
        <v>3.4626932688945357E-3</v>
      </c>
      <c r="H77" s="1100">
        <f t="shared" si="7"/>
        <v>0.32878849896563644</v>
      </c>
      <c r="I77" s="1100">
        <f t="shared" si="7"/>
        <v>0.23285979484018343</v>
      </c>
      <c r="J77" s="1100">
        <f t="shared" si="7"/>
        <v>1.2894250535825194E-2</v>
      </c>
      <c r="K77" s="1100">
        <f t="shared" si="7"/>
        <v>1.5082885694362189E-3</v>
      </c>
      <c r="L77" s="1100">
        <f t="shared" si="7"/>
        <v>3.4567409428882508E-3</v>
      </c>
      <c r="M77" s="1100">
        <f t="shared" si="7"/>
        <v>0.3477257845340902</v>
      </c>
      <c r="N77" s="1100">
        <f t="shared" si="7"/>
        <v>0.40269372654596958</v>
      </c>
      <c r="O77" s="1100">
        <f t="shared" si="7"/>
        <v>0</v>
      </c>
      <c r="P77" s="1100">
        <f t="shared" si="7"/>
        <v>0.19459846963289612</v>
      </c>
      <c r="Q77" s="1100">
        <f t="shared" si="7"/>
        <v>0.20943079936688319</v>
      </c>
      <c r="R77" s="1100">
        <f t="shared" si="7"/>
        <v>5.135861896711829E-2</v>
      </c>
      <c r="S77" s="1100">
        <f t="shared" si="7"/>
        <v>9.408109332196244E-3</v>
      </c>
      <c r="T77" s="1083"/>
      <c r="U77" s="1083"/>
      <c r="V77" s="1083"/>
      <c r="W77" s="1083"/>
      <c r="X77" s="1083"/>
      <c r="Y77" s="1083"/>
      <c r="Z77" s="1083"/>
      <c r="AA77" s="1083"/>
      <c r="AB77" s="1083"/>
      <c r="AC77" s="1083"/>
      <c r="AD77" s="1083"/>
      <c r="AE77" s="1083"/>
      <c r="AF77" s="1083"/>
      <c r="AG77" s="1083"/>
      <c r="AH77" s="1083"/>
      <c r="AI77" s="1083"/>
      <c r="AJ77" s="1083"/>
      <c r="AK77" s="1083"/>
      <c r="AL77" s="1083"/>
      <c r="AM77" s="1083"/>
      <c r="AN77" s="1083"/>
      <c r="AO77" s="1083"/>
      <c r="AP77" s="1083"/>
      <c r="AQ77" s="1083"/>
      <c r="AR77" s="1083"/>
      <c r="AS77" s="1083"/>
      <c r="AT77" s="1083"/>
      <c r="AU77" s="1083"/>
      <c r="AV77" s="1083"/>
      <c r="AW77" s="1083"/>
      <c r="AX77" s="1083"/>
      <c r="AY77" s="1083"/>
      <c r="AZ77" s="1083"/>
      <c r="BA77" s="1083"/>
      <c r="BB77" s="1083"/>
      <c r="BC77" s="1083"/>
      <c r="BD77" s="1083"/>
      <c r="BE77" s="1083"/>
      <c r="BF77" s="1083"/>
      <c r="BG77" s="1083"/>
      <c r="BH77" s="1083"/>
      <c r="BI77" s="1083"/>
      <c r="BJ77" s="1083"/>
      <c r="BK77" s="1083"/>
      <c r="BL77" s="1083"/>
      <c r="BM77" s="1083"/>
      <c r="BN77" s="1083"/>
      <c r="BO77" s="1083"/>
      <c r="BP77" s="1083"/>
      <c r="BQ77" s="1083"/>
      <c r="BR77" s="1083"/>
      <c r="BS77" s="1083"/>
      <c r="BT77" s="1083"/>
      <c r="BU77" s="1083"/>
    </row>
    <row r="78" spans="1:73" x14ac:dyDescent="0.25">
      <c r="A78" s="1083"/>
      <c r="B78" s="1087" t="str">
        <f t="shared" ref="B78:B79" si="8">+$B$3</f>
        <v>Operating Capacity Factor</v>
      </c>
      <c r="C78" s="1096">
        <f ca="1">+C3</f>
        <v>0.9</v>
      </c>
      <c r="D78" s="1087" t="str">
        <f t="shared" ref="D78:D79" ca="1" si="9">+B78&amp;" = "&amp;C78*100&amp;"%"</f>
        <v>Operating Capacity Factor = 90%</v>
      </c>
      <c r="E78" s="1100">
        <f t="shared" ref="E78:S78" si="10">+K$51</f>
        <v>1.8491740829657206</v>
      </c>
      <c r="F78" s="1100">
        <f t="shared" si="10"/>
        <v>0</v>
      </c>
      <c r="G78" s="1100">
        <f t="shared" si="10"/>
        <v>3.6370810062790462E-3</v>
      </c>
      <c r="H78" s="1100">
        <f t="shared" si="10"/>
        <v>0.34534711025346798</v>
      </c>
      <c r="I78" s="1100">
        <f t="shared" si="10"/>
        <v>0.23874163416600355</v>
      </c>
      <c r="J78" s="1100">
        <f t="shared" si="10"/>
        <v>1.320283908623009E-2</v>
      </c>
      <c r="K78" s="1100">
        <f t="shared" si="10"/>
        <v>1.5837029979080296E-3</v>
      </c>
      <c r="L78" s="1100">
        <f t="shared" si="10"/>
        <v>3.6308310639724464E-3</v>
      </c>
      <c r="M78" s="1100">
        <f t="shared" si="10"/>
        <v>0.36517456991515829</v>
      </c>
      <c r="N78" s="1100">
        <f t="shared" si="10"/>
        <v>0.40269372654596947</v>
      </c>
      <c r="O78" s="1100">
        <f t="shared" si="10"/>
        <v>0</v>
      </c>
      <c r="P78" s="1100">
        <f t="shared" si="10"/>
        <v>0.19976377164187348</v>
      </c>
      <c r="Q78" s="1100">
        <f t="shared" si="10"/>
        <v>0.21997825832401219</v>
      </c>
      <c r="R78" s="1100">
        <f t="shared" si="10"/>
        <v>5.281279472440787E-2</v>
      </c>
      <c r="S78" s="1100">
        <f t="shared" si="10"/>
        <v>9.8819252529944342E-3</v>
      </c>
      <c r="T78" s="1083"/>
      <c r="U78" s="1083"/>
      <c r="V78" s="1083"/>
      <c r="W78" s="1083"/>
      <c r="X78" s="1083"/>
      <c r="Y78" s="1083"/>
      <c r="Z78" s="1083"/>
      <c r="AA78" s="1083"/>
      <c r="AB78" s="1083"/>
      <c r="AC78" s="1083"/>
      <c r="AD78" s="1083"/>
      <c r="AE78" s="1083"/>
      <c r="AF78" s="1083"/>
      <c r="AG78" s="1083"/>
      <c r="AH78" s="1083"/>
      <c r="AI78" s="1083"/>
      <c r="AJ78" s="1083"/>
      <c r="AK78" s="1083"/>
      <c r="AL78" s="1083"/>
      <c r="AM78" s="1083"/>
      <c r="AN78" s="1083"/>
      <c r="AO78" s="1083"/>
      <c r="AP78" s="1083"/>
      <c r="AQ78" s="1083"/>
      <c r="AR78" s="1083"/>
      <c r="AS78" s="1083"/>
      <c r="AT78" s="1083"/>
      <c r="AU78" s="1083"/>
      <c r="AV78" s="1083"/>
      <c r="AW78" s="1083"/>
      <c r="AX78" s="1083"/>
      <c r="AY78" s="1083"/>
      <c r="AZ78" s="1083"/>
      <c r="BA78" s="1083"/>
      <c r="BB78" s="1083"/>
      <c r="BC78" s="1083"/>
      <c r="BD78" s="1083"/>
      <c r="BE78" s="1083"/>
      <c r="BF78" s="1083"/>
      <c r="BG78" s="1083"/>
      <c r="BH78" s="1083"/>
      <c r="BI78" s="1083"/>
      <c r="BJ78" s="1083"/>
      <c r="BK78" s="1083"/>
      <c r="BL78" s="1083"/>
      <c r="BM78" s="1083"/>
      <c r="BN78" s="1083"/>
      <c r="BO78" s="1083"/>
      <c r="BP78" s="1083"/>
      <c r="BQ78" s="1083"/>
      <c r="BR78" s="1083"/>
      <c r="BS78" s="1083"/>
      <c r="BT78" s="1083"/>
      <c r="BU78" s="1083"/>
    </row>
    <row r="79" spans="1:73" x14ac:dyDescent="0.25">
      <c r="A79" s="1083"/>
      <c r="B79" s="1087" t="str">
        <f t="shared" si="8"/>
        <v>Operating Capacity Factor</v>
      </c>
      <c r="C79" s="1096">
        <f ca="1">+I3</f>
        <v>0.85499999999999998</v>
      </c>
      <c r="D79" s="1087" t="str">
        <f t="shared" ca="1" si="9"/>
        <v>Operating Capacity Factor = 85.5%</v>
      </c>
      <c r="E79" s="1100">
        <f t="shared" ref="E79:S80" si="11">+K53</f>
        <v>1.9123888153652373</v>
      </c>
      <c r="F79" s="1100">
        <f t="shared" si="11"/>
        <v>0</v>
      </c>
      <c r="G79" s="1100">
        <f t="shared" si="11"/>
        <v>3.8281235444443278E-3</v>
      </c>
      <c r="H79" s="1100">
        <f t="shared" si="11"/>
        <v>0.36348686596117197</v>
      </c>
      <c r="I79" s="1100">
        <f t="shared" si="11"/>
        <v>0.24498110262090883</v>
      </c>
      <c r="J79" s="1100">
        <f t="shared" si="11"/>
        <v>1.3541020100559742E-2</v>
      </c>
      <c r="K79" s="1100">
        <f t="shared" si="11"/>
        <v>1.6670557872716101E-3</v>
      </c>
      <c r="L79" s="1100">
        <f t="shared" si="11"/>
        <v>3.8215446578058021E-3</v>
      </c>
      <c r="M79" s="1100">
        <f t="shared" si="11"/>
        <v>0.38437519334821513</v>
      </c>
      <c r="N79" s="1100">
        <f t="shared" si="11"/>
        <v>0.40269372654596919</v>
      </c>
      <c r="O79" s="1100">
        <f t="shared" si="11"/>
        <v>0</v>
      </c>
      <c r="P79" s="1100">
        <f t="shared" si="11"/>
        <v>0.20534584040177384</v>
      </c>
      <c r="Q79" s="1100">
        <f t="shared" si="11"/>
        <v>0.23153287033184108</v>
      </c>
      <c r="R79" s="1100">
        <f t="shared" si="11"/>
        <v>5.4370734367473479E-2</v>
      </c>
      <c r="S79" s="1100">
        <f t="shared" si="11"/>
        <v>1.0400984786689519E-2</v>
      </c>
      <c r="T79" s="1083"/>
      <c r="U79" s="1083"/>
      <c r="V79" s="1083"/>
      <c r="W79" s="1083"/>
      <c r="X79" s="1083"/>
      <c r="Y79" s="1083"/>
      <c r="Z79" s="1083"/>
      <c r="AA79" s="1083"/>
      <c r="AB79" s="1083"/>
      <c r="AC79" s="1083"/>
      <c r="AD79" s="1083"/>
      <c r="AE79" s="1083"/>
      <c r="AF79" s="1083"/>
      <c r="AG79" s="1083"/>
      <c r="AH79" s="1083"/>
      <c r="AI79" s="1083"/>
      <c r="AJ79" s="1083"/>
      <c r="AK79" s="1083"/>
      <c r="AL79" s="1083"/>
      <c r="AM79" s="1083"/>
      <c r="AN79" s="1083"/>
      <c r="AO79" s="1083"/>
      <c r="AP79" s="1083"/>
      <c r="AQ79" s="1083"/>
      <c r="AR79" s="1083"/>
      <c r="AS79" s="1083"/>
      <c r="AT79" s="1083"/>
      <c r="AU79" s="1083"/>
      <c r="AV79" s="1083"/>
      <c r="AW79" s="1083"/>
      <c r="AX79" s="1083"/>
      <c r="AY79" s="1083"/>
      <c r="AZ79" s="1083"/>
      <c r="BA79" s="1083"/>
      <c r="BB79" s="1083"/>
      <c r="BC79" s="1083"/>
      <c r="BD79" s="1083"/>
      <c r="BE79" s="1083"/>
      <c r="BF79" s="1083"/>
      <c r="BG79" s="1083"/>
      <c r="BH79" s="1083"/>
      <c r="BI79" s="1083"/>
      <c r="BJ79" s="1083"/>
      <c r="BK79" s="1083"/>
      <c r="BL79" s="1083"/>
      <c r="BM79" s="1083"/>
      <c r="BN79" s="1083"/>
      <c r="BO79" s="1083"/>
      <c r="BP79" s="1083"/>
      <c r="BQ79" s="1083"/>
      <c r="BR79" s="1083"/>
      <c r="BS79" s="1083"/>
      <c r="BT79" s="1083"/>
      <c r="BU79" s="1083"/>
    </row>
    <row r="80" spans="1:73" x14ac:dyDescent="0.25">
      <c r="A80" s="1083"/>
      <c r="B80" s="1087" t="str">
        <f>+$B$4</f>
        <v>Plant Design Capacity (kg of H2/day)</v>
      </c>
      <c r="C80" s="1105">
        <f>ROUND(H4,0)</f>
        <v>649883</v>
      </c>
      <c r="D80" s="1087" t="str">
        <f>+B80&amp;" = "&amp;TEXT(C80,"0,000")</f>
        <v>Plant Design Capacity (kg of H2/day) = 649,883</v>
      </c>
      <c r="E80" s="1100">
        <f t="shared" si="11"/>
        <v>1.8156618367626984</v>
      </c>
      <c r="F80" s="1100">
        <f t="shared" si="11"/>
        <v>0</v>
      </c>
      <c r="G80" s="1100">
        <f t="shared" si="11"/>
        <v>3.5418784228434153E-3</v>
      </c>
      <c r="H80" s="1100">
        <f t="shared" si="11"/>
        <v>0.336303389569654</v>
      </c>
      <c r="I80" s="1100">
        <f t="shared" si="11"/>
        <v>0.23388317597847552</v>
      </c>
      <c r="J80" s="1100">
        <f t="shared" si="11"/>
        <v>1.3034774516267906E-2</v>
      </c>
      <c r="K80" s="1100">
        <f t="shared" si="11"/>
        <v>1.5530949916168176E-3</v>
      </c>
      <c r="L80" s="1100">
        <f t="shared" si="11"/>
        <v>3.5357492722974501E-3</v>
      </c>
      <c r="M80" s="1100">
        <f t="shared" si="11"/>
        <v>0.35544319217040965</v>
      </c>
      <c r="N80" s="1100">
        <f t="shared" si="11"/>
        <v>0.40269372654596958</v>
      </c>
      <c r="O80" s="1100">
        <f t="shared" si="11"/>
        <v>0</v>
      </c>
      <c r="P80" s="1100">
        <f t="shared" si="11"/>
        <v>0.19717898645868709</v>
      </c>
      <c r="Q80" s="1100">
        <f t="shared" si="11"/>
        <v>0.21421761384277091</v>
      </c>
      <c r="R80" s="1100">
        <f t="shared" si="11"/>
        <v>5.1736867879631374E-2</v>
      </c>
      <c r="S80" s="1100">
        <f t="shared" si="11"/>
        <v>9.6231439597592987E-3</v>
      </c>
      <c r="T80" s="1083"/>
      <c r="U80" s="1083"/>
      <c r="V80" s="1083"/>
      <c r="W80" s="1083"/>
      <c r="X80" s="1083"/>
      <c r="Y80" s="1083"/>
      <c r="Z80" s="1083"/>
      <c r="AA80" s="1083"/>
      <c r="AB80" s="1083"/>
      <c r="AC80" s="1083"/>
      <c r="AD80" s="1083"/>
      <c r="AE80" s="1083"/>
      <c r="AF80" s="1083"/>
      <c r="AG80" s="1083"/>
      <c r="AH80" s="1083"/>
      <c r="AI80" s="1083"/>
      <c r="AJ80" s="1083"/>
      <c r="AK80" s="1083"/>
      <c r="AL80" s="1083"/>
      <c r="AM80" s="1083"/>
      <c r="AN80" s="1083"/>
      <c r="AO80" s="1083"/>
      <c r="AP80" s="1083"/>
      <c r="AQ80" s="1083"/>
      <c r="AR80" s="1083"/>
      <c r="AS80" s="1083"/>
      <c r="AT80" s="1083"/>
      <c r="AU80" s="1083"/>
      <c r="AV80" s="1083"/>
      <c r="AW80" s="1083"/>
      <c r="AX80" s="1083"/>
      <c r="AY80" s="1083"/>
      <c r="AZ80" s="1083"/>
      <c r="BA80" s="1083"/>
      <c r="BB80" s="1083"/>
      <c r="BC80" s="1083"/>
      <c r="BD80" s="1083"/>
      <c r="BE80" s="1083"/>
      <c r="BF80" s="1083"/>
      <c r="BG80" s="1083"/>
      <c r="BH80" s="1083"/>
      <c r="BI80" s="1083"/>
      <c r="BJ80" s="1083"/>
      <c r="BK80" s="1083"/>
      <c r="BL80" s="1083"/>
      <c r="BM80" s="1083"/>
      <c r="BN80" s="1083"/>
      <c r="BO80" s="1083"/>
      <c r="BP80" s="1083"/>
      <c r="BQ80" s="1083"/>
      <c r="BR80" s="1083"/>
      <c r="BS80" s="1083"/>
      <c r="BT80" s="1083"/>
      <c r="BU80" s="1083"/>
    </row>
    <row r="81" spans="1:73" x14ac:dyDescent="0.25">
      <c r="A81" s="1083"/>
      <c r="B81" s="1087" t="str">
        <f t="shared" ref="B81:B82" si="12">+$B$4</f>
        <v>Plant Design Capacity (kg of H2/day)</v>
      </c>
      <c r="C81" s="1105">
        <f>+ROUND(C4,0)</f>
        <v>618936</v>
      </c>
      <c r="D81" s="1087" t="str">
        <f t="shared" ref="D81:D82" si="13">+B81&amp;" = "&amp;TEXT(C81,"0,000")</f>
        <v>Plant Design Capacity (kg of H2/day) = 618,936</v>
      </c>
      <c r="E81" s="1100">
        <f t="shared" ref="E81:S81" si="14">+K$51</f>
        <v>1.8491740829657206</v>
      </c>
      <c r="F81" s="1100">
        <f t="shared" si="14"/>
        <v>0</v>
      </c>
      <c r="G81" s="1100">
        <f t="shared" si="14"/>
        <v>3.6370810062790462E-3</v>
      </c>
      <c r="H81" s="1100">
        <f t="shared" si="14"/>
        <v>0.34534711025346798</v>
      </c>
      <c r="I81" s="1100">
        <f t="shared" si="14"/>
        <v>0.23874163416600355</v>
      </c>
      <c r="J81" s="1100">
        <f t="shared" si="14"/>
        <v>1.320283908623009E-2</v>
      </c>
      <c r="K81" s="1100">
        <f t="shared" si="14"/>
        <v>1.5837029979080296E-3</v>
      </c>
      <c r="L81" s="1100">
        <f t="shared" si="14"/>
        <v>3.6308310639724464E-3</v>
      </c>
      <c r="M81" s="1100">
        <f t="shared" si="14"/>
        <v>0.36517456991515829</v>
      </c>
      <c r="N81" s="1100">
        <f t="shared" si="14"/>
        <v>0.40269372654596947</v>
      </c>
      <c r="O81" s="1100">
        <f t="shared" si="14"/>
        <v>0</v>
      </c>
      <c r="P81" s="1100">
        <f t="shared" si="14"/>
        <v>0.19976377164187348</v>
      </c>
      <c r="Q81" s="1100">
        <f t="shared" si="14"/>
        <v>0.21997825832401219</v>
      </c>
      <c r="R81" s="1100">
        <f t="shared" si="14"/>
        <v>5.281279472440787E-2</v>
      </c>
      <c r="S81" s="1100">
        <f t="shared" si="14"/>
        <v>9.8819252529944342E-3</v>
      </c>
      <c r="T81" s="1083"/>
      <c r="U81" s="1083"/>
      <c r="V81" s="1083"/>
      <c r="W81" s="1083"/>
      <c r="X81" s="1083"/>
      <c r="Y81" s="1083"/>
      <c r="Z81" s="1083"/>
      <c r="AA81" s="1083"/>
      <c r="AB81" s="1083"/>
      <c r="AC81" s="1083"/>
      <c r="AD81" s="1083"/>
      <c r="AE81" s="1083"/>
      <c r="AF81" s="1083"/>
      <c r="AG81" s="1083"/>
      <c r="AH81" s="1083"/>
      <c r="AI81" s="1083"/>
      <c r="AJ81" s="1083"/>
      <c r="AK81" s="1083"/>
      <c r="AL81" s="1083"/>
      <c r="AM81" s="1083"/>
      <c r="AN81" s="1083"/>
      <c r="AO81" s="1083"/>
      <c r="AP81" s="1083"/>
      <c r="AQ81" s="1083"/>
      <c r="AR81" s="1083"/>
      <c r="AS81" s="1083"/>
      <c r="AT81" s="1083"/>
      <c r="AU81" s="1083"/>
      <c r="AV81" s="1083"/>
      <c r="AW81" s="1083"/>
      <c r="AX81" s="1083"/>
      <c r="AY81" s="1083"/>
      <c r="AZ81" s="1083"/>
      <c r="BA81" s="1083"/>
      <c r="BB81" s="1083"/>
      <c r="BC81" s="1083"/>
      <c r="BD81" s="1083"/>
      <c r="BE81" s="1083"/>
      <c r="BF81" s="1083"/>
      <c r="BG81" s="1083"/>
      <c r="BH81" s="1083"/>
      <c r="BI81" s="1083"/>
      <c r="BJ81" s="1083"/>
      <c r="BK81" s="1083"/>
      <c r="BL81" s="1083"/>
      <c r="BM81" s="1083"/>
      <c r="BN81" s="1083"/>
      <c r="BO81" s="1083"/>
      <c r="BP81" s="1083"/>
      <c r="BQ81" s="1083"/>
      <c r="BR81" s="1083"/>
      <c r="BS81" s="1083"/>
      <c r="BT81" s="1083"/>
      <c r="BU81" s="1083"/>
    </row>
    <row r="82" spans="1:73" x14ac:dyDescent="0.25">
      <c r="A82" s="1083"/>
      <c r="B82" s="1087" t="str">
        <f t="shared" si="12"/>
        <v>Plant Design Capacity (kg of H2/day)</v>
      </c>
      <c r="C82" s="1105">
        <f>ROUND(I4,0)</f>
        <v>587989</v>
      </c>
      <c r="D82" s="1087" t="str">
        <f t="shared" si="13"/>
        <v>Plant Design Capacity (kg of H2/day) = 587,989</v>
      </c>
      <c r="E82" s="1100">
        <f t="shared" ref="E82:S83" si="15">+K55</f>
        <v>1.8849687250954414</v>
      </c>
      <c r="F82" s="1100">
        <f t="shared" si="15"/>
        <v>0</v>
      </c>
      <c r="G82" s="1100">
        <f t="shared" si="15"/>
        <v>3.7388449771865303E-3</v>
      </c>
      <c r="H82" s="1100">
        <f t="shared" si="15"/>
        <v>0.35501408474785112</v>
      </c>
      <c r="I82" s="1100">
        <f t="shared" si="15"/>
        <v>0.24382727551423722</v>
      </c>
      <c r="J82" s="1100">
        <f t="shared" si="15"/>
        <v>1.3383813052922383E-2</v>
      </c>
      <c r="K82" s="1100">
        <f t="shared" si="15"/>
        <v>1.6165319650883042E-3</v>
      </c>
      <c r="L82" s="1100">
        <f t="shared" si="15"/>
        <v>3.732465478295689E-3</v>
      </c>
      <c r="M82" s="1100">
        <f t="shared" si="15"/>
        <v>0.37570684556305534</v>
      </c>
      <c r="N82" s="1100">
        <f t="shared" si="15"/>
        <v>0.40269372654596919</v>
      </c>
      <c r="O82" s="1100">
        <f t="shared" si="15"/>
        <v>0</v>
      </c>
      <c r="P82" s="1100">
        <f t="shared" si="15"/>
        <v>0.20249368971841056</v>
      </c>
      <c r="Q82" s="1100">
        <f t="shared" si="15"/>
        <v>0.22613590131391953</v>
      </c>
      <c r="R82" s="1100">
        <f t="shared" si="15"/>
        <v>5.3944695547871048E-2</v>
      </c>
      <c r="S82" s="1100">
        <f t="shared" si="15"/>
        <v>1.0158540625006623E-2</v>
      </c>
      <c r="T82" s="1083"/>
      <c r="U82" s="1083"/>
      <c r="V82" s="1083"/>
      <c r="W82" s="1083"/>
      <c r="X82" s="1083"/>
      <c r="Y82" s="1083"/>
      <c r="Z82" s="1083"/>
      <c r="AA82" s="1083"/>
      <c r="AB82" s="1083"/>
      <c r="AC82" s="1083"/>
      <c r="AD82" s="1083"/>
      <c r="AE82" s="1083"/>
      <c r="AF82" s="1083"/>
      <c r="AG82" s="1083"/>
      <c r="AH82" s="1083"/>
      <c r="AI82" s="1083"/>
      <c r="AJ82" s="1083"/>
      <c r="AK82" s="1083"/>
      <c r="AL82" s="1083"/>
      <c r="AM82" s="1083"/>
      <c r="AN82" s="1083"/>
      <c r="AO82" s="1083"/>
      <c r="AP82" s="1083"/>
      <c r="AQ82" s="1083"/>
      <c r="AR82" s="1083"/>
      <c r="AS82" s="1083"/>
      <c r="AT82" s="1083"/>
      <c r="AU82" s="1083"/>
      <c r="AV82" s="1083"/>
      <c r="AW82" s="1083"/>
      <c r="AX82" s="1083"/>
      <c r="AY82" s="1083"/>
      <c r="AZ82" s="1083"/>
      <c r="BA82" s="1083"/>
      <c r="BB82" s="1083"/>
      <c r="BC82" s="1083"/>
      <c r="BD82" s="1083"/>
      <c r="BE82" s="1083"/>
      <c r="BF82" s="1083"/>
      <c r="BG82" s="1083"/>
      <c r="BH82" s="1083"/>
      <c r="BI82" s="1083"/>
      <c r="BJ82" s="1083"/>
      <c r="BK82" s="1083"/>
      <c r="BL82" s="1083"/>
      <c r="BM82" s="1083"/>
      <c r="BN82" s="1083"/>
      <c r="BO82" s="1083"/>
      <c r="BP82" s="1083"/>
      <c r="BQ82" s="1083"/>
      <c r="BR82" s="1083"/>
      <c r="BS82" s="1083"/>
      <c r="BT82" s="1083"/>
      <c r="BU82" s="1083"/>
    </row>
    <row r="83" spans="1:73" x14ac:dyDescent="0.25">
      <c r="A83" s="1083"/>
      <c r="B83" s="1087" t="str">
        <f>+$B$5</f>
        <v>After-tax Real IRR</v>
      </c>
      <c r="C83" s="1096">
        <f ca="1">+ROUND(H5,2)</f>
        <v>0.08</v>
      </c>
      <c r="D83" s="1087" t="str">
        <f t="shared" ref="D83:D85" ca="1" si="16">+B83&amp;" = "&amp;C83*100&amp;"%"</f>
        <v>After-tax Real IRR = 8%</v>
      </c>
      <c r="E83" s="1100">
        <f t="shared" si="15"/>
        <v>1.8218064218176202</v>
      </c>
      <c r="F83" s="1100">
        <f t="shared" si="15"/>
        <v>0</v>
      </c>
      <c r="G83" s="1100">
        <f t="shared" si="15"/>
        <v>4.0271113542573005E-3</v>
      </c>
      <c r="H83" s="1100">
        <f t="shared" si="15"/>
        <v>0.32817738289123682</v>
      </c>
      <c r="I83" s="1100">
        <f t="shared" si="15"/>
        <v>0.2380235204280392</v>
      </c>
      <c r="J83" s="1100">
        <f t="shared" si="15"/>
        <v>1.2693533222636456E-2</v>
      </c>
      <c r="K83" s="1100">
        <f t="shared" si="15"/>
        <v>1.5004864186657948E-3</v>
      </c>
      <c r="L83" s="1100">
        <f t="shared" si="15"/>
        <v>4.020191185698253E-3</v>
      </c>
      <c r="M83" s="1100">
        <f t="shared" si="15"/>
        <v>0.36460403329098245</v>
      </c>
      <c r="N83" s="1100">
        <f t="shared" si="15"/>
        <v>0.40239626114265992</v>
      </c>
      <c r="O83" s="1100">
        <f t="shared" si="15"/>
        <v>0</v>
      </c>
      <c r="P83" s="1100">
        <f t="shared" si="15"/>
        <v>0.19946415253352626</v>
      </c>
      <c r="Q83" s="1100">
        <f t="shared" si="15"/>
        <v>0.21580416835197552</v>
      </c>
      <c r="R83" s="1100">
        <f t="shared" si="15"/>
        <v>4.8208168554653937E-2</v>
      </c>
      <c r="S83" s="1100">
        <f t="shared" si="15"/>
        <v>1.0941635151802447E-2</v>
      </c>
      <c r="T83" s="1083"/>
      <c r="U83" s="1083"/>
      <c r="V83" s="1083"/>
      <c r="W83" s="1083"/>
      <c r="X83" s="1083"/>
      <c r="Y83" s="1083"/>
      <c r="Z83" s="1083"/>
      <c r="AA83" s="1083"/>
      <c r="AB83" s="1083"/>
      <c r="AC83" s="1083"/>
      <c r="AD83" s="1083"/>
      <c r="AE83" s="1083"/>
      <c r="AF83" s="1083"/>
      <c r="AG83" s="1083"/>
      <c r="AH83" s="1083"/>
      <c r="AI83" s="1083"/>
      <c r="AJ83" s="1083"/>
      <c r="AK83" s="1083"/>
      <c r="AL83" s="1083"/>
      <c r="AM83" s="1083"/>
      <c r="AN83" s="1083"/>
      <c r="AO83" s="1083"/>
      <c r="AP83" s="1083"/>
      <c r="AQ83" s="1083"/>
      <c r="AR83" s="1083"/>
      <c r="AS83" s="1083"/>
      <c r="AT83" s="1083"/>
      <c r="AU83" s="1083"/>
      <c r="AV83" s="1083"/>
      <c r="AW83" s="1083"/>
      <c r="AX83" s="1083"/>
      <c r="AY83" s="1083"/>
      <c r="AZ83" s="1083"/>
      <c r="BA83" s="1083"/>
      <c r="BB83" s="1083"/>
      <c r="BC83" s="1083"/>
      <c r="BD83" s="1083"/>
      <c r="BE83" s="1083"/>
      <c r="BF83" s="1083"/>
      <c r="BG83" s="1083"/>
      <c r="BH83" s="1083"/>
      <c r="BI83" s="1083"/>
      <c r="BJ83" s="1083"/>
      <c r="BK83" s="1083"/>
      <c r="BL83" s="1083"/>
      <c r="BM83" s="1083"/>
      <c r="BN83" s="1083"/>
      <c r="BO83" s="1083"/>
      <c r="BP83" s="1083"/>
      <c r="BQ83" s="1083"/>
      <c r="BR83" s="1083"/>
      <c r="BS83" s="1083"/>
      <c r="BT83" s="1083"/>
      <c r="BU83" s="1083"/>
    </row>
    <row r="84" spans="1:73" x14ac:dyDescent="0.25">
      <c r="A84" s="1083"/>
      <c r="B84" s="1087" t="str">
        <f t="shared" ref="B84:B85" si="17">+$B$5</f>
        <v>After-tax Real IRR</v>
      </c>
      <c r="C84" s="1096">
        <f ca="1">ROUND(C5,2)</f>
        <v>0.08</v>
      </c>
      <c r="D84" s="1087" t="str">
        <f t="shared" ca="1" si="16"/>
        <v>After-tax Real IRR = 8%</v>
      </c>
      <c r="E84" s="1100">
        <f t="shared" ref="E84:S84" si="18">+K$51</f>
        <v>1.8491740829657206</v>
      </c>
      <c r="F84" s="1100">
        <f t="shared" si="18"/>
        <v>0</v>
      </c>
      <c r="G84" s="1100">
        <f t="shared" si="18"/>
        <v>3.6370810062790462E-3</v>
      </c>
      <c r="H84" s="1100">
        <f t="shared" si="18"/>
        <v>0.34534711025346798</v>
      </c>
      <c r="I84" s="1100">
        <f t="shared" si="18"/>
        <v>0.23874163416600355</v>
      </c>
      <c r="J84" s="1100">
        <f t="shared" si="18"/>
        <v>1.320283908623009E-2</v>
      </c>
      <c r="K84" s="1100">
        <f t="shared" si="18"/>
        <v>1.5837029979080296E-3</v>
      </c>
      <c r="L84" s="1100">
        <f t="shared" si="18"/>
        <v>3.6308310639724464E-3</v>
      </c>
      <c r="M84" s="1100">
        <f t="shared" si="18"/>
        <v>0.36517456991515829</v>
      </c>
      <c r="N84" s="1100">
        <f t="shared" si="18"/>
        <v>0.40269372654596947</v>
      </c>
      <c r="O84" s="1100">
        <f t="shared" si="18"/>
        <v>0</v>
      </c>
      <c r="P84" s="1100">
        <f t="shared" si="18"/>
        <v>0.19976377164187348</v>
      </c>
      <c r="Q84" s="1100">
        <f t="shared" si="18"/>
        <v>0.21997825832401219</v>
      </c>
      <c r="R84" s="1100">
        <f t="shared" si="18"/>
        <v>5.281279472440787E-2</v>
      </c>
      <c r="S84" s="1100">
        <f t="shared" si="18"/>
        <v>9.8819252529944342E-3</v>
      </c>
      <c r="T84" s="1083"/>
      <c r="U84" s="1083"/>
      <c r="V84" s="1083"/>
      <c r="W84" s="1083"/>
      <c r="X84" s="1083"/>
      <c r="Y84" s="1083"/>
      <c r="Z84" s="1083"/>
      <c r="AA84" s="1083"/>
      <c r="AB84" s="1083"/>
      <c r="AC84" s="1083"/>
      <c r="AD84" s="1083"/>
      <c r="AE84" s="1083"/>
      <c r="AF84" s="1083"/>
      <c r="AG84" s="1083"/>
      <c r="AH84" s="1083"/>
      <c r="AI84" s="1083"/>
      <c r="AJ84" s="1083"/>
      <c r="AK84" s="1083"/>
      <c r="AL84" s="1083"/>
      <c r="AM84" s="1083"/>
      <c r="AN84" s="1083"/>
      <c r="AO84" s="1083"/>
      <c r="AP84" s="1083"/>
      <c r="AQ84" s="1083"/>
      <c r="AR84" s="1083"/>
      <c r="AS84" s="1083"/>
      <c r="AT84" s="1083"/>
      <c r="AU84" s="1083"/>
      <c r="AV84" s="1083"/>
      <c r="AW84" s="1083"/>
      <c r="AX84" s="1083"/>
      <c r="AY84" s="1083"/>
      <c r="AZ84" s="1083"/>
      <c r="BA84" s="1083"/>
      <c r="BB84" s="1083"/>
      <c r="BC84" s="1083"/>
      <c r="BD84" s="1083"/>
      <c r="BE84" s="1083"/>
      <c r="BF84" s="1083"/>
      <c r="BG84" s="1083"/>
      <c r="BH84" s="1083"/>
      <c r="BI84" s="1083"/>
      <c r="BJ84" s="1083"/>
      <c r="BK84" s="1083"/>
      <c r="BL84" s="1083"/>
      <c r="BM84" s="1083"/>
      <c r="BN84" s="1083"/>
      <c r="BO84" s="1083"/>
      <c r="BP84" s="1083"/>
      <c r="BQ84" s="1083"/>
      <c r="BR84" s="1083"/>
      <c r="BS84" s="1083"/>
      <c r="BT84" s="1083"/>
      <c r="BU84" s="1083"/>
    </row>
    <row r="85" spans="1:73" x14ac:dyDescent="0.25">
      <c r="A85" s="1083"/>
      <c r="B85" s="1087" t="str">
        <f t="shared" si="17"/>
        <v>After-tax Real IRR</v>
      </c>
      <c r="C85" s="1096">
        <f ca="1">ROUND(I5,2)</f>
        <v>0.08</v>
      </c>
      <c r="D85" s="1087" t="str">
        <f t="shared" ca="1" si="16"/>
        <v>After-tax Real IRR = 8%</v>
      </c>
      <c r="E85" s="1100">
        <f t="shared" ref="E85:S86" si="19">+K57</f>
        <v>1.8772996802143009</v>
      </c>
      <c r="F85" s="1100">
        <f t="shared" si="19"/>
        <v>0</v>
      </c>
      <c r="G85" s="1100">
        <f t="shared" si="19"/>
        <v>3.2821950937542582E-3</v>
      </c>
      <c r="H85" s="1100">
        <f t="shared" si="19"/>
        <v>0.36292202135830925</v>
      </c>
      <c r="I85" s="1100">
        <f t="shared" si="19"/>
        <v>0.23946519869848851</v>
      </c>
      <c r="J85" s="1100">
        <f t="shared" si="19"/>
        <v>1.3709856584535024E-2</v>
      </c>
      <c r="K85" s="1100">
        <f t="shared" si="19"/>
        <v>1.6692342183562616E-3</v>
      </c>
      <c r="L85" s="1100">
        <f t="shared" si="19"/>
        <v>3.2765549856732024E-3</v>
      </c>
      <c r="M85" s="1100">
        <f t="shared" si="19"/>
        <v>0.36574943715959751</v>
      </c>
      <c r="N85" s="1100">
        <f t="shared" si="19"/>
        <v>0.40300196401588734</v>
      </c>
      <c r="O85" s="1100">
        <f t="shared" si="19"/>
        <v>0</v>
      </c>
      <c r="P85" s="1100">
        <f t="shared" si="19"/>
        <v>0.20006599455678498</v>
      </c>
      <c r="Q85" s="1100">
        <f t="shared" si="19"/>
        <v>0.22419214572718418</v>
      </c>
      <c r="R85" s="1100">
        <f t="shared" si="19"/>
        <v>5.7611765448294036E-2</v>
      </c>
      <c r="S85" s="1100">
        <f t="shared" si="19"/>
        <v>8.9177025549417172E-3</v>
      </c>
      <c r="T85" s="1083"/>
      <c r="U85" s="1083"/>
      <c r="V85" s="1083"/>
      <c r="W85" s="1083"/>
      <c r="X85" s="1083"/>
      <c r="Y85" s="1083"/>
      <c r="Z85" s="1083"/>
      <c r="AA85" s="1083"/>
      <c r="AB85" s="1083"/>
      <c r="AC85" s="1083"/>
      <c r="AD85" s="1083"/>
      <c r="AE85" s="1083"/>
      <c r="AF85" s="1083"/>
      <c r="AG85" s="1083"/>
      <c r="AH85" s="1083"/>
      <c r="AI85" s="1083"/>
      <c r="AJ85" s="1083"/>
      <c r="AK85" s="1083"/>
      <c r="AL85" s="1083"/>
      <c r="AM85" s="1083"/>
      <c r="AN85" s="1083"/>
      <c r="AO85" s="1083"/>
      <c r="AP85" s="1083"/>
      <c r="AQ85" s="1083"/>
      <c r="AR85" s="1083"/>
      <c r="AS85" s="1083"/>
      <c r="AT85" s="1083"/>
      <c r="AU85" s="1083"/>
      <c r="AV85" s="1083"/>
      <c r="AW85" s="1083"/>
      <c r="AX85" s="1083"/>
      <c r="AY85" s="1083"/>
      <c r="AZ85" s="1083"/>
      <c r="BA85" s="1083"/>
      <c r="BB85" s="1083"/>
      <c r="BC85" s="1083"/>
      <c r="BD85" s="1083"/>
      <c r="BE85" s="1083"/>
      <c r="BF85" s="1083"/>
      <c r="BG85" s="1083"/>
      <c r="BH85" s="1083"/>
      <c r="BI85" s="1083"/>
      <c r="BJ85" s="1083"/>
      <c r="BK85" s="1083"/>
      <c r="BL85" s="1083"/>
      <c r="BM85" s="1083"/>
      <c r="BN85" s="1083"/>
      <c r="BO85" s="1083"/>
      <c r="BP85" s="1083"/>
      <c r="BQ85" s="1083"/>
      <c r="BR85" s="1083"/>
      <c r="BS85" s="1083"/>
      <c r="BT85" s="1083"/>
      <c r="BU85" s="1083"/>
    </row>
    <row r="86" spans="1:73" x14ac:dyDescent="0.25">
      <c r="A86" s="1083"/>
      <c r="B86" s="1087" t="str">
        <f>+$B$6</f>
        <v>Feedstock Consumption (% of baseline)</v>
      </c>
      <c r="C86" s="1087">
        <f>+ROUND(H6,3)</f>
        <v>0.95</v>
      </c>
      <c r="D86" s="1086" t="str">
        <f>+B86&amp;" = "&amp;C86*100&amp;"%"</f>
        <v>Feedstock Consumption (% of baseline) = 95%</v>
      </c>
      <c r="E86" s="1108">
        <f t="shared" si="19"/>
        <v>1.8169845479284283</v>
      </c>
      <c r="F86" s="1100">
        <f t="shared" si="19"/>
        <v>0</v>
      </c>
      <c r="G86" s="1100">
        <f t="shared" si="19"/>
        <v>3.6362098602220794E-3</v>
      </c>
      <c r="H86" s="1100">
        <f t="shared" si="19"/>
        <v>0.34526425104903752</v>
      </c>
      <c r="I86" s="1100">
        <f t="shared" si="19"/>
        <v>0.23272547384003106</v>
      </c>
      <c r="J86" s="1100">
        <f t="shared" si="19"/>
        <v>1.2868044790277654E-2</v>
      </c>
      <c r="K86" s="1100">
        <f t="shared" si="19"/>
        <v>1.5837029979080296E-3</v>
      </c>
      <c r="L86" s="1100">
        <f t="shared" si="19"/>
        <v>3.6299599179154787E-3</v>
      </c>
      <c r="M86" s="1100">
        <f t="shared" si="19"/>
        <v>0.36513112213708143</v>
      </c>
      <c r="N86" s="1100">
        <f t="shared" si="19"/>
        <v>0.38255904021867082</v>
      </c>
      <c r="O86" s="1100">
        <f t="shared" si="19"/>
        <v>0</v>
      </c>
      <c r="P86" s="1100">
        <f t="shared" si="19"/>
        <v>0.19540253632563279</v>
      </c>
      <c r="Q86" s="1100">
        <f t="shared" si="19"/>
        <v>0.21992547889445976</v>
      </c>
      <c r="R86" s="1100">
        <f t="shared" si="19"/>
        <v>5.1651593337033223E-2</v>
      </c>
      <c r="S86" s="1100">
        <f t="shared" si="19"/>
        <v>9.8795542806005918E-3</v>
      </c>
      <c r="T86" s="1083"/>
      <c r="U86" s="1083"/>
      <c r="V86" s="1083"/>
      <c r="W86" s="1083"/>
      <c r="X86" s="1083"/>
      <c r="Y86" s="1083"/>
      <c r="Z86" s="1083"/>
      <c r="AA86" s="1083"/>
      <c r="AB86" s="1083"/>
      <c r="AC86" s="1083"/>
      <c r="AD86" s="1083"/>
      <c r="AE86" s="1083"/>
      <c r="AF86" s="1083"/>
      <c r="AG86" s="1083"/>
      <c r="AH86" s="1083"/>
      <c r="AI86" s="1083"/>
      <c r="AJ86" s="1083"/>
      <c r="AK86" s="1083"/>
      <c r="AL86" s="1083"/>
      <c r="AM86" s="1083"/>
      <c r="AN86" s="1083"/>
      <c r="AO86" s="1083"/>
      <c r="AP86" s="1083"/>
      <c r="AQ86" s="1083"/>
      <c r="AR86" s="1083"/>
      <c r="AS86" s="1083"/>
      <c r="AT86" s="1083"/>
      <c r="AU86" s="1083"/>
      <c r="AV86" s="1083"/>
      <c r="AW86" s="1083"/>
      <c r="AX86" s="1083"/>
      <c r="AY86" s="1083"/>
      <c r="AZ86" s="1083"/>
      <c r="BA86" s="1083"/>
      <c r="BB86" s="1083"/>
      <c r="BC86" s="1083"/>
      <c r="BD86" s="1083"/>
      <c r="BE86" s="1083"/>
      <c r="BF86" s="1083"/>
      <c r="BG86" s="1083"/>
      <c r="BH86" s="1083"/>
      <c r="BI86" s="1083"/>
      <c r="BJ86" s="1083"/>
      <c r="BK86" s="1083"/>
      <c r="BL86" s="1083"/>
      <c r="BM86" s="1083"/>
      <c r="BN86" s="1083"/>
      <c r="BO86" s="1083"/>
      <c r="BP86" s="1083"/>
      <c r="BQ86" s="1083"/>
      <c r="BR86" s="1083"/>
      <c r="BS86" s="1083"/>
      <c r="BT86" s="1083"/>
      <c r="BU86" s="1083"/>
    </row>
    <row r="87" spans="1:73" x14ac:dyDescent="0.25">
      <c r="A87" s="1083"/>
      <c r="B87" s="1087" t="str">
        <f t="shared" ref="B87:B88" si="20">+$B$6</f>
        <v>Feedstock Consumption (% of baseline)</v>
      </c>
      <c r="C87" s="1087">
        <f>+ROUND(C6,3)</f>
        <v>1</v>
      </c>
      <c r="D87" s="1086" t="str">
        <f>+B87&amp;" = "&amp;C87*100&amp;"%"</f>
        <v>Feedstock Consumption (% of baseline) = 100%</v>
      </c>
      <c r="E87" s="1108">
        <f t="shared" ref="E87:S87" si="21">+K$51</f>
        <v>1.8491740829657206</v>
      </c>
      <c r="F87" s="1100">
        <f t="shared" si="21"/>
        <v>0</v>
      </c>
      <c r="G87" s="1100">
        <f t="shared" si="21"/>
        <v>3.6370810062790462E-3</v>
      </c>
      <c r="H87" s="1100">
        <f t="shared" si="21"/>
        <v>0.34534711025346798</v>
      </c>
      <c r="I87" s="1100">
        <f t="shared" si="21"/>
        <v>0.23874163416600355</v>
      </c>
      <c r="J87" s="1100">
        <f t="shared" si="21"/>
        <v>1.320283908623009E-2</v>
      </c>
      <c r="K87" s="1100">
        <f t="shared" si="21"/>
        <v>1.5837029979080296E-3</v>
      </c>
      <c r="L87" s="1100">
        <f t="shared" si="21"/>
        <v>3.6308310639724464E-3</v>
      </c>
      <c r="M87" s="1100">
        <f t="shared" si="21"/>
        <v>0.36517456991515829</v>
      </c>
      <c r="N87" s="1100">
        <f t="shared" si="21"/>
        <v>0.40269372654596947</v>
      </c>
      <c r="O87" s="1100">
        <f t="shared" si="21"/>
        <v>0</v>
      </c>
      <c r="P87" s="1100">
        <f t="shared" si="21"/>
        <v>0.19976377164187348</v>
      </c>
      <c r="Q87" s="1100">
        <f t="shared" si="21"/>
        <v>0.21997825832401219</v>
      </c>
      <c r="R87" s="1100">
        <f t="shared" si="21"/>
        <v>5.281279472440787E-2</v>
      </c>
      <c r="S87" s="1100">
        <f t="shared" si="21"/>
        <v>9.8819252529944342E-3</v>
      </c>
      <c r="T87" s="1083"/>
      <c r="U87" s="1083"/>
      <c r="V87" s="1083"/>
      <c r="W87" s="1083"/>
      <c r="X87" s="1083"/>
      <c r="Y87" s="1083"/>
      <c r="Z87" s="1083"/>
      <c r="AA87" s="1083"/>
      <c r="AB87" s="1083"/>
      <c r="AC87" s="1083"/>
      <c r="AD87" s="1083"/>
      <c r="AE87" s="1083"/>
      <c r="AF87" s="1083"/>
      <c r="AG87" s="1083"/>
      <c r="AH87" s="1083"/>
      <c r="AI87" s="1083"/>
      <c r="AJ87" s="1083"/>
      <c r="AK87" s="1083"/>
      <c r="AL87" s="1083"/>
      <c r="AM87" s="1083"/>
      <c r="AN87" s="1083"/>
      <c r="AO87" s="1083"/>
      <c r="AP87" s="1083"/>
      <c r="AQ87" s="1083"/>
      <c r="AR87" s="1083"/>
      <c r="AS87" s="1083"/>
      <c r="AT87" s="1083"/>
      <c r="AU87" s="1083"/>
      <c r="AV87" s="1083"/>
      <c r="AW87" s="1083"/>
      <c r="AX87" s="1083"/>
      <c r="AY87" s="1083"/>
      <c r="AZ87" s="1083"/>
      <c r="BA87" s="1083"/>
      <c r="BB87" s="1083"/>
      <c r="BC87" s="1083"/>
      <c r="BD87" s="1083"/>
      <c r="BE87" s="1083"/>
      <c r="BF87" s="1083"/>
      <c r="BG87" s="1083"/>
      <c r="BH87" s="1083"/>
      <c r="BI87" s="1083"/>
      <c r="BJ87" s="1083"/>
      <c r="BK87" s="1083"/>
      <c r="BL87" s="1083"/>
      <c r="BM87" s="1083"/>
      <c r="BN87" s="1083"/>
      <c r="BO87" s="1083"/>
      <c r="BP87" s="1083"/>
      <c r="BQ87" s="1083"/>
      <c r="BR87" s="1083"/>
      <c r="BS87" s="1083"/>
      <c r="BT87" s="1083"/>
      <c r="BU87" s="1083"/>
    </row>
    <row r="88" spans="1:73" x14ac:dyDescent="0.25">
      <c r="A88" s="1083"/>
      <c r="B88" s="1087" t="str">
        <f t="shared" si="20"/>
        <v>Feedstock Consumption (% of baseline)</v>
      </c>
      <c r="C88" s="1087">
        <f>+ROUND(I6,3)</f>
        <v>1.05</v>
      </c>
      <c r="D88" s="1086" t="str">
        <f>+B88&amp;" = "&amp;C88*100&amp;"%"</f>
        <v>Feedstock Consumption (% of baseline) = 105%</v>
      </c>
      <c r="E88" s="1108">
        <f t="shared" ref="E88:S89" si="22">+K59</f>
        <v>1.8806082330379454</v>
      </c>
      <c r="F88" s="1100">
        <f t="shared" si="22"/>
        <v>0</v>
      </c>
      <c r="G88" s="1100">
        <f t="shared" si="22"/>
        <v>3.6363354324760108E-3</v>
      </c>
      <c r="H88" s="1100">
        <f t="shared" si="22"/>
        <v>0.34527619487519162</v>
      </c>
      <c r="I88" s="1100">
        <f t="shared" si="22"/>
        <v>0.24450935814312616</v>
      </c>
      <c r="J88" s="1100">
        <f t="shared" si="22"/>
        <v>1.3534887356620697E-2</v>
      </c>
      <c r="K88" s="1100">
        <f t="shared" si="22"/>
        <v>1.5837029979080296E-3</v>
      </c>
      <c r="L88" s="1100">
        <f t="shared" si="22"/>
        <v>3.6300854901694102E-3</v>
      </c>
      <c r="M88" s="1100">
        <f t="shared" si="22"/>
        <v>0.36513738496221604</v>
      </c>
      <c r="N88" s="1100">
        <f t="shared" si="22"/>
        <v>0.42282841287326794</v>
      </c>
      <c r="O88" s="1100">
        <f t="shared" si="22"/>
        <v>0</v>
      </c>
      <c r="P88" s="1100">
        <f t="shared" si="22"/>
        <v>0.20400440468847875</v>
      </c>
      <c r="Q88" s="1100">
        <f t="shared" si="22"/>
        <v>0.2199330868401965</v>
      </c>
      <c r="R88" s="1100">
        <f t="shared" si="22"/>
        <v>5.3927154196363958E-2</v>
      </c>
      <c r="S88" s="1100">
        <f t="shared" si="22"/>
        <v>9.8798960468809097E-3</v>
      </c>
      <c r="T88" s="1083"/>
      <c r="U88" s="1083"/>
      <c r="V88" s="1083"/>
      <c r="W88" s="1083"/>
      <c r="X88" s="1083"/>
      <c r="Y88" s="1083"/>
      <c r="Z88" s="1083"/>
      <c r="AA88" s="1083"/>
      <c r="AB88" s="1083"/>
      <c r="AC88" s="1083"/>
      <c r="AD88" s="1083"/>
      <c r="AE88" s="1083"/>
      <c r="AF88" s="1083"/>
      <c r="AG88" s="1083"/>
      <c r="AH88" s="1083"/>
      <c r="AI88" s="1083"/>
      <c r="AJ88" s="1083"/>
      <c r="AK88" s="1083"/>
      <c r="AL88" s="1083"/>
      <c r="AM88" s="1083"/>
      <c r="AN88" s="1083"/>
      <c r="AO88" s="1083"/>
      <c r="AP88" s="1083"/>
      <c r="AQ88" s="1083"/>
      <c r="AR88" s="1083"/>
      <c r="AS88" s="1083"/>
      <c r="AT88" s="1083"/>
      <c r="AU88" s="1083"/>
      <c r="AV88" s="1083"/>
      <c r="AW88" s="1083"/>
      <c r="AX88" s="1083"/>
      <c r="AY88" s="1083"/>
      <c r="AZ88" s="1083"/>
      <c r="BA88" s="1083"/>
      <c r="BB88" s="1083"/>
      <c r="BC88" s="1083"/>
      <c r="BD88" s="1083"/>
      <c r="BE88" s="1083"/>
      <c r="BF88" s="1083"/>
      <c r="BG88" s="1083"/>
      <c r="BH88" s="1083"/>
      <c r="BI88" s="1083"/>
      <c r="BJ88" s="1083"/>
      <c r="BK88" s="1083"/>
      <c r="BL88" s="1083"/>
      <c r="BM88" s="1083"/>
      <c r="BN88" s="1083"/>
      <c r="BO88" s="1083"/>
      <c r="BP88" s="1083"/>
      <c r="BQ88" s="1083"/>
      <c r="BR88" s="1083"/>
      <c r="BS88" s="1083"/>
      <c r="BT88" s="1083"/>
      <c r="BU88" s="1083"/>
    </row>
    <row r="89" spans="1:73" x14ac:dyDescent="0.25">
      <c r="A89" s="1083"/>
      <c r="B89" s="1087" t="str">
        <f>+$B$7</f>
        <v>Utilities Consumption (% of baseline)</v>
      </c>
      <c r="C89" s="1087">
        <f>+ROUND(H7,3)</f>
        <v>0.95</v>
      </c>
      <c r="D89" s="1086" t="str">
        <f t="shared" ref="D89:D91" si="23">+B89&amp;" = "&amp;C89*100&amp;"%"</f>
        <v>Utilities Consumption (% of baseline) = 95%</v>
      </c>
      <c r="E89" s="1108">
        <f t="shared" si="22"/>
        <v>1.8491740829657206</v>
      </c>
      <c r="F89" s="1108">
        <f t="shared" si="22"/>
        <v>0</v>
      </c>
      <c r="G89" s="1108">
        <f t="shared" si="22"/>
        <v>3.6370810062790462E-3</v>
      </c>
      <c r="H89" s="1108">
        <f t="shared" si="22"/>
        <v>0.34534711025346798</v>
      </c>
      <c r="I89" s="1108">
        <f t="shared" si="22"/>
        <v>0.23874163416600355</v>
      </c>
      <c r="J89" s="1108">
        <f t="shared" si="22"/>
        <v>1.320283908623009E-2</v>
      </c>
      <c r="K89" s="1108">
        <f t="shared" si="22"/>
        <v>1.5837029979080296E-3</v>
      </c>
      <c r="L89" s="1108">
        <f t="shared" si="22"/>
        <v>3.6308310639724464E-3</v>
      </c>
      <c r="M89" s="1108">
        <f t="shared" si="22"/>
        <v>0.36517456991515829</v>
      </c>
      <c r="N89" s="1108">
        <f t="shared" si="22"/>
        <v>0.40269372654596947</v>
      </c>
      <c r="O89" s="1108">
        <f t="shared" si="22"/>
        <v>0</v>
      </c>
      <c r="P89" s="1108">
        <f t="shared" si="22"/>
        <v>0.19976377164187348</v>
      </c>
      <c r="Q89" s="1108">
        <f t="shared" si="22"/>
        <v>0.21997825832401219</v>
      </c>
      <c r="R89" s="1108">
        <f t="shared" si="22"/>
        <v>5.281279472440787E-2</v>
      </c>
      <c r="S89" s="1108">
        <f t="shared" si="22"/>
        <v>9.8819252529944342E-3</v>
      </c>
      <c r="T89" s="1083"/>
      <c r="U89" s="1083"/>
      <c r="V89" s="1083"/>
      <c r="W89" s="1083"/>
      <c r="X89" s="1083"/>
      <c r="Y89" s="1083"/>
      <c r="Z89" s="1083"/>
      <c r="AA89" s="1083"/>
      <c r="AB89" s="1083"/>
      <c r="AC89" s="1083"/>
      <c r="AD89" s="1083"/>
      <c r="AE89" s="1083"/>
      <c r="AF89" s="1083"/>
      <c r="AG89" s="1083"/>
      <c r="AH89" s="1083"/>
      <c r="AI89" s="1083"/>
      <c r="AJ89" s="1083"/>
      <c r="AK89" s="1083"/>
      <c r="AL89" s="1083"/>
      <c r="AM89" s="1083"/>
      <c r="AN89" s="1083"/>
      <c r="AO89" s="1083"/>
      <c r="AP89" s="1083"/>
      <c r="AQ89" s="1083"/>
      <c r="AR89" s="1083"/>
      <c r="AS89" s="1083"/>
      <c r="AT89" s="1083"/>
      <c r="AU89" s="1083"/>
      <c r="AV89" s="1083"/>
      <c r="AW89" s="1083"/>
      <c r="AX89" s="1083"/>
      <c r="AY89" s="1083"/>
      <c r="AZ89" s="1083"/>
      <c r="BA89" s="1083"/>
      <c r="BB89" s="1083"/>
      <c r="BC89" s="1083"/>
      <c r="BD89" s="1083"/>
      <c r="BE89" s="1083"/>
      <c r="BF89" s="1083"/>
      <c r="BG89" s="1083"/>
      <c r="BH89" s="1083"/>
      <c r="BI89" s="1083"/>
      <c r="BJ89" s="1083"/>
      <c r="BK89" s="1083"/>
      <c r="BL89" s="1083"/>
      <c r="BM89" s="1083"/>
      <c r="BN89" s="1083"/>
      <c r="BO89" s="1083"/>
      <c r="BP89" s="1083"/>
      <c r="BQ89" s="1083"/>
      <c r="BR89" s="1083"/>
      <c r="BS89" s="1083"/>
      <c r="BT89" s="1083"/>
      <c r="BU89" s="1083"/>
    </row>
    <row r="90" spans="1:73" x14ac:dyDescent="0.25">
      <c r="A90" s="1083"/>
      <c r="B90" s="1087" t="str">
        <f t="shared" ref="B90:B91" si="24">+$B$7</f>
        <v>Utilities Consumption (% of baseline)</v>
      </c>
      <c r="C90" s="1087">
        <f>+ROUND(C7,3)</f>
        <v>1</v>
      </c>
      <c r="D90" s="1086" t="str">
        <f t="shared" si="23"/>
        <v>Utilities Consumption (% of baseline) = 100%</v>
      </c>
      <c r="E90" s="1108">
        <f>+K$51</f>
        <v>1.8491740829657206</v>
      </c>
      <c r="F90" s="1108">
        <f t="shared" ref="F90:S90" si="25">+L$51</f>
        <v>0</v>
      </c>
      <c r="G90" s="1108">
        <f t="shared" si="25"/>
        <v>3.6370810062790462E-3</v>
      </c>
      <c r="H90" s="1108">
        <f t="shared" si="25"/>
        <v>0.34534711025346798</v>
      </c>
      <c r="I90" s="1108">
        <f t="shared" si="25"/>
        <v>0.23874163416600355</v>
      </c>
      <c r="J90" s="1108">
        <f t="shared" si="25"/>
        <v>1.320283908623009E-2</v>
      </c>
      <c r="K90" s="1108">
        <f t="shared" si="25"/>
        <v>1.5837029979080296E-3</v>
      </c>
      <c r="L90" s="1108">
        <f t="shared" si="25"/>
        <v>3.6308310639724464E-3</v>
      </c>
      <c r="M90" s="1108">
        <f t="shared" si="25"/>
        <v>0.36517456991515829</v>
      </c>
      <c r="N90" s="1108">
        <f t="shared" si="25"/>
        <v>0.40269372654596947</v>
      </c>
      <c r="O90" s="1108">
        <f t="shared" si="25"/>
        <v>0</v>
      </c>
      <c r="P90" s="1108">
        <f t="shared" si="25"/>
        <v>0.19976377164187348</v>
      </c>
      <c r="Q90" s="1108">
        <f t="shared" si="25"/>
        <v>0.21997825832401219</v>
      </c>
      <c r="R90" s="1108">
        <f t="shared" si="25"/>
        <v>5.281279472440787E-2</v>
      </c>
      <c r="S90" s="1108">
        <f t="shared" si="25"/>
        <v>9.8819252529944342E-3</v>
      </c>
      <c r="T90" s="1083"/>
      <c r="U90" s="1083"/>
      <c r="V90" s="1083"/>
      <c r="W90" s="1083"/>
      <c r="X90" s="1083"/>
      <c r="Y90" s="1083"/>
      <c r="Z90" s="1083"/>
      <c r="AA90" s="1083"/>
      <c r="AB90" s="1083"/>
      <c r="AC90" s="1083"/>
      <c r="AD90" s="1083"/>
      <c r="AE90" s="1083"/>
      <c r="AF90" s="1083"/>
      <c r="AG90" s="1083"/>
      <c r="AH90" s="1083"/>
      <c r="AI90" s="1083"/>
      <c r="AJ90" s="1083"/>
      <c r="AK90" s="1083"/>
      <c r="AL90" s="1083"/>
      <c r="AM90" s="1083"/>
      <c r="AN90" s="1083"/>
      <c r="AO90" s="1083"/>
      <c r="AP90" s="1083"/>
      <c r="AQ90" s="1083"/>
      <c r="AR90" s="1083"/>
      <c r="AS90" s="1083"/>
      <c r="AT90" s="1083"/>
      <c r="AU90" s="1083"/>
      <c r="AV90" s="1083"/>
      <c r="AW90" s="1083"/>
      <c r="AX90" s="1083"/>
      <c r="AY90" s="1083"/>
      <c r="AZ90" s="1083"/>
      <c r="BA90" s="1083"/>
      <c r="BB90" s="1083"/>
      <c r="BC90" s="1083"/>
      <c r="BD90" s="1083"/>
      <c r="BE90" s="1083"/>
      <c r="BF90" s="1083"/>
      <c r="BG90" s="1083"/>
      <c r="BH90" s="1083"/>
      <c r="BI90" s="1083"/>
      <c r="BJ90" s="1083"/>
      <c r="BK90" s="1083"/>
      <c r="BL90" s="1083"/>
      <c r="BM90" s="1083"/>
      <c r="BN90" s="1083"/>
      <c r="BO90" s="1083"/>
      <c r="BP90" s="1083"/>
      <c r="BQ90" s="1083"/>
      <c r="BR90" s="1083"/>
      <c r="BS90" s="1083"/>
      <c r="BT90" s="1083"/>
      <c r="BU90" s="1083"/>
    </row>
    <row r="91" spans="1:73" x14ac:dyDescent="0.25">
      <c r="A91" s="1083"/>
      <c r="B91" s="1087" t="str">
        <f t="shared" si="24"/>
        <v>Utilities Consumption (% of baseline)</v>
      </c>
      <c r="C91" s="1087">
        <f>+ROUND(I7,3)</f>
        <v>1.05</v>
      </c>
      <c r="D91" s="1086" t="str">
        <f t="shared" si="23"/>
        <v>Utilities Consumption (% of baseline) = 105%</v>
      </c>
      <c r="E91" s="1108">
        <f t="shared" ref="E91:S92" si="26">+K61</f>
        <v>1.8491740829657206</v>
      </c>
      <c r="F91" s="1108">
        <f t="shared" si="26"/>
        <v>0</v>
      </c>
      <c r="G91" s="1108">
        <f t="shared" si="26"/>
        <v>3.6370810062790462E-3</v>
      </c>
      <c r="H91" s="1108">
        <f t="shared" si="26"/>
        <v>0.34534711025346798</v>
      </c>
      <c r="I91" s="1108">
        <f t="shared" si="26"/>
        <v>0.23874163416600355</v>
      </c>
      <c r="J91" s="1108">
        <f t="shared" si="26"/>
        <v>1.320283908623009E-2</v>
      </c>
      <c r="K91" s="1108">
        <f t="shared" si="26"/>
        <v>1.5837029979080296E-3</v>
      </c>
      <c r="L91" s="1108">
        <f t="shared" si="26"/>
        <v>3.6308310639724464E-3</v>
      </c>
      <c r="M91" s="1108">
        <f t="shared" si="26"/>
        <v>0.36517456991515829</v>
      </c>
      <c r="N91" s="1108">
        <f t="shared" si="26"/>
        <v>0.40269372654596947</v>
      </c>
      <c r="O91" s="1108">
        <f t="shared" si="26"/>
        <v>0</v>
      </c>
      <c r="P91" s="1108">
        <f t="shared" si="26"/>
        <v>0.19976377164187348</v>
      </c>
      <c r="Q91" s="1108">
        <f t="shared" si="26"/>
        <v>0.21997825832401219</v>
      </c>
      <c r="R91" s="1108">
        <f t="shared" si="26"/>
        <v>5.281279472440787E-2</v>
      </c>
      <c r="S91" s="1108">
        <f t="shared" si="26"/>
        <v>9.8819252529944342E-3</v>
      </c>
      <c r="T91" s="1083"/>
      <c r="U91" s="1083"/>
      <c r="V91" s="1083"/>
      <c r="W91" s="1083"/>
      <c r="X91" s="1083"/>
      <c r="Y91" s="1083"/>
      <c r="Z91" s="1083"/>
      <c r="AA91" s="1083"/>
      <c r="AB91" s="1083"/>
      <c r="AC91" s="1083"/>
      <c r="AD91" s="1083"/>
      <c r="AE91" s="1083"/>
      <c r="AF91" s="1083"/>
      <c r="AG91" s="1083"/>
      <c r="AH91" s="1083"/>
      <c r="AI91" s="1083"/>
      <c r="AJ91" s="1083"/>
      <c r="AK91" s="1083"/>
      <c r="AL91" s="1083"/>
      <c r="AM91" s="1083"/>
      <c r="AN91" s="1083"/>
      <c r="AO91" s="1083"/>
      <c r="AP91" s="1083"/>
      <c r="AQ91" s="1083"/>
      <c r="AR91" s="1083"/>
      <c r="AS91" s="1083"/>
      <c r="AT91" s="1083"/>
      <c r="AU91" s="1083"/>
      <c r="AV91" s="1083"/>
      <c r="AW91" s="1083"/>
      <c r="AX91" s="1083"/>
      <c r="AY91" s="1083"/>
      <c r="AZ91" s="1083"/>
      <c r="BA91" s="1083"/>
      <c r="BB91" s="1083"/>
      <c r="BC91" s="1083"/>
      <c r="BD91" s="1083"/>
      <c r="BE91" s="1083"/>
      <c r="BF91" s="1083"/>
      <c r="BG91" s="1083"/>
      <c r="BH91" s="1083"/>
      <c r="BI91" s="1083"/>
      <c r="BJ91" s="1083"/>
      <c r="BK91" s="1083"/>
      <c r="BL91" s="1083"/>
      <c r="BM91" s="1083"/>
      <c r="BN91" s="1083"/>
      <c r="BO91" s="1083"/>
      <c r="BP91" s="1083"/>
      <c r="BQ91" s="1083"/>
      <c r="BR91" s="1083"/>
      <c r="BS91" s="1083"/>
      <c r="BT91" s="1083"/>
      <c r="BU91" s="1083"/>
    </row>
    <row r="92" spans="1:73" x14ac:dyDescent="0.25">
      <c r="A92" s="1083"/>
      <c r="B92" s="1087" t="str">
        <f>+$B$8</f>
        <v>Total Capital Investment</v>
      </c>
      <c r="C92" s="1105">
        <f ca="1">+ROUND(H8,0)</f>
        <v>1678913457</v>
      </c>
      <c r="D92" s="1087" t="str">
        <f t="shared" ref="D92:D97" ca="1" si="27">+B92&amp;" = "&amp;TEXT(C92/1000,"$0,000K")</f>
        <v>Total Capital Investment = $1,678,913K</v>
      </c>
      <c r="E92" s="1100">
        <f t="shared" si="26"/>
        <v>1.8108135720598462</v>
      </c>
      <c r="F92" s="1100">
        <f t="shared" si="26"/>
        <v>0</v>
      </c>
      <c r="G92" s="1100">
        <f t="shared" si="26"/>
        <v>3.4552269559650932E-3</v>
      </c>
      <c r="H92" s="1100">
        <f t="shared" si="26"/>
        <v>0.32805003152485851</v>
      </c>
      <c r="I92" s="1100">
        <f t="shared" si="26"/>
        <v>0.23874163416600355</v>
      </c>
      <c r="J92" s="1100">
        <f t="shared" si="26"/>
        <v>1.3079073382472951E-2</v>
      </c>
      <c r="K92" s="1100">
        <f t="shared" si="26"/>
        <v>1.5837029979080296E-3</v>
      </c>
      <c r="L92" s="1100">
        <f t="shared" si="26"/>
        <v>3.4489770136584934E-3</v>
      </c>
      <c r="M92" s="1100">
        <f t="shared" si="26"/>
        <v>0.35610473098605999</v>
      </c>
      <c r="N92" s="1100">
        <f t="shared" si="26"/>
        <v>0.40269372654596947</v>
      </c>
      <c r="O92" s="1100">
        <f t="shared" si="26"/>
        <v>0</v>
      </c>
      <c r="P92" s="1100">
        <f t="shared" si="26"/>
        <v>0.19976377164187348</v>
      </c>
      <c r="Q92" s="1100">
        <f t="shared" si="26"/>
        <v>0.2089604123949694</v>
      </c>
      <c r="R92" s="1100">
        <f t="shared" si="26"/>
        <v>5.2455759885823745E-2</v>
      </c>
      <c r="S92" s="1100">
        <f t="shared" si="26"/>
        <v>9.3869784762114303E-3</v>
      </c>
      <c r="T92" s="1083"/>
      <c r="U92" s="1083"/>
      <c r="V92" s="1083"/>
      <c r="W92" s="1083"/>
      <c r="X92" s="1083"/>
      <c r="Y92" s="1083"/>
      <c r="Z92" s="1083"/>
      <c r="AA92" s="1083"/>
      <c r="AB92" s="1083"/>
      <c r="AC92" s="1083"/>
      <c r="AD92" s="1083"/>
      <c r="AE92" s="1083"/>
      <c r="AF92" s="1083"/>
      <c r="AG92" s="1083"/>
      <c r="AH92" s="1083"/>
      <c r="AI92" s="1083"/>
      <c r="AJ92" s="1083"/>
      <c r="AK92" s="1083"/>
      <c r="AL92" s="1083"/>
      <c r="AM92" s="1083"/>
      <c r="AN92" s="1083"/>
      <c r="AO92" s="1083"/>
      <c r="AP92" s="1083"/>
      <c r="AQ92" s="1083"/>
      <c r="AR92" s="1083"/>
      <c r="AS92" s="1083"/>
      <c r="AT92" s="1083"/>
      <c r="AU92" s="1083"/>
      <c r="AV92" s="1083"/>
      <c r="AW92" s="1083"/>
      <c r="AX92" s="1083"/>
      <c r="AY92" s="1083"/>
      <c r="AZ92" s="1083"/>
      <c r="BA92" s="1083"/>
      <c r="BB92" s="1083"/>
      <c r="BC92" s="1083"/>
      <c r="BD92" s="1083"/>
      <c r="BE92" s="1083"/>
      <c r="BF92" s="1083"/>
      <c r="BG92" s="1083"/>
      <c r="BH92" s="1083"/>
      <c r="BI92" s="1083"/>
      <c r="BJ92" s="1083"/>
      <c r="BK92" s="1083"/>
      <c r="BL92" s="1083"/>
      <c r="BM92" s="1083"/>
      <c r="BN92" s="1083"/>
      <c r="BO92" s="1083"/>
      <c r="BP92" s="1083"/>
      <c r="BQ92" s="1083"/>
      <c r="BR92" s="1083"/>
      <c r="BS92" s="1083"/>
      <c r="BT92" s="1083"/>
      <c r="BU92" s="1083"/>
    </row>
    <row r="93" spans="1:73" x14ac:dyDescent="0.25">
      <c r="A93" s="1083"/>
      <c r="B93" s="1087" t="str">
        <f t="shared" ref="B93:B94" si="28">+$B$8</f>
        <v>Total Capital Investment</v>
      </c>
      <c r="C93" s="1105">
        <f ca="1">+ROUND(C8,0)</f>
        <v>1767277323</v>
      </c>
      <c r="D93" s="1087" t="str">
        <f t="shared" ca="1" si="27"/>
        <v>Total Capital Investment = $1,767,277K</v>
      </c>
      <c r="E93" s="1100">
        <f t="shared" ref="E93:S93" si="29">+K$51</f>
        <v>1.8491740829657206</v>
      </c>
      <c r="F93" s="1100">
        <f t="shared" si="29"/>
        <v>0</v>
      </c>
      <c r="G93" s="1100">
        <f t="shared" si="29"/>
        <v>3.6370810062790462E-3</v>
      </c>
      <c r="H93" s="1100">
        <f t="shared" si="29"/>
        <v>0.34534711025346798</v>
      </c>
      <c r="I93" s="1100">
        <f t="shared" si="29"/>
        <v>0.23874163416600355</v>
      </c>
      <c r="J93" s="1100">
        <f t="shared" si="29"/>
        <v>1.320283908623009E-2</v>
      </c>
      <c r="K93" s="1100">
        <f t="shared" si="29"/>
        <v>1.5837029979080296E-3</v>
      </c>
      <c r="L93" s="1100">
        <f t="shared" si="29"/>
        <v>3.6308310639724464E-3</v>
      </c>
      <c r="M93" s="1100">
        <f t="shared" si="29"/>
        <v>0.36517456991515829</v>
      </c>
      <c r="N93" s="1100">
        <f t="shared" si="29"/>
        <v>0.40269372654596947</v>
      </c>
      <c r="O93" s="1100">
        <f t="shared" si="29"/>
        <v>0</v>
      </c>
      <c r="P93" s="1100">
        <f t="shared" si="29"/>
        <v>0.19976377164187348</v>
      </c>
      <c r="Q93" s="1100">
        <f t="shared" si="29"/>
        <v>0.21997825832401219</v>
      </c>
      <c r="R93" s="1100">
        <f t="shared" si="29"/>
        <v>5.281279472440787E-2</v>
      </c>
      <c r="S93" s="1100">
        <f t="shared" si="29"/>
        <v>9.8819252529944342E-3</v>
      </c>
      <c r="T93" s="1083"/>
      <c r="U93" s="1083"/>
      <c r="V93" s="1083"/>
      <c r="W93" s="1083"/>
      <c r="X93" s="1083"/>
      <c r="Y93" s="1083"/>
      <c r="Z93" s="1083"/>
      <c r="AA93" s="1083"/>
      <c r="AB93" s="1083"/>
      <c r="AC93" s="1083"/>
      <c r="AD93" s="1083"/>
      <c r="AE93" s="1083"/>
      <c r="AF93" s="1083"/>
      <c r="AG93" s="1083"/>
      <c r="AH93" s="1083"/>
      <c r="AI93" s="1083"/>
      <c r="AJ93" s="1083"/>
      <c r="AK93" s="1083"/>
      <c r="AL93" s="1083"/>
      <c r="AM93" s="1083"/>
      <c r="AN93" s="1083"/>
      <c r="AO93" s="1083"/>
      <c r="AP93" s="1083"/>
      <c r="AQ93" s="1083"/>
      <c r="AR93" s="1083"/>
      <c r="AS93" s="1083"/>
      <c r="AT93" s="1083"/>
      <c r="AU93" s="1083"/>
      <c r="AV93" s="1083"/>
      <c r="AW93" s="1083"/>
      <c r="AX93" s="1083"/>
      <c r="AY93" s="1083"/>
      <c r="AZ93" s="1083"/>
      <c r="BA93" s="1083"/>
      <c r="BB93" s="1083"/>
      <c r="BC93" s="1083"/>
      <c r="BD93" s="1083"/>
      <c r="BE93" s="1083"/>
      <c r="BF93" s="1083"/>
      <c r="BG93" s="1083"/>
      <c r="BH93" s="1083"/>
      <c r="BI93" s="1083"/>
      <c r="BJ93" s="1083"/>
      <c r="BK93" s="1083"/>
      <c r="BL93" s="1083"/>
      <c r="BM93" s="1083"/>
      <c r="BN93" s="1083"/>
      <c r="BO93" s="1083"/>
      <c r="BP93" s="1083"/>
      <c r="BQ93" s="1083"/>
      <c r="BR93" s="1083"/>
      <c r="BS93" s="1083"/>
      <c r="BT93" s="1083"/>
      <c r="BU93" s="1083"/>
    </row>
    <row r="94" spans="1:73" x14ac:dyDescent="0.25">
      <c r="A94" s="1083"/>
      <c r="B94" s="1087" t="str">
        <f t="shared" si="28"/>
        <v>Total Capital Investment</v>
      </c>
      <c r="C94" s="1105">
        <f ca="1">+ROUND(I8,0)</f>
        <v>1855641189</v>
      </c>
      <c r="D94" s="1087" t="str">
        <f t="shared" ca="1" si="27"/>
        <v>Total Capital Investment = $1,855,641K</v>
      </c>
      <c r="E94" s="1100">
        <f t="shared" ref="E94:S95" si="30">+K63</f>
        <v>1.8875345938715946</v>
      </c>
      <c r="F94" s="1100">
        <f t="shared" si="30"/>
        <v>0</v>
      </c>
      <c r="G94" s="1100">
        <f t="shared" si="30"/>
        <v>3.8189350565929979E-3</v>
      </c>
      <c r="H94" s="1100">
        <f t="shared" si="30"/>
        <v>0.36264418898207745</v>
      </c>
      <c r="I94" s="1100">
        <f t="shared" si="30"/>
        <v>0.23874163416600355</v>
      </c>
      <c r="J94" s="1100">
        <f t="shared" si="30"/>
        <v>1.3326604789987238E-2</v>
      </c>
      <c r="K94" s="1100">
        <f t="shared" si="30"/>
        <v>1.5837029979080296E-3</v>
      </c>
      <c r="L94" s="1100">
        <f t="shared" si="30"/>
        <v>3.8126851142863982E-3</v>
      </c>
      <c r="M94" s="1100">
        <f t="shared" si="30"/>
        <v>0.37424440884425642</v>
      </c>
      <c r="N94" s="1100">
        <f t="shared" si="30"/>
        <v>0.40269372654596947</v>
      </c>
      <c r="O94" s="1100">
        <f t="shared" si="30"/>
        <v>0</v>
      </c>
      <c r="P94" s="1100">
        <f t="shared" si="30"/>
        <v>0.19976377164187348</v>
      </c>
      <c r="Q94" s="1100">
        <f t="shared" si="30"/>
        <v>0.23099610425305483</v>
      </c>
      <c r="R94" s="1100">
        <f t="shared" si="30"/>
        <v>5.3169829562991718E-2</v>
      </c>
      <c r="S94" s="1100">
        <f t="shared" si="30"/>
        <v>1.0376872029777436E-2</v>
      </c>
      <c r="T94" s="1083"/>
      <c r="U94" s="1083"/>
      <c r="V94" s="1083"/>
      <c r="W94" s="1083"/>
      <c r="X94" s="1083"/>
      <c r="Y94" s="1083"/>
      <c r="Z94" s="1083"/>
      <c r="AA94" s="1083"/>
      <c r="AB94" s="1083"/>
      <c r="AC94" s="1083"/>
      <c r="AD94" s="1083"/>
      <c r="AE94" s="1083"/>
      <c r="AF94" s="1083"/>
      <c r="AG94" s="1083"/>
      <c r="AH94" s="1083"/>
      <c r="AI94" s="1083"/>
      <c r="AJ94" s="1083"/>
      <c r="AK94" s="1083"/>
      <c r="AL94" s="1083"/>
      <c r="AM94" s="1083"/>
      <c r="AN94" s="1083"/>
      <c r="AO94" s="1083"/>
      <c r="AP94" s="1083"/>
      <c r="AQ94" s="1083"/>
      <c r="AR94" s="1083"/>
      <c r="AS94" s="1083"/>
      <c r="AT94" s="1083"/>
      <c r="AU94" s="1083"/>
      <c r="AV94" s="1083"/>
      <c r="AW94" s="1083"/>
      <c r="AX94" s="1083"/>
      <c r="AY94" s="1083"/>
      <c r="AZ94" s="1083"/>
      <c r="BA94" s="1083"/>
      <c r="BB94" s="1083"/>
      <c r="BC94" s="1083"/>
      <c r="BD94" s="1083"/>
      <c r="BE94" s="1083"/>
      <c r="BF94" s="1083"/>
      <c r="BG94" s="1083"/>
      <c r="BH94" s="1083"/>
      <c r="BI94" s="1083"/>
      <c r="BJ94" s="1083"/>
      <c r="BK94" s="1083"/>
      <c r="BL94" s="1083"/>
      <c r="BM94" s="1083"/>
      <c r="BN94" s="1083"/>
      <c r="BO94" s="1083"/>
      <c r="BP94" s="1083"/>
      <c r="BQ94" s="1083"/>
      <c r="BR94" s="1083"/>
      <c r="BS94" s="1083"/>
      <c r="BT94" s="1083"/>
      <c r="BU94" s="1083"/>
    </row>
    <row r="95" spans="1:73" x14ac:dyDescent="0.25">
      <c r="A95" s="1083"/>
      <c r="B95" s="1087" t="str">
        <f>+$B$9</f>
        <v>Total Fixed Operating Cost</v>
      </c>
      <c r="C95" s="1105">
        <f ca="1">+ROUND(H9,0)</f>
        <v>87085557</v>
      </c>
      <c r="D95" s="1087" t="str">
        <f t="shared" ca="1" si="27"/>
        <v>Total Fixed Operating Cost = $87,086K</v>
      </c>
      <c r="E95" s="1100">
        <f t="shared" si="30"/>
        <v>1.8305798360815821</v>
      </c>
      <c r="F95" s="1100">
        <f t="shared" si="30"/>
        <v>0</v>
      </c>
      <c r="G95" s="1100">
        <f t="shared" si="30"/>
        <v>3.6370810062790462E-3</v>
      </c>
      <c r="H95" s="1100">
        <f t="shared" si="30"/>
        <v>0.34534711025346798</v>
      </c>
      <c r="I95" s="1100">
        <f t="shared" si="30"/>
        <v>0.23874163416600355</v>
      </c>
      <c r="J95" s="1100">
        <f t="shared" si="30"/>
        <v>1.2953683131019222E-2</v>
      </c>
      <c r="K95" s="1100">
        <f t="shared" si="30"/>
        <v>1.5837029979080296E-3</v>
      </c>
      <c r="L95" s="1100">
        <f t="shared" si="30"/>
        <v>3.6308310639724464E-3</v>
      </c>
      <c r="M95" s="1100">
        <f t="shared" si="30"/>
        <v>0.34691584141940035</v>
      </c>
      <c r="N95" s="1100">
        <f t="shared" si="30"/>
        <v>0.40269372654596947</v>
      </c>
      <c r="O95" s="1100">
        <f t="shared" si="30"/>
        <v>0</v>
      </c>
      <c r="P95" s="1100">
        <f t="shared" si="30"/>
        <v>0.19976377164187348</v>
      </c>
      <c r="Q95" s="1100">
        <f t="shared" si="30"/>
        <v>0.21997825832401219</v>
      </c>
      <c r="R95" s="1100">
        <f t="shared" si="30"/>
        <v>5.2726432291238898E-2</v>
      </c>
      <c r="S95" s="1100">
        <f t="shared" si="30"/>
        <v>9.8819252529944342E-3</v>
      </c>
      <c r="T95" s="1083"/>
      <c r="U95" s="1083"/>
      <c r="V95" s="1083"/>
      <c r="W95" s="1083"/>
      <c r="X95" s="1083"/>
      <c r="Y95" s="1083"/>
      <c r="Z95" s="1083"/>
      <c r="AA95" s="1083"/>
      <c r="AB95" s="1083"/>
      <c r="AC95" s="1083"/>
      <c r="AD95" s="1083"/>
      <c r="AE95" s="1083"/>
      <c r="AF95" s="1083"/>
      <c r="AG95" s="1083"/>
      <c r="AH95" s="1083"/>
      <c r="AI95" s="1083"/>
      <c r="AJ95" s="1083"/>
      <c r="AK95" s="1083"/>
      <c r="AL95" s="1083"/>
      <c r="AM95" s="1083"/>
      <c r="AN95" s="1083"/>
      <c r="AO95" s="1083"/>
      <c r="AP95" s="1083"/>
      <c r="AQ95" s="1083"/>
      <c r="AR95" s="1083"/>
      <c r="AS95" s="1083"/>
      <c r="AT95" s="1083"/>
      <c r="AU95" s="1083"/>
      <c r="AV95" s="1083"/>
      <c r="AW95" s="1083"/>
      <c r="AX95" s="1083"/>
      <c r="AY95" s="1083"/>
      <c r="AZ95" s="1083"/>
      <c r="BA95" s="1083"/>
      <c r="BB95" s="1083"/>
      <c r="BC95" s="1083"/>
      <c r="BD95" s="1083"/>
      <c r="BE95" s="1083"/>
      <c r="BF95" s="1083"/>
      <c r="BG95" s="1083"/>
      <c r="BH95" s="1083"/>
      <c r="BI95" s="1083"/>
      <c r="BJ95" s="1083"/>
      <c r="BK95" s="1083"/>
      <c r="BL95" s="1083"/>
      <c r="BM95" s="1083"/>
      <c r="BN95" s="1083"/>
      <c r="BO95" s="1083"/>
      <c r="BP95" s="1083"/>
      <c r="BQ95" s="1083"/>
      <c r="BR95" s="1083"/>
      <c r="BS95" s="1083"/>
      <c r="BT95" s="1083"/>
      <c r="BU95" s="1083"/>
    </row>
    <row r="96" spans="1:73" x14ac:dyDescent="0.25">
      <c r="A96" s="1083"/>
      <c r="B96" s="1087" t="str">
        <f t="shared" ref="B96:B97" si="31">+$B$9</f>
        <v>Total Fixed Operating Cost</v>
      </c>
      <c r="C96" s="1105">
        <f ca="1">+ROUND(C9,0)</f>
        <v>91669007</v>
      </c>
      <c r="D96" s="1087" t="str">
        <f t="shared" ca="1" si="27"/>
        <v>Total Fixed Operating Cost = $91,669K</v>
      </c>
      <c r="E96" s="1100">
        <f t="shared" ref="E96:S96" si="32">+K$51</f>
        <v>1.8491740829657206</v>
      </c>
      <c r="F96" s="1100">
        <f t="shared" si="32"/>
        <v>0</v>
      </c>
      <c r="G96" s="1100">
        <f t="shared" si="32"/>
        <v>3.6370810062790462E-3</v>
      </c>
      <c r="H96" s="1100">
        <f t="shared" si="32"/>
        <v>0.34534711025346798</v>
      </c>
      <c r="I96" s="1100">
        <f t="shared" si="32"/>
        <v>0.23874163416600355</v>
      </c>
      <c r="J96" s="1100">
        <f t="shared" si="32"/>
        <v>1.320283908623009E-2</v>
      </c>
      <c r="K96" s="1100">
        <f t="shared" si="32"/>
        <v>1.5837029979080296E-3</v>
      </c>
      <c r="L96" s="1100">
        <f t="shared" si="32"/>
        <v>3.6308310639724464E-3</v>
      </c>
      <c r="M96" s="1100">
        <f t="shared" si="32"/>
        <v>0.36517456991515829</v>
      </c>
      <c r="N96" s="1100">
        <f t="shared" si="32"/>
        <v>0.40269372654596947</v>
      </c>
      <c r="O96" s="1100">
        <f t="shared" si="32"/>
        <v>0</v>
      </c>
      <c r="P96" s="1100">
        <f t="shared" si="32"/>
        <v>0.19976377164187348</v>
      </c>
      <c r="Q96" s="1100">
        <f t="shared" si="32"/>
        <v>0.21997825832401219</v>
      </c>
      <c r="R96" s="1100">
        <f t="shared" si="32"/>
        <v>5.281279472440787E-2</v>
      </c>
      <c r="S96" s="1100">
        <f t="shared" si="32"/>
        <v>9.8819252529944342E-3</v>
      </c>
      <c r="T96" s="1083"/>
      <c r="U96" s="1083"/>
      <c r="V96" s="1083"/>
      <c r="W96" s="1083"/>
      <c r="X96" s="1083"/>
      <c r="Y96" s="1083"/>
      <c r="Z96" s="1083"/>
      <c r="AA96" s="1083"/>
      <c r="AB96" s="1083"/>
      <c r="AC96" s="1083"/>
      <c r="AD96" s="1083"/>
      <c r="AE96" s="1083"/>
      <c r="AF96" s="1083"/>
      <c r="AG96" s="1083"/>
      <c r="AH96" s="1083"/>
      <c r="AI96" s="1083"/>
      <c r="AJ96" s="1083"/>
      <c r="AK96" s="1083"/>
      <c r="AL96" s="1083"/>
      <c r="AM96" s="1083"/>
      <c r="AN96" s="1083"/>
      <c r="AO96" s="1083"/>
      <c r="AP96" s="1083"/>
      <c r="AQ96" s="1083"/>
      <c r="AR96" s="1083"/>
      <c r="AS96" s="1083"/>
      <c r="AT96" s="1083"/>
      <c r="AU96" s="1083"/>
      <c r="AV96" s="1083"/>
      <c r="AW96" s="1083"/>
      <c r="AX96" s="1083"/>
      <c r="AY96" s="1083"/>
      <c r="AZ96" s="1083"/>
      <c r="BA96" s="1083"/>
      <c r="BB96" s="1083"/>
      <c r="BC96" s="1083"/>
      <c r="BD96" s="1083"/>
      <c r="BE96" s="1083"/>
      <c r="BF96" s="1083"/>
      <c r="BG96" s="1083"/>
      <c r="BH96" s="1083"/>
      <c r="BI96" s="1083"/>
      <c r="BJ96" s="1083"/>
      <c r="BK96" s="1083"/>
      <c r="BL96" s="1083"/>
      <c r="BM96" s="1083"/>
      <c r="BN96" s="1083"/>
      <c r="BO96" s="1083"/>
      <c r="BP96" s="1083"/>
      <c r="BQ96" s="1083"/>
      <c r="BR96" s="1083"/>
      <c r="BS96" s="1083"/>
      <c r="BT96" s="1083"/>
      <c r="BU96" s="1083"/>
    </row>
    <row r="97" spans="1:73" x14ac:dyDescent="0.25">
      <c r="A97" s="1083"/>
      <c r="B97" s="1087" t="str">
        <f t="shared" si="31"/>
        <v>Total Fixed Operating Cost</v>
      </c>
      <c r="C97" s="1105">
        <f ca="1">+ROUND(I9,0)</f>
        <v>96252458</v>
      </c>
      <c r="D97" s="1087" t="str">
        <f t="shared" ca="1" si="27"/>
        <v>Total Fixed Operating Cost = $96,252K</v>
      </c>
      <c r="E97" s="1100">
        <f t="shared" ref="E97:S97" si="33">+K65</f>
        <v>1.8677683298498582</v>
      </c>
      <c r="F97" s="1100">
        <f t="shared" si="33"/>
        <v>0</v>
      </c>
      <c r="G97" s="1100">
        <f t="shared" si="33"/>
        <v>3.6370810062790462E-3</v>
      </c>
      <c r="H97" s="1100">
        <f t="shared" si="33"/>
        <v>0.34534711025346798</v>
      </c>
      <c r="I97" s="1100">
        <f t="shared" si="33"/>
        <v>0.23874163416600355</v>
      </c>
      <c r="J97" s="1100">
        <f t="shared" si="33"/>
        <v>1.3451995041440954E-2</v>
      </c>
      <c r="K97" s="1100">
        <f t="shared" si="33"/>
        <v>1.5837029979080296E-3</v>
      </c>
      <c r="L97" s="1100">
        <f t="shared" si="33"/>
        <v>3.6308310639724464E-3</v>
      </c>
      <c r="M97" s="1100">
        <f t="shared" si="33"/>
        <v>0.38343329841091622</v>
      </c>
      <c r="N97" s="1100">
        <f t="shared" si="33"/>
        <v>0.40269372654596947</v>
      </c>
      <c r="O97" s="1100">
        <f t="shared" si="33"/>
        <v>0</v>
      </c>
      <c r="P97" s="1100">
        <f t="shared" si="33"/>
        <v>0.19976377164187348</v>
      </c>
      <c r="Q97" s="1100">
        <f t="shared" si="33"/>
        <v>0.21997825832401219</v>
      </c>
      <c r="R97" s="1100">
        <f t="shared" si="33"/>
        <v>5.2899157157576905E-2</v>
      </c>
      <c r="S97" s="1100">
        <f t="shared" si="33"/>
        <v>9.8819252529944342E-3</v>
      </c>
      <c r="T97" s="1083"/>
      <c r="U97" s="1083"/>
      <c r="V97" s="1083"/>
      <c r="W97" s="1083"/>
      <c r="X97" s="1083"/>
      <c r="Y97" s="1083"/>
      <c r="Z97" s="1083"/>
      <c r="AA97" s="1083"/>
      <c r="AB97" s="1083"/>
      <c r="AC97" s="1083"/>
      <c r="AD97" s="1083"/>
      <c r="AE97" s="1083"/>
      <c r="AF97" s="1083"/>
      <c r="AG97" s="1083"/>
      <c r="AH97" s="1083"/>
      <c r="AI97" s="1083"/>
      <c r="AJ97" s="1083"/>
      <c r="AK97" s="1083"/>
      <c r="AL97" s="1083"/>
      <c r="AM97" s="1083"/>
      <c r="AN97" s="1083"/>
      <c r="AO97" s="1083"/>
      <c r="AP97" s="1083"/>
      <c r="AQ97" s="1083"/>
      <c r="AR97" s="1083"/>
      <c r="AS97" s="1083"/>
      <c r="AT97" s="1083"/>
      <c r="AU97" s="1083"/>
      <c r="AV97" s="1083"/>
      <c r="AW97" s="1083"/>
      <c r="AX97" s="1083"/>
      <c r="AY97" s="1083"/>
      <c r="AZ97" s="1083"/>
      <c r="BA97" s="1083"/>
      <c r="BB97" s="1083"/>
      <c r="BC97" s="1083"/>
      <c r="BD97" s="1083"/>
      <c r="BE97" s="1083"/>
      <c r="BF97" s="1083"/>
      <c r="BG97" s="1083"/>
      <c r="BH97" s="1083"/>
      <c r="BI97" s="1083"/>
      <c r="BJ97" s="1083"/>
      <c r="BK97" s="1083"/>
      <c r="BL97" s="1083"/>
      <c r="BM97" s="1083"/>
      <c r="BN97" s="1083"/>
      <c r="BO97" s="1083"/>
      <c r="BP97" s="1083"/>
      <c r="BQ97" s="1083"/>
      <c r="BR97" s="1083"/>
      <c r="BS97" s="1083"/>
      <c r="BT97" s="1083"/>
      <c r="BU97" s="1083"/>
    </row>
    <row r="98" spans="1:73" x14ac:dyDescent="0.25">
      <c r="A98" s="1083"/>
      <c r="B98" s="1083"/>
      <c r="C98" s="1083"/>
      <c r="D98" s="1083"/>
      <c r="E98" s="1083"/>
      <c r="F98" s="1083"/>
      <c r="G98" s="1083"/>
      <c r="H98" s="1083"/>
      <c r="I98" s="1083"/>
      <c r="J98" s="1083"/>
      <c r="K98" s="1083"/>
      <c r="L98" s="1083"/>
      <c r="M98" s="1083"/>
      <c r="N98" s="1083"/>
      <c r="O98" s="1083"/>
      <c r="P98" s="1083"/>
      <c r="Q98" s="1083"/>
      <c r="R98" s="1083"/>
      <c r="S98" s="1083"/>
      <c r="T98" s="1083"/>
      <c r="U98" s="1083"/>
      <c r="V98" s="1083"/>
      <c r="W98" s="1083"/>
      <c r="X98" s="1083"/>
      <c r="Y98" s="1083"/>
      <c r="Z98" s="1083"/>
      <c r="AA98" s="1083"/>
      <c r="AB98" s="1083"/>
      <c r="AC98" s="1083"/>
      <c r="AD98" s="1083"/>
      <c r="AE98" s="1083"/>
      <c r="AF98" s="1083"/>
      <c r="AG98" s="1083"/>
      <c r="AH98" s="1083"/>
      <c r="AI98" s="1083"/>
      <c r="AJ98" s="1083"/>
      <c r="AK98" s="1083"/>
      <c r="AL98" s="1083"/>
      <c r="AM98" s="1083"/>
      <c r="AN98" s="1083"/>
      <c r="AO98" s="1083"/>
      <c r="AP98" s="1083"/>
      <c r="AQ98" s="1083"/>
      <c r="AR98" s="1083"/>
      <c r="AS98" s="1083"/>
      <c r="AT98" s="1083"/>
      <c r="AU98" s="1083"/>
      <c r="AV98" s="1083"/>
      <c r="AW98" s="1083"/>
      <c r="AX98" s="1083"/>
      <c r="AY98" s="1083"/>
      <c r="AZ98" s="1083"/>
      <c r="BA98" s="1083"/>
      <c r="BB98" s="1083"/>
      <c r="BC98" s="1083"/>
      <c r="BD98" s="1083"/>
      <c r="BE98" s="1083"/>
      <c r="BF98" s="1083"/>
      <c r="BG98" s="1083"/>
      <c r="BH98" s="1083"/>
      <c r="BI98" s="1083"/>
      <c r="BJ98" s="1083"/>
      <c r="BK98" s="1083"/>
      <c r="BL98" s="1083"/>
      <c r="BM98" s="1083"/>
      <c r="BN98" s="1083"/>
      <c r="BO98" s="1083"/>
      <c r="BP98" s="1083"/>
      <c r="BQ98" s="1083"/>
      <c r="BR98" s="1083"/>
      <c r="BS98" s="1083"/>
      <c r="BT98" s="1083"/>
      <c r="BU98" s="1083"/>
    </row>
    <row r="99" spans="1:73" x14ac:dyDescent="0.25">
      <c r="A99" s="1083"/>
      <c r="B99" s="1083"/>
      <c r="C99" s="1083"/>
      <c r="D99" s="1083"/>
      <c r="E99" s="1083"/>
      <c r="F99" s="1083"/>
      <c r="G99" s="1083"/>
      <c r="H99" s="1083"/>
      <c r="I99" s="1083"/>
      <c r="J99" s="1083"/>
      <c r="K99" s="1083"/>
      <c r="L99" s="1083"/>
      <c r="M99" s="1083"/>
      <c r="N99" s="1083"/>
      <c r="O99" s="1083"/>
      <c r="P99" s="1083"/>
      <c r="Q99" s="1083"/>
      <c r="R99" s="1083"/>
      <c r="S99" s="1083"/>
      <c r="T99" s="1083"/>
      <c r="U99" s="1083"/>
      <c r="V99" s="1083"/>
      <c r="W99" s="1083"/>
      <c r="X99" s="1083"/>
      <c r="Y99" s="1083"/>
      <c r="Z99" s="1083"/>
      <c r="AA99" s="1083"/>
      <c r="AB99" s="1083"/>
      <c r="AC99" s="1083"/>
      <c r="AD99" s="1083"/>
      <c r="AE99" s="1083"/>
      <c r="AF99" s="1083"/>
      <c r="AG99" s="1083"/>
      <c r="AH99" s="1083"/>
      <c r="AI99" s="1083"/>
      <c r="AJ99" s="1083"/>
      <c r="AK99" s="1083"/>
      <c r="AL99" s="1083"/>
      <c r="AM99" s="1083"/>
      <c r="AN99" s="1083"/>
      <c r="AO99" s="1083"/>
      <c r="AP99" s="1083"/>
      <c r="AQ99" s="1083"/>
      <c r="AR99" s="1083"/>
      <c r="AS99" s="1083"/>
      <c r="AT99" s="1083"/>
      <c r="AU99" s="1083"/>
      <c r="AV99" s="1083"/>
      <c r="AW99" s="1083"/>
      <c r="AX99" s="1083"/>
      <c r="AY99" s="1083"/>
      <c r="AZ99" s="1083"/>
      <c r="BA99" s="1083"/>
      <c r="BB99" s="1083"/>
      <c r="BC99" s="1083"/>
      <c r="BD99" s="1083"/>
      <c r="BE99" s="1083"/>
      <c r="BF99" s="1083"/>
      <c r="BG99" s="1083"/>
      <c r="BH99" s="1083"/>
      <c r="BI99" s="1083"/>
      <c r="BJ99" s="1083"/>
      <c r="BK99" s="1083"/>
      <c r="BL99" s="1083"/>
      <c r="BM99" s="1083"/>
      <c r="BN99" s="1083"/>
      <c r="BO99" s="1083"/>
      <c r="BP99" s="1083"/>
      <c r="BQ99" s="1083"/>
      <c r="BR99" s="1083"/>
      <c r="BS99" s="1083"/>
      <c r="BT99" s="1083"/>
      <c r="BU99" s="1083"/>
    </row>
    <row r="100" spans="1:73" ht="39.6" x14ac:dyDescent="0.25">
      <c r="A100" s="1083"/>
      <c r="B100" s="1085" t="s">
        <v>1150</v>
      </c>
      <c r="C100" s="1106" t="s">
        <v>1149</v>
      </c>
      <c r="D100" s="1" t="s">
        <v>1159</v>
      </c>
      <c r="E100" s="1085" t="s">
        <v>1155</v>
      </c>
      <c r="F100" s="1085" t="s">
        <v>1156</v>
      </c>
      <c r="G100" s="1085" t="s">
        <v>1157</v>
      </c>
      <c r="H100" s="1085" t="s">
        <v>1151</v>
      </c>
      <c r="I100" s="1085" t="s">
        <v>1152</v>
      </c>
      <c r="J100" s="1085" t="s">
        <v>1153</v>
      </c>
      <c r="K100" s="1083"/>
      <c r="L100" s="1085" t="s">
        <v>1158</v>
      </c>
      <c r="M100" s="1094" t="s">
        <v>1161</v>
      </c>
      <c r="N100" s="1094" t="s">
        <v>1144</v>
      </c>
      <c r="O100" s="1083"/>
      <c r="P100" s="1083"/>
      <c r="Q100" s="1083"/>
      <c r="R100" s="1083"/>
      <c r="S100" s="1083"/>
      <c r="T100" s="1083"/>
      <c r="U100" s="1083"/>
      <c r="V100" s="1083"/>
      <c r="W100" s="1083"/>
      <c r="X100" s="1083"/>
      <c r="Y100" s="1083"/>
      <c r="Z100" s="1083"/>
      <c r="AA100" s="1083"/>
      <c r="AB100" s="1083"/>
      <c r="AC100" s="1083"/>
      <c r="AD100" s="1083"/>
      <c r="AE100" s="1083"/>
      <c r="AF100" s="1083"/>
      <c r="AG100" s="1083"/>
      <c r="AH100" s="1083"/>
      <c r="AI100" s="1083"/>
      <c r="AJ100" s="1083"/>
      <c r="AK100" s="1083"/>
      <c r="AL100" s="1083"/>
      <c r="AM100" s="1083"/>
      <c r="AN100" s="1083"/>
      <c r="AO100" s="1083"/>
      <c r="AP100" s="1083"/>
      <c r="AQ100" s="1083"/>
      <c r="AR100" s="1083"/>
      <c r="AS100" s="1083"/>
      <c r="AT100" s="1083"/>
      <c r="AU100" s="1083"/>
      <c r="AV100" s="1083"/>
      <c r="AW100" s="1083"/>
      <c r="AX100" s="1083"/>
      <c r="AY100" s="1083"/>
      <c r="AZ100" s="1083"/>
      <c r="BA100" s="1083"/>
      <c r="BB100" s="1083"/>
      <c r="BC100" s="1083"/>
      <c r="BD100" s="1083"/>
      <c r="BE100" s="1083"/>
      <c r="BF100" s="1083"/>
      <c r="BG100" s="1083"/>
      <c r="BH100" s="1083"/>
      <c r="BI100" s="1083"/>
      <c r="BJ100" s="1083"/>
      <c r="BK100" s="1083"/>
      <c r="BL100" s="1083"/>
      <c r="BM100" s="1083"/>
      <c r="BN100" s="1083"/>
      <c r="BO100" s="1083"/>
      <c r="BP100" s="1083"/>
      <c r="BQ100" s="1083"/>
      <c r="BR100" s="1083"/>
      <c r="BS100" s="1083"/>
      <c r="BT100" s="1083"/>
      <c r="BU100" s="1083"/>
    </row>
    <row r="101" spans="1:73" x14ac:dyDescent="0.25">
      <c r="A101" s="1083"/>
      <c r="B101" s="1083"/>
      <c r="C101" s="1107">
        <v>1</v>
      </c>
      <c r="D101" s="1087" t="str">
        <f t="shared" ref="D101:D107" ca="1" si="34">OFFSET(L$100,MATCH($C101,$N$101:$N$107,0),0)</f>
        <v>Operating Capacity Factor
(95%, 90%, 86%)</v>
      </c>
      <c r="E101" s="1182">
        <f t="shared" ref="E101:E107" ca="1" si="35">OFFSET(E$76,MATCH($C101,$N$101:$N$107,0)*3-2,0)</f>
        <v>1.7912603889642307</v>
      </c>
      <c r="F101" s="1182">
        <f t="shared" ref="F101:F107" si="36">+$K$51</f>
        <v>1.8491740829657206</v>
      </c>
      <c r="G101" s="1182">
        <f t="shared" ref="G101:G107" ca="1" si="37">OFFSET(E$76,MATCH($C101,$N$101:$N$107,0)*3,0)</f>
        <v>1.9123888153652373</v>
      </c>
      <c r="H101" s="1087">
        <f ca="1">+E101</f>
        <v>1.7912603889642307</v>
      </c>
      <c r="I101" s="1087">
        <f ca="1">+F101-E101</f>
        <v>5.7913694001489935E-2</v>
      </c>
      <c r="J101" s="1087">
        <f ca="1">+G101-F101</f>
        <v>6.3214732399516693E-2</v>
      </c>
      <c r="K101" s="1083"/>
      <c r="L101" s="1087" t="str">
        <f ca="1">+B3&amp;"
("&amp;TEXT(H3,"0%, ")&amp;TEXT(C3,"0%, ")&amp;TEXT(I3,"0%)")</f>
        <v>Operating Capacity Factor
(95%, 90%, 86%)</v>
      </c>
      <c r="M101" s="1097">
        <f>ABS(K52-K53)+0.000000001</f>
        <v>0.12112842740100663</v>
      </c>
      <c r="N101" s="1087">
        <f t="shared" ref="N101:N107" si="38">+RANK(M101,$M$101:$M$107)</f>
        <v>1</v>
      </c>
      <c r="O101" s="1094"/>
      <c r="P101" s="1083"/>
      <c r="Q101" s="1083"/>
      <c r="R101" s="1083"/>
      <c r="S101" s="1083"/>
      <c r="T101" s="1083"/>
      <c r="U101" s="1083"/>
      <c r="V101" s="1083"/>
      <c r="W101" s="1083"/>
      <c r="X101" s="1083"/>
      <c r="Y101" s="1083"/>
      <c r="Z101" s="1083"/>
      <c r="AA101" s="1083"/>
      <c r="AB101" s="1083"/>
      <c r="AC101" s="1083"/>
      <c r="AD101" s="1083"/>
      <c r="AE101" s="1083"/>
      <c r="AF101" s="1083"/>
      <c r="AG101" s="1083"/>
      <c r="AH101" s="1083"/>
      <c r="AI101" s="1083"/>
      <c r="AJ101" s="1083"/>
      <c r="AK101" s="1083"/>
      <c r="AL101" s="1083"/>
      <c r="AM101" s="1083"/>
      <c r="AN101" s="1083"/>
      <c r="AO101" s="1083"/>
      <c r="AP101" s="1083"/>
      <c r="AQ101" s="1083"/>
      <c r="AR101" s="1083"/>
      <c r="AS101" s="1083"/>
      <c r="AT101" s="1083"/>
      <c r="AU101" s="1083"/>
      <c r="AV101" s="1083"/>
      <c r="AW101" s="1083"/>
      <c r="AX101" s="1083"/>
      <c r="AY101" s="1083"/>
      <c r="AZ101" s="1083"/>
      <c r="BA101" s="1083"/>
      <c r="BB101" s="1083"/>
      <c r="BC101" s="1083"/>
      <c r="BD101" s="1083"/>
      <c r="BE101" s="1083"/>
      <c r="BF101" s="1083"/>
      <c r="BG101" s="1083"/>
      <c r="BH101" s="1083"/>
      <c r="BI101" s="1083"/>
      <c r="BJ101" s="1083"/>
      <c r="BK101" s="1083"/>
      <c r="BL101" s="1083"/>
      <c r="BM101" s="1083"/>
      <c r="BN101" s="1083"/>
      <c r="BO101" s="1083"/>
      <c r="BP101" s="1083"/>
      <c r="BQ101" s="1083"/>
      <c r="BR101" s="1083"/>
      <c r="BS101" s="1083"/>
      <c r="BT101" s="1083"/>
      <c r="BU101" s="1083"/>
    </row>
    <row r="102" spans="1:73" x14ac:dyDescent="0.25">
      <c r="A102" s="1083"/>
      <c r="B102" s="1083"/>
      <c r="C102" s="1107">
        <v>2</v>
      </c>
      <c r="D102" s="1087" t="str">
        <f t="shared" ca="1" si="34"/>
        <v xml:space="preserve">Total Capital Investment
($1,678,913K, $1,767,277K, $1,855,641K) </v>
      </c>
      <c r="E102" s="1182">
        <f t="shared" ca="1" si="35"/>
        <v>1.8108135720598462</v>
      </c>
      <c r="F102" s="1182">
        <f t="shared" si="36"/>
        <v>1.8491740829657206</v>
      </c>
      <c r="G102" s="1182">
        <f t="shared" ca="1" si="37"/>
        <v>1.8875345938715946</v>
      </c>
      <c r="H102" s="1087">
        <f t="shared" ref="H102:H107" ca="1" si="39">+E102</f>
        <v>1.8108135720598462</v>
      </c>
      <c r="I102" s="1087">
        <f t="shared" ref="I102:I107" ca="1" si="40">+F102-E102</f>
        <v>3.8360510905874445E-2</v>
      </c>
      <c r="J102" s="1087">
        <f t="shared" ref="J102:J107" ca="1" si="41">+G102-F102</f>
        <v>3.8360510905874001E-2</v>
      </c>
      <c r="K102" s="1083"/>
      <c r="L102" s="1087" t="str">
        <f>+B4&amp;"
("&amp;TEXT(H4,"0,000")&amp;", "&amp;TEXT(C4,"0,000")&amp;", "&amp;TEXT(I4,"0,000")&amp;") "</f>
        <v xml:space="preserve">Plant Design Capacity (kg of H2/day)
(649,883, 618,936, 587,989) </v>
      </c>
      <c r="M102" s="1097">
        <f>+ABS(K54-K55)+0.000000002</f>
        <v>6.930689033274301E-2</v>
      </c>
      <c r="N102" s="1087">
        <f t="shared" si="38"/>
        <v>3</v>
      </c>
      <c r="O102" s="1094"/>
      <c r="P102" s="1083"/>
      <c r="Q102" s="1083"/>
      <c r="R102" s="1083"/>
      <c r="S102" s="1083"/>
      <c r="T102" s="1083"/>
      <c r="U102" s="1083"/>
      <c r="V102" s="1083"/>
      <c r="W102" s="1083"/>
      <c r="X102" s="1083"/>
      <c r="Y102" s="1083"/>
      <c r="Z102" s="1083"/>
      <c r="AA102" s="1083"/>
      <c r="AB102" s="1083"/>
      <c r="AC102" s="1083"/>
      <c r="AD102" s="1083"/>
      <c r="AE102" s="1083"/>
      <c r="AF102" s="1083"/>
      <c r="AG102" s="1083"/>
      <c r="AH102" s="1083"/>
      <c r="AI102" s="1083"/>
      <c r="AJ102" s="1083"/>
      <c r="AK102" s="1083"/>
      <c r="AL102" s="1083"/>
      <c r="AM102" s="1083"/>
      <c r="AN102" s="1083"/>
      <c r="AO102" s="1083"/>
      <c r="AP102" s="1083"/>
      <c r="AQ102" s="1083"/>
      <c r="AR102" s="1083"/>
      <c r="AS102" s="1083"/>
      <c r="AT102" s="1083"/>
      <c r="AU102" s="1083"/>
      <c r="AV102" s="1083"/>
      <c r="AW102" s="1083"/>
      <c r="AX102" s="1083"/>
      <c r="AY102" s="1083"/>
      <c r="AZ102" s="1083"/>
      <c r="BA102" s="1083"/>
      <c r="BB102" s="1083"/>
      <c r="BC102" s="1083"/>
      <c r="BD102" s="1083"/>
      <c r="BE102" s="1083"/>
      <c r="BF102" s="1083"/>
      <c r="BG102" s="1083"/>
      <c r="BH102" s="1083"/>
      <c r="BI102" s="1083"/>
      <c r="BJ102" s="1083"/>
      <c r="BK102" s="1083"/>
      <c r="BL102" s="1083"/>
      <c r="BM102" s="1083"/>
      <c r="BN102" s="1083"/>
      <c r="BO102" s="1083"/>
      <c r="BP102" s="1083"/>
      <c r="BQ102" s="1083"/>
      <c r="BR102" s="1083"/>
      <c r="BS102" s="1083"/>
      <c r="BT102" s="1083"/>
      <c r="BU102" s="1083"/>
    </row>
    <row r="103" spans="1:73" x14ac:dyDescent="0.25">
      <c r="A103" s="1083"/>
      <c r="B103" s="1083"/>
      <c r="C103" s="1107">
        <v>3</v>
      </c>
      <c r="D103" s="1087" t="str">
        <f t="shared" ca="1" si="34"/>
        <v xml:space="preserve">Plant Design Capacity (kg of H2/day)
(649,883, 618,936, 587,989) </v>
      </c>
      <c r="E103" s="1182">
        <f t="shared" ca="1" si="35"/>
        <v>1.8156618367626984</v>
      </c>
      <c r="F103" s="1182">
        <f t="shared" si="36"/>
        <v>1.8491740829657206</v>
      </c>
      <c r="G103" s="1182">
        <f t="shared" ca="1" si="37"/>
        <v>1.8849687250954414</v>
      </c>
      <c r="H103" s="1087">
        <f t="shared" ca="1" si="39"/>
        <v>1.8156618367626984</v>
      </c>
      <c r="I103" s="1087">
        <f t="shared" ca="1" si="40"/>
        <v>3.3512246203022178E-2</v>
      </c>
      <c r="J103" s="1087">
        <f t="shared" ca="1" si="41"/>
        <v>3.5794642129720833E-2</v>
      </c>
      <c r="K103" s="1083"/>
      <c r="L103" s="1087" t="str">
        <f ca="1">+B5&amp;"
("&amp;TEXT(H5,"0%, ")&amp;TEXT(C5,"0%, ")&amp;TEXT(I5,"0%)")</f>
        <v>After-tax Real IRR
(8%, 8%, 8%)</v>
      </c>
      <c r="M103" s="1097">
        <f>+ABS(K56-K57)+0.000000003</f>
        <v>5.5493261396680732E-2</v>
      </c>
      <c r="N103" s="1087">
        <f t="shared" si="38"/>
        <v>5</v>
      </c>
      <c r="O103" s="1094"/>
      <c r="P103" s="1083"/>
      <c r="Q103" s="1083"/>
      <c r="R103" s="1083"/>
      <c r="S103" s="1083"/>
      <c r="T103" s="1083"/>
      <c r="U103" s="1083"/>
      <c r="V103" s="1083"/>
      <c r="W103" s="1083"/>
      <c r="X103" s="1083"/>
      <c r="Y103" s="1083"/>
      <c r="Z103" s="1083"/>
      <c r="AA103" s="1083"/>
      <c r="AB103" s="1083"/>
      <c r="AC103" s="1083"/>
      <c r="AD103" s="1083"/>
      <c r="AE103" s="1083"/>
      <c r="AF103" s="1083"/>
      <c r="AG103" s="1083"/>
      <c r="AH103" s="1083"/>
      <c r="AI103" s="1083"/>
      <c r="AJ103" s="1083"/>
      <c r="AK103" s="1083"/>
      <c r="AL103" s="1083"/>
      <c r="AM103" s="1083"/>
      <c r="AN103" s="1083"/>
      <c r="AO103" s="1083"/>
      <c r="AP103" s="1083"/>
      <c r="AQ103" s="1083"/>
      <c r="AR103" s="1083"/>
      <c r="AS103" s="1083"/>
      <c r="AT103" s="1083"/>
      <c r="AU103" s="1083"/>
      <c r="AV103" s="1083"/>
      <c r="AW103" s="1083"/>
      <c r="AX103" s="1083"/>
      <c r="AY103" s="1083"/>
      <c r="AZ103" s="1083"/>
      <c r="BA103" s="1083"/>
      <c r="BB103" s="1083"/>
      <c r="BC103" s="1083"/>
      <c r="BD103" s="1083"/>
      <c r="BE103" s="1083"/>
      <c r="BF103" s="1083"/>
      <c r="BG103" s="1083"/>
      <c r="BH103" s="1083"/>
      <c r="BI103" s="1083"/>
      <c r="BJ103" s="1083"/>
      <c r="BK103" s="1083"/>
      <c r="BL103" s="1083"/>
      <c r="BM103" s="1083"/>
      <c r="BN103" s="1083"/>
      <c r="BO103" s="1083"/>
      <c r="BP103" s="1083"/>
      <c r="BQ103" s="1083"/>
      <c r="BR103" s="1083"/>
      <c r="BS103" s="1083"/>
      <c r="BT103" s="1083"/>
      <c r="BU103" s="1083"/>
    </row>
    <row r="104" spans="1:73" x14ac:dyDescent="0.25">
      <c r="A104" s="1083"/>
      <c r="B104" s="1083"/>
      <c r="C104" s="1107">
        <v>4</v>
      </c>
      <c r="D104" s="1087" t="str">
        <f t="shared" ca="1" si="34"/>
        <v>Feedstock Consumption (% of baseline)
(95%, 100%, 105%)</v>
      </c>
      <c r="E104" s="1182">
        <f t="shared" ca="1" si="35"/>
        <v>1.8169845479284283</v>
      </c>
      <c r="F104" s="1182">
        <f t="shared" si="36"/>
        <v>1.8491740829657206</v>
      </c>
      <c r="G104" s="1182">
        <f t="shared" ca="1" si="37"/>
        <v>1.8806082330379454</v>
      </c>
      <c r="H104" s="1087">
        <f t="shared" ca="1" si="39"/>
        <v>1.8169845479284283</v>
      </c>
      <c r="I104" s="1087">
        <f t="shared" ca="1" si="40"/>
        <v>3.2189535037292272E-2</v>
      </c>
      <c r="J104" s="1087">
        <f t="shared" ca="1" si="41"/>
        <v>3.1434150072224831E-2</v>
      </c>
      <c r="K104" s="1083"/>
      <c r="L104" s="1087" t="str">
        <f>+B6&amp;"
("&amp;TEXT(H6,"0%, ")&amp;TEXT(C6,"0%, ")&amp;TEXT(I6,"0%)")</f>
        <v>Feedstock Consumption (% of baseline)
(95%, 100%, 105%)</v>
      </c>
      <c r="M104" s="1097">
        <f>+ABS(K58-K59)+0.000000004</f>
        <v>6.3623689109517101E-2</v>
      </c>
      <c r="N104" s="1087">
        <f t="shared" si="38"/>
        <v>4</v>
      </c>
      <c r="O104" s="1094"/>
      <c r="P104" s="1083"/>
      <c r="Q104" s="1083"/>
      <c r="R104" s="1083"/>
      <c r="S104" s="1083"/>
      <c r="T104" s="1083"/>
      <c r="U104" s="1083"/>
      <c r="V104" s="1083"/>
      <c r="W104" s="1083"/>
      <c r="X104" s="1083"/>
      <c r="Y104" s="1083"/>
      <c r="Z104" s="1083"/>
      <c r="AA104" s="1083"/>
      <c r="AB104" s="1083"/>
      <c r="AC104" s="1083"/>
      <c r="AD104" s="1083"/>
      <c r="AE104" s="1083"/>
      <c r="AF104" s="1083"/>
      <c r="AG104" s="1083"/>
      <c r="AH104" s="1083"/>
      <c r="AI104" s="1083"/>
      <c r="AJ104" s="1083"/>
      <c r="AK104" s="1083"/>
      <c r="AL104" s="1083"/>
      <c r="AM104" s="1083"/>
      <c r="AN104" s="1083"/>
      <c r="AO104" s="1083"/>
      <c r="AP104" s="1083"/>
      <c r="AQ104" s="1083"/>
      <c r="AR104" s="1083"/>
      <c r="AS104" s="1083"/>
      <c r="AT104" s="1083"/>
      <c r="AU104" s="1083"/>
      <c r="AV104" s="1083"/>
      <c r="AW104" s="1083"/>
      <c r="AX104" s="1083"/>
      <c r="AY104" s="1083"/>
      <c r="AZ104" s="1083"/>
      <c r="BA104" s="1083"/>
      <c r="BB104" s="1083"/>
      <c r="BC104" s="1083"/>
      <c r="BD104" s="1083"/>
      <c r="BE104" s="1083"/>
      <c r="BF104" s="1083"/>
      <c r="BG104" s="1083"/>
      <c r="BH104" s="1083"/>
      <c r="BI104" s="1083"/>
      <c r="BJ104" s="1083"/>
      <c r="BK104" s="1083"/>
      <c r="BL104" s="1083"/>
      <c r="BM104" s="1083"/>
      <c r="BN104" s="1083"/>
      <c r="BO104" s="1083"/>
      <c r="BP104" s="1083"/>
      <c r="BQ104" s="1083"/>
      <c r="BR104" s="1083"/>
      <c r="BS104" s="1083"/>
      <c r="BT104" s="1083"/>
      <c r="BU104" s="1083"/>
    </row>
    <row r="105" spans="1:73" x14ac:dyDescent="0.25">
      <c r="A105" s="1083"/>
      <c r="B105" s="1083"/>
      <c r="C105" s="1107">
        <v>5</v>
      </c>
      <c r="D105" s="1087" t="str">
        <f t="shared" ca="1" si="34"/>
        <v>After-tax Real IRR
(8%, 8%, 8%)</v>
      </c>
      <c r="E105" s="1182">
        <f t="shared" ca="1" si="35"/>
        <v>1.8218064218176202</v>
      </c>
      <c r="F105" s="1182">
        <f t="shared" si="36"/>
        <v>1.8491740829657206</v>
      </c>
      <c r="G105" s="1182">
        <f t="shared" ca="1" si="37"/>
        <v>1.8772996802143009</v>
      </c>
      <c r="H105" s="1087">
        <f t="shared" ref="H105" ca="1" si="42">+E105</f>
        <v>1.8218064218176202</v>
      </c>
      <c r="I105" s="1087">
        <f t="shared" ref="I105" ca="1" si="43">+F105-E105</f>
        <v>2.7367661148100408E-2</v>
      </c>
      <c r="J105" s="1087">
        <f t="shared" ref="J105" ca="1" si="44">+G105-F105</f>
        <v>2.8125597248580325E-2</v>
      </c>
      <c r="K105" s="1083"/>
      <c r="L105" s="1087" t="str">
        <f>+B7&amp;"
("&amp;TEXT(H7,"0%, ")&amp;TEXT(C7,"0%, ")&amp;TEXT(I7,"0%)")</f>
        <v>Utilities Consumption (% of baseline)
(95%, 100%, 105%)</v>
      </c>
      <c r="M105" s="1097">
        <f>+ABS(K60-K61)+0.000000004</f>
        <v>4.0000000000000002E-9</v>
      </c>
      <c r="N105" s="1087">
        <f t="shared" si="38"/>
        <v>7</v>
      </c>
      <c r="O105" s="1094"/>
      <c r="P105" s="1083"/>
      <c r="Q105" s="1083"/>
      <c r="R105" s="1083"/>
      <c r="S105" s="1083"/>
      <c r="T105" s="1083"/>
      <c r="U105" s="1083"/>
      <c r="V105" s="1083"/>
      <c r="W105" s="1083"/>
      <c r="X105" s="1083"/>
      <c r="Y105" s="1083"/>
      <c r="Z105" s="1083"/>
      <c r="AA105" s="1083"/>
      <c r="AB105" s="1083"/>
      <c r="AC105" s="1083"/>
      <c r="AD105" s="1083"/>
      <c r="AE105" s="1083"/>
      <c r="AF105" s="1083"/>
      <c r="AG105" s="1083"/>
      <c r="AH105" s="1083"/>
      <c r="AI105" s="1083"/>
      <c r="AJ105" s="1083"/>
      <c r="AK105" s="1083"/>
      <c r="AL105" s="1083"/>
      <c r="AM105" s="1083"/>
      <c r="AN105" s="1083"/>
      <c r="AO105" s="1083"/>
      <c r="AP105" s="1083"/>
      <c r="AQ105" s="1083"/>
      <c r="AR105" s="1083"/>
      <c r="AS105" s="1083"/>
      <c r="AT105" s="1083"/>
      <c r="AU105" s="1083"/>
      <c r="AV105" s="1083"/>
      <c r="AW105" s="1083"/>
      <c r="AX105" s="1083"/>
      <c r="AY105" s="1083"/>
      <c r="AZ105" s="1083"/>
      <c r="BA105" s="1083"/>
      <c r="BB105" s="1083"/>
      <c r="BC105" s="1083"/>
      <c r="BD105" s="1083"/>
      <c r="BE105" s="1083"/>
      <c r="BF105" s="1083"/>
      <c r="BG105" s="1083"/>
      <c r="BH105" s="1083"/>
      <c r="BI105" s="1083"/>
      <c r="BJ105" s="1083"/>
      <c r="BK105" s="1083"/>
      <c r="BL105" s="1083"/>
      <c r="BM105" s="1083"/>
      <c r="BN105" s="1083"/>
      <c r="BO105" s="1083"/>
      <c r="BP105" s="1083"/>
      <c r="BQ105" s="1083"/>
      <c r="BR105" s="1083"/>
      <c r="BS105" s="1083"/>
      <c r="BT105" s="1083"/>
      <c r="BU105" s="1083"/>
    </row>
    <row r="106" spans="1:73" x14ac:dyDescent="0.25">
      <c r="A106" s="1083"/>
      <c r="B106" s="1083"/>
      <c r="C106" s="1107">
        <v>6</v>
      </c>
      <c r="D106" s="1087" t="str">
        <f t="shared" ca="1" si="34"/>
        <v xml:space="preserve">Total Fixed Operating Cost
($87,086K, $91,669K, $96,252K) </v>
      </c>
      <c r="E106" s="1182">
        <f t="shared" ca="1" si="35"/>
        <v>1.8305798360815821</v>
      </c>
      <c r="F106" s="1182">
        <f t="shared" si="36"/>
        <v>1.8491740829657206</v>
      </c>
      <c r="G106" s="1182">
        <f t="shared" ca="1" si="37"/>
        <v>1.8677683298498582</v>
      </c>
      <c r="H106" s="1087">
        <f t="shared" ca="1" si="39"/>
        <v>1.8305798360815821</v>
      </c>
      <c r="I106" s="1087">
        <f t="shared" ca="1" si="40"/>
        <v>1.8594246884138466E-2</v>
      </c>
      <c r="J106" s="1087">
        <f t="shared" ca="1" si="41"/>
        <v>1.8594246884137577E-2</v>
      </c>
      <c r="K106" s="1083"/>
      <c r="L106" s="1087" t="str">
        <f ca="1">+B8&amp;"
("&amp;TEXT(H8/1000,"$0,000K")&amp;", "&amp;TEXT(C8/1000,"$0,000K")&amp;", "&amp;TEXT(I8/1000,"$0,000K")&amp;") "</f>
        <v xml:space="preserve">Total Capital Investment
($1,678,913K, $1,767,277K, $1,855,641K) </v>
      </c>
      <c r="M106" s="1097">
        <f>+ABS(K62-K63)+0.000000006</f>
        <v>7.6721027811748443E-2</v>
      </c>
      <c r="N106" s="1087">
        <f t="shared" si="38"/>
        <v>2</v>
      </c>
      <c r="O106" s="1094"/>
      <c r="P106" s="1083"/>
      <c r="Q106" s="1083"/>
      <c r="R106" s="1083"/>
      <c r="S106" s="1083"/>
      <c r="T106" s="1083"/>
      <c r="U106" s="1083"/>
      <c r="V106" s="1083"/>
      <c r="W106" s="1083"/>
      <c r="X106" s="1083"/>
      <c r="Y106" s="1083"/>
      <c r="Z106" s="1083"/>
      <c r="AA106" s="1083"/>
      <c r="AB106" s="1083"/>
      <c r="AC106" s="1083"/>
      <c r="AD106" s="1083"/>
      <c r="AE106" s="1083"/>
      <c r="AF106" s="1083"/>
      <c r="AG106" s="1083"/>
      <c r="AH106" s="1083"/>
      <c r="AI106" s="1083"/>
      <c r="AJ106" s="1083"/>
      <c r="AK106" s="1083"/>
      <c r="AL106" s="1083"/>
      <c r="AM106" s="1083"/>
      <c r="AN106" s="1083"/>
      <c r="AO106" s="1083"/>
      <c r="AP106" s="1083"/>
      <c r="AQ106" s="1083"/>
      <c r="AR106" s="1083"/>
      <c r="AS106" s="1083"/>
      <c r="AT106" s="1083"/>
      <c r="AU106" s="1083"/>
      <c r="AV106" s="1083"/>
      <c r="AW106" s="1083"/>
      <c r="AX106" s="1083"/>
      <c r="AY106" s="1083"/>
      <c r="AZ106" s="1083"/>
      <c r="BA106" s="1083"/>
      <c r="BB106" s="1083"/>
      <c r="BC106" s="1083"/>
      <c r="BD106" s="1083"/>
      <c r="BE106" s="1083"/>
      <c r="BF106" s="1083"/>
      <c r="BG106" s="1083"/>
      <c r="BH106" s="1083"/>
      <c r="BI106" s="1083"/>
      <c r="BJ106" s="1083"/>
      <c r="BK106" s="1083"/>
      <c r="BL106" s="1083"/>
      <c r="BM106" s="1083"/>
      <c r="BN106" s="1083"/>
      <c r="BO106" s="1083"/>
      <c r="BP106" s="1083"/>
      <c r="BQ106" s="1083"/>
      <c r="BR106" s="1083"/>
      <c r="BS106" s="1083"/>
      <c r="BT106" s="1083"/>
      <c r="BU106" s="1083"/>
    </row>
    <row r="107" spans="1:73" x14ac:dyDescent="0.25">
      <c r="A107" s="1083"/>
      <c r="B107" s="1083"/>
      <c r="C107" s="1107">
        <v>7</v>
      </c>
      <c r="D107" s="1087" t="str">
        <f t="shared" ca="1" si="34"/>
        <v>Utilities Consumption (% of baseline)
(95%, 100%, 105%)</v>
      </c>
      <c r="E107" s="1182">
        <f t="shared" ca="1" si="35"/>
        <v>1.8491740829657206</v>
      </c>
      <c r="F107" s="1182">
        <f t="shared" si="36"/>
        <v>1.8491740829657206</v>
      </c>
      <c r="G107" s="1182">
        <f t="shared" ca="1" si="37"/>
        <v>1.8491740829657206</v>
      </c>
      <c r="H107" s="1087">
        <f t="shared" ca="1" si="39"/>
        <v>1.8491740829657206</v>
      </c>
      <c r="I107" s="1087">
        <f t="shared" ca="1" si="40"/>
        <v>0</v>
      </c>
      <c r="J107" s="1087">
        <f t="shared" ca="1" si="41"/>
        <v>0</v>
      </c>
      <c r="K107" s="1083"/>
      <c r="L107" s="1087" t="str">
        <f ca="1">+B9&amp;"
("&amp;TEXT(H9/1000,"$0,000K")&amp;", "&amp;TEXT(C9/1000,"$0,000K")&amp;", "&amp;TEXT(I9/1000,"$0,000K")&amp;") "</f>
        <v xml:space="preserve">Total Fixed Operating Cost
($87,086K, $91,669K, $96,252K) </v>
      </c>
      <c r="M107" s="1097">
        <f>+ABS(K64-K65)+0.00000007</f>
        <v>3.7188563768276041E-2</v>
      </c>
      <c r="N107" s="1087">
        <f t="shared" si="38"/>
        <v>6</v>
      </c>
      <c r="O107" s="1094"/>
      <c r="P107" s="1083"/>
      <c r="Q107" s="1083"/>
      <c r="R107" s="1083"/>
      <c r="S107" s="1083"/>
      <c r="T107" s="1083"/>
      <c r="U107" s="1083"/>
      <c r="V107" s="1083"/>
      <c r="W107" s="1083"/>
      <c r="X107" s="1083"/>
      <c r="Y107" s="1083"/>
      <c r="Z107" s="1083"/>
      <c r="AA107" s="1083"/>
      <c r="AB107" s="1083"/>
      <c r="AC107" s="1083"/>
      <c r="AD107" s="1083"/>
      <c r="AE107" s="1083"/>
      <c r="AF107" s="1083"/>
      <c r="AG107" s="1083"/>
      <c r="AH107" s="1083"/>
      <c r="AI107" s="1083"/>
      <c r="AJ107" s="1083"/>
      <c r="AK107" s="1083"/>
      <c r="AL107" s="1083"/>
      <c r="AM107" s="1083"/>
      <c r="AN107" s="1083"/>
      <c r="AO107" s="1083"/>
      <c r="AP107" s="1083"/>
      <c r="AQ107" s="1083"/>
      <c r="AR107" s="1083"/>
      <c r="AS107" s="1083"/>
      <c r="AT107" s="1083"/>
      <c r="AU107" s="1083"/>
      <c r="AV107" s="1083"/>
      <c r="AW107" s="1083"/>
      <c r="AX107" s="1083"/>
      <c r="AY107" s="1083"/>
      <c r="AZ107" s="1083"/>
      <c r="BA107" s="1083"/>
      <c r="BB107" s="1083"/>
      <c r="BC107" s="1083"/>
      <c r="BD107" s="1083"/>
      <c r="BE107" s="1083"/>
      <c r="BF107" s="1083"/>
      <c r="BG107" s="1083"/>
      <c r="BH107" s="1083"/>
      <c r="BI107" s="1083"/>
      <c r="BJ107" s="1083"/>
      <c r="BK107" s="1083"/>
      <c r="BL107" s="1083"/>
      <c r="BM107" s="1083"/>
      <c r="BN107" s="1083"/>
      <c r="BO107" s="1083"/>
      <c r="BP107" s="1083"/>
      <c r="BQ107" s="1083"/>
      <c r="BR107" s="1083"/>
      <c r="BS107" s="1083"/>
      <c r="BT107" s="1083"/>
      <c r="BU107" s="1083"/>
    </row>
    <row r="108" spans="1:73" x14ac:dyDescent="0.25">
      <c r="A108" s="1083"/>
      <c r="B108" s="1083"/>
      <c r="C108" s="1083"/>
      <c r="D108" s="1083"/>
      <c r="E108" s="1083"/>
      <c r="F108" s="1083"/>
      <c r="G108" s="1083"/>
      <c r="H108" s="1083"/>
      <c r="I108" s="1083"/>
      <c r="J108" s="1083"/>
      <c r="K108" s="1083"/>
      <c r="L108" s="1083"/>
      <c r="M108" s="1083"/>
      <c r="N108" s="1083"/>
      <c r="O108" s="1083"/>
      <c r="P108" s="1083"/>
      <c r="Q108" s="1083"/>
      <c r="R108" s="1083"/>
      <c r="S108" s="1083"/>
      <c r="T108" s="1083"/>
      <c r="U108" s="1083"/>
      <c r="V108" s="1083"/>
      <c r="W108" s="1083"/>
      <c r="X108" s="1083"/>
      <c r="Y108" s="1083"/>
      <c r="Z108" s="1083"/>
      <c r="AA108" s="1083"/>
      <c r="AB108" s="1083"/>
      <c r="AC108" s="1083"/>
      <c r="AD108" s="1083"/>
      <c r="AE108" s="1083"/>
      <c r="AF108" s="1083"/>
      <c r="AG108" s="1083"/>
      <c r="AH108" s="1083"/>
      <c r="AI108" s="1083"/>
      <c r="AJ108" s="1083"/>
      <c r="AK108" s="1083"/>
      <c r="AL108" s="1083"/>
      <c r="AM108" s="1083"/>
      <c r="AN108" s="1083"/>
      <c r="AO108" s="1083"/>
      <c r="AP108" s="1083"/>
      <c r="AQ108" s="1083"/>
      <c r="AR108" s="1083"/>
      <c r="AS108" s="1083"/>
      <c r="AT108" s="1083"/>
      <c r="AU108" s="1083"/>
      <c r="AV108" s="1083"/>
      <c r="AW108" s="1083"/>
      <c r="AX108" s="1083"/>
      <c r="AY108" s="1083"/>
      <c r="AZ108" s="1083"/>
      <c r="BA108" s="1083"/>
      <c r="BB108" s="1083"/>
      <c r="BC108" s="1083"/>
      <c r="BD108" s="1083"/>
      <c r="BE108" s="1083"/>
      <c r="BF108" s="1083"/>
      <c r="BG108" s="1083"/>
      <c r="BH108" s="1083"/>
      <c r="BI108" s="1083"/>
      <c r="BJ108" s="1083"/>
      <c r="BK108" s="1083"/>
      <c r="BL108" s="1083"/>
      <c r="BM108" s="1083"/>
      <c r="BN108" s="1083"/>
      <c r="BO108" s="1083"/>
      <c r="BP108" s="1083"/>
      <c r="BQ108" s="1083"/>
      <c r="BR108" s="1083"/>
      <c r="BS108" s="1083"/>
      <c r="BT108" s="1083"/>
      <c r="BU108" s="1083"/>
    </row>
    <row r="109" spans="1:73" x14ac:dyDescent="0.25">
      <c r="A109" s="1083"/>
      <c r="B109" s="1083"/>
      <c r="C109" s="1083"/>
      <c r="D109" s="1083"/>
      <c r="E109" s="1083"/>
      <c r="F109" s="1083"/>
      <c r="G109" s="1083"/>
      <c r="H109" s="1083"/>
      <c r="I109" s="1083"/>
      <c r="J109" s="1083"/>
      <c r="K109" s="1083"/>
      <c r="L109" s="1083"/>
      <c r="M109" s="1083"/>
      <c r="N109" s="1083"/>
      <c r="O109" s="1083"/>
      <c r="P109" s="1083"/>
      <c r="Q109" s="1083"/>
      <c r="R109" s="1083"/>
      <c r="S109" s="1083"/>
      <c r="T109" s="1083"/>
      <c r="U109" s="1083"/>
      <c r="V109" s="1083"/>
      <c r="W109" s="1083"/>
      <c r="X109" s="1083"/>
      <c r="Y109" s="1083"/>
      <c r="Z109" s="1083"/>
      <c r="AA109" s="1083"/>
      <c r="AB109" s="1083"/>
      <c r="AC109" s="1083"/>
      <c r="AD109" s="1083"/>
      <c r="AE109" s="1083"/>
      <c r="AF109" s="1083"/>
      <c r="AG109" s="1083"/>
      <c r="AH109" s="1083"/>
      <c r="AI109" s="1083"/>
      <c r="AJ109" s="1083"/>
      <c r="AK109" s="1083"/>
      <c r="AL109" s="1083"/>
      <c r="AM109" s="1083"/>
      <c r="AN109" s="1083"/>
      <c r="AO109" s="1083"/>
      <c r="AP109" s="1083"/>
      <c r="AQ109" s="1083"/>
      <c r="AR109" s="1083"/>
      <c r="AS109" s="1083"/>
      <c r="AT109" s="1083"/>
      <c r="AU109" s="1083"/>
      <c r="AV109" s="1083"/>
      <c r="AW109" s="1083"/>
      <c r="AX109" s="1083"/>
      <c r="AY109" s="1083"/>
      <c r="AZ109" s="1083"/>
      <c r="BA109" s="1083"/>
      <c r="BB109" s="1083"/>
      <c r="BC109" s="1083"/>
      <c r="BD109" s="1083"/>
      <c r="BE109" s="1083"/>
      <c r="BF109" s="1083"/>
      <c r="BG109" s="1083"/>
      <c r="BH109" s="1083"/>
      <c r="BI109" s="1083"/>
      <c r="BJ109" s="1083"/>
      <c r="BK109" s="1083"/>
      <c r="BL109" s="1083"/>
      <c r="BM109" s="1083"/>
      <c r="BN109" s="1083"/>
      <c r="BO109" s="1083"/>
      <c r="BP109" s="1083"/>
      <c r="BQ109" s="1083"/>
      <c r="BR109" s="1083"/>
      <c r="BS109" s="1083"/>
      <c r="BT109" s="1083"/>
      <c r="BU109" s="1083"/>
    </row>
    <row r="110" spans="1:73" ht="52.8" x14ac:dyDescent="0.25">
      <c r="A110" s="1083"/>
      <c r="B110" s="1085" t="s">
        <v>1162</v>
      </c>
      <c r="C110" s="1106" t="s">
        <v>1149</v>
      </c>
      <c r="D110" s="1094" t="str">
        <f t="shared" ref="D110:G110" si="45">+D76</f>
        <v>Chart titles</v>
      </c>
      <c r="E110" s="1094" t="s">
        <v>1182</v>
      </c>
      <c r="F110" s="1094" t="s">
        <v>1183</v>
      </c>
      <c r="G110" s="1094" t="str">
        <f t="shared" si="45"/>
        <v>Salvage Value</v>
      </c>
      <c r="H110" s="1094" t="str">
        <f t="shared" ref="H110:S110" si="46">+H76</f>
        <v>Initial Equity Depreciable Capital</v>
      </c>
      <c r="I110" s="1094" t="str">
        <f t="shared" si="46"/>
        <v>Yearly Replacement Costs</v>
      </c>
      <c r="J110" s="1094" t="str">
        <f t="shared" si="46"/>
        <v>Cash for Working Capital Reserve</v>
      </c>
      <c r="K110" s="1094" t="str">
        <f t="shared" si="46"/>
        <v>Other Non-Depreciable Capital Costs</v>
      </c>
      <c r="L110" s="1094" t="str">
        <f t="shared" si="46"/>
        <v>Decommissioning Costs</v>
      </c>
      <c r="M110" s="1094" t="str">
        <f t="shared" si="46"/>
        <v>Fixed Operating Cost</v>
      </c>
      <c r="N110" s="1094" t="str">
        <f t="shared" si="46"/>
        <v>Feedstock Cost</v>
      </c>
      <c r="O110" s="1094" t="str">
        <f t="shared" si="46"/>
        <v>Other Raw Material Cost</v>
      </c>
      <c r="P110" s="1094" t="str">
        <f t="shared" si="46"/>
        <v>Other Variable Operating Costs</v>
      </c>
      <c r="Q110" s="1094" t="str">
        <f t="shared" si="46"/>
        <v>Debt Interest</v>
      </c>
      <c r="R110" s="1094" t="str">
        <f t="shared" si="46"/>
        <v>Taxes</v>
      </c>
      <c r="S110" s="1094" t="str">
        <f t="shared" si="46"/>
        <v>Principal Payment</v>
      </c>
      <c r="T110" s="1083"/>
      <c r="U110" s="1083"/>
      <c r="V110" s="1083"/>
      <c r="W110" s="1083"/>
      <c r="X110" s="1083"/>
      <c r="Y110" s="1083"/>
      <c r="Z110" s="1083"/>
      <c r="AA110" s="1083"/>
      <c r="AB110" s="1083"/>
      <c r="AC110" s="1083"/>
      <c r="AD110" s="1083"/>
      <c r="AE110" s="1083"/>
      <c r="AF110" s="1083"/>
      <c r="AG110" s="1083"/>
      <c r="AH110" s="1083"/>
      <c r="AI110" s="1083"/>
      <c r="AJ110" s="1083"/>
      <c r="AK110" s="1083"/>
      <c r="AL110" s="1083"/>
      <c r="AM110" s="1083"/>
      <c r="AN110" s="1083"/>
      <c r="AO110" s="1083"/>
      <c r="AP110" s="1083"/>
      <c r="AQ110" s="1083"/>
      <c r="AR110" s="1083"/>
      <c r="AS110" s="1083"/>
      <c r="AT110" s="1083"/>
      <c r="AU110" s="1083"/>
      <c r="AV110" s="1083"/>
      <c r="AW110" s="1083"/>
      <c r="AX110" s="1083"/>
      <c r="AY110" s="1083"/>
      <c r="AZ110" s="1083"/>
      <c r="BA110" s="1083"/>
      <c r="BB110" s="1083"/>
      <c r="BC110" s="1083"/>
      <c r="BD110" s="1083"/>
      <c r="BE110" s="1083"/>
      <c r="BF110" s="1083"/>
      <c r="BG110" s="1083"/>
      <c r="BH110" s="1083"/>
      <c r="BI110" s="1083"/>
      <c r="BJ110" s="1083"/>
      <c r="BK110" s="1083"/>
      <c r="BL110" s="1083"/>
      <c r="BM110" s="1083"/>
      <c r="BN110" s="1083"/>
      <c r="BO110" s="1083"/>
      <c r="BP110" s="1083"/>
      <c r="BQ110" s="1083"/>
      <c r="BR110" s="1083"/>
      <c r="BS110" s="1083"/>
      <c r="BT110" s="1083"/>
      <c r="BU110" s="1083"/>
    </row>
    <row r="111" spans="1:73" x14ac:dyDescent="0.25">
      <c r="A111" s="1083"/>
      <c r="B111" s="1083"/>
      <c r="C111" s="1107">
        <v>1</v>
      </c>
      <c r="D111" s="1086" t="s">
        <v>1181</v>
      </c>
      <c r="E111" s="1100">
        <f ca="1">OFFSET(E$76,MATCH($C111,$N$101:$N$107,0)*3-1,0)</f>
        <v>1.8491740829657206</v>
      </c>
      <c r="F111" s="1100">
        <f ca="1">OFFSET(F$76,MATCH($C111,$N$101:$N$107,0)*3-1,0)</f>
        <v>0</v>
      </c>
      <c r="G111" s="1100">
        <f ca="1">OFFSET(G$76,MATCH($C111,$N$101:$N$107,0)*3-1,0)</f>
        <v>3.6370810062790462E-3</v>
      </c>
      <c r="H111" s="1087"/>
      <c r="I111" s="1087"/>
      <c r="J111" s="1087"/>
      <c r="K111" s="1087"/>
      <c r="L111" s="1087"/>
      <c r="M111" s="1087"/>
      <c r="N111" s="1087"/>
      <c r="O111" s="1087"/>
      <c r="P111" s="1087"/>
      <c r="Q111" s="1087"/>
      <c r="R111" s="1087"/>
      <c r="S111" s="1087"/>
      <c r="T111" s="1083"/>
      <c r="U111" s="1083"/>
      <c r="V111" s="1083"/>
      <c r="W111" s="1083"/>
      <c r="X111" s="1083"/>
      <c r="Y111" s="1083"/>
      <c r="Z111" s="1083"/>
      <c r="AA111" s="1083"/>
      <c r="AB111" s="1083"/>
      <c r="AC111" s="1083"/>
      <c r="AD111" s="1083"/>
      <c r="AE111" s="1083"/>
      <c r="AF111" s="1083"/>
      <c r="AG111" s="1083"/>
      <c r="AH111" s="1083"/>
      <c r="AI111" s="1083"/>
      <c r="AJ111" s="1083"/>
      <c r="AK111" s="1083"/>
      <c r="AL111" s="1083"/>
      <c r="AM111" s="1083"/>
      <c r="AN111" s="1083"/>
      <c r="AO111" s="1083"/>
      <c r="AP111" s="1083"/>
      <c r="AQ111" s="1083"/>
      <c r="AR111" s="1083"/>
      <c r="AS111" s="1083"/>
      <c r="AT111" s="1083"/>
      <c r="AU111" s="1083"/>
      <c r="AV111" s="1083"/>
      <c r="AW111" s="1083"/>
      <c r="AX111" s="1083"/>
      <c r="AY111" s="1083"/>
      <c r="AZ111" s="1083"/>
      <c r="BA111" s="1083"/>
      <c r="BB111" s="1083"/>
      <c r="BC111" s="1083"/>
      <c r="BD111" s="1083"/>
      <c r="BE111" s="1083"/>
      <c r="BF111" s="1083"/>
      <c r="BG111" s="1083"/>
      <c r="BH111" s="1083"/>
      <c r="BI111" s="1083"/>
      <c r="BJ111" s="1083"/>
      <c r="BK111" s="1083"/>
      <c r="BL111" s="1083"/>
      <c r="BM111" s="1083"/>
      <c r="BN111" s="1083"/>
      <c r="BO111" s="1083"/>
      <c r="BP111" s="1083"/>
      <c r="BQ111" s="1083"/>
      <c r="BR111" s="1083"/>
      <c r="BS111" s="1083"/>
      <c r="BT111" s="1083"/>
      <c r="BU111" s="1083"/>
    </row>
    <row r="112" spans="1:73" x14ac:dyDescent="0.25">
      <c r="A112" s="1083"/>
      <c r="B112" s="1085"/>
      <c r="C112" s="1188"/>
      <c r="D112" s="1189"/>
      <c r="E112" s="1190"/>
      <c r="F112" s="1190"/>
      <c r="G112" s="1190"/>
      <c r="H112" s="1100">
        <f t="shared" ref="H112:S112" ca="1" si="47">OFFSET(H$76,MATCH($C111,$N$101:$N$107,0)*3-1,0)</f>
        <v>0.34534711025346798</v>
      </c>
      <c r="I112" s="1100">
        <f t="shared" ca="1" si="47"/>
        <v>0.23874163416600355</v>
      </c>
      <c r="J112" s="1100">
        <f t="shared" ca="1" si="47"/>
        <v>1.320283908623009E-2</v>
      </c>
      <c r="K112" s="1100">
        <f t="shared" ca="1" si="47"/>
        <v>1.5837029979080296E-3</v>
      </c>
      <c r="L112" s="1100">
        <f t="shared" ca="1" si="47"/>
        <v>3.6308310639724464E-3</v>
      </c>
      <c r="M112" s="1100">
        <f t="shared" ca="1" si="47"/>
        <v>0.36517456991515829</v>
      </c>
      <c r="N112" s="1100">
        <f t="shared" ca="1" si="47"/>
        <v>0.40269372654596947</v>
      </c>
      <c r="O112" s="1100">
        <f t="shared" ca="1" si="47"/>
        <v>0</v>
      </c>
      <c r="P112" s="1100">
        <f t="shared" ca="1" si="47"/>
        <v>0.19976377164187348</v>
      </c>
      <c r="Q112" s="1100">
        <f t="shared" ca="1" si="47"/>
        <v>0.21997825832401219</v>
      </c>
      <c r="R112" s="1100">
        <f t="shared" ca="1" si="47"/>
        <v>5.281279472440787E-2</v>
      </c>
      <c r="S112" s="1100">
        <f t="shared" ca="1" si="47"/>
        <v>9.8819252529944342E-3</v>
      </c>
      <c r="T112" s="1083"/>
      <c r="U112" s="1083"/>
      <c r="V112" s="1083"/>
      <c r="W112" s="1083"/>
      <c r="X112" s="1083"/>
      <c r="Y112" s="1083"/>
      <c r="Z112" s="1083"/>
      <c r="AA112" s="1083"/>
      <c r="AB112" s="1083"/>
      <c r="AC112" s="1083"/>
      <c r="AD112" s="1083"/>
      <c r="AE112" s="1083"/>
      <c r="AF112" s="1083"/>
      <c r="AG112" s="1083"/>
      <c r="AH112" s="1083"/>
      <c r="AI112" s="1083"/>
      <c r="AJ112" s="1083"/>
      <c r="AK112" s="1083"/>
      <c r="AL112" s="1083"/>
      <c r="AM112" s="1083"/>
      <c r="AN112" s="1083"/>
      <c r="AO112" s="1083"/>
      <c r="AP112" s="1083"/>
      <c r="AQ112" s="1083"/>
      <c r="AR112" s="1083"/>
      <c r="AS112" s="1083"/>
      <c r="AT112" s="1083"/>
      <c r="AU112" s="1083"/>
      <c r="AV112" s="1083"/>
      <c r="AW112" s="1083"/>
      <c r="AX112" s="1083"/>
      <c r="AY112" s="1083"/>
      <c r="AZ112" s="1083"/>
      <c r="BA112" s="1083"/>
      <c r="BB112" s="1083"/>
      <c r="BC112" s="1083"/>
      <c r="BD112" s="1083"/>
      <c r="BE112" s="1083"/>
      <c r="BF112" s="1083"/>
      <c r="BG112" s="1083"/>
      <c r="BH112" s="1083"/>
      <c r="BI112" s="1083"/>
      <c r="BJ112" s="1083"/>
      <c r="BK112" s="1083"/>
      <c r="BL112" s="1083"/>
      <c r="BM112" s="1083"/>
      <c r="BN112" s="1083"/>
      <c r="BO112" s="1083"/>
      <c r="BP112" s="1083"/>
      <c r="BQ112" s="1083"/>
      <c r="BR112" s="1083"/>
      <c r="BS112" s="1083"/>
      <c r="BT112" s="1083"/>
      <c r="BU112" s="1083"/>
    </row>
    <row r="113" spans="1:73" x14ac:dyDescent="0.25">
      <c r="A113" s="1083"/>
      <c r="B113" s="1085"/>
      <c r="C113" s="1188"/>
      <c r="D113" s="1189"/>
      <c r="E113" s="1190"/>
      <c r="F113" s="1190"/>
      <c r="G113" s="1190"/>
      <c r="H113" s="1100"/>
      <c r="I113" s="1100"/>
      <c r="J113" s="1100"/>
      <c r="K113" s="1100"/>
      <c r="L113" s="1100"/>
      <c r="M113" s="1100"/>
      <c r="N113" s="1100"/>
      <c r="O113" s="1100"/>
      <c r="P113" s="1100"/>
      <c r="Q113" s="1100"/>
      <c r="R113" s="1100"/>
      <c r="S113" s="1100"/>
      <c r="T113" s="1083"/>
      <c r="U113" s="1083"/>
      <c r="V113" s="1083"/>
      <c r="W113" s="1083"/>
      <c r="X113" s="1083"/>
      <c r="Y113" s="1083"/>
      <c r="Z113" s="1083"/>
      <c r="AA113" s="1083"/>
      <c r="AB113" s="1083"/>
      <c r="AC113" s="1083"/>
      <c r="AD113" s="1083"/>
      <c r="AE113" s="1083"/>
      <c r="AF113" s="1083"/>
      <c r="AG113" s="1083"/>
      <c r="AH113" s="1083"/>
      <c r="AI113" s="1083"/>
      <c r="AJ113" s="1083"/>
      <c r="AK113" s="1083"/>
      <c r="AL113" s="1083"/>
      <c r="AM113" s="1083"/>
      <c r="AN113" s="1083"/>
      <c r="AO113" s="1083"/>
      <c r="AP113" s="1083"/>
      <c r="AQ113" s="1083"/>
      <c r="AR113" s="1083"/>
      <c r="AS113" s="1083"/>
      <c r="AT113" s="1083"/>
      <c r="AU113" s="1083"/>
      <c r="AV113" s="1083"/>
      <c r="AW113" s="1083"/>
      <c r="AX113" s="1083"/>
      <c r="AY113" s="1083"/>
      <c r="AZ113" s="1083"/>
      <c r="BA113" s="1083"/>
      <c r="BB113" s="1083"/>
      <c r="BC113" s="1083"/>
      <c r="BD113" s="1083"/>
      <c r="BE113" s="1083"/>
      <c r="BF113" s="1083"/>
      <c r="BG113" s="1083"/>
      <c r="BH113" s="1083"/>
      <c r="BI113" s="1083"/>
      <c r="BJ113" s="1083"/>
      <c r="BK113" s="1083"/>
      <c r="BL113" s="1083"/>
      <c r="BM113" s="1083"/>
      <c r="BN113" s="1083"/>
      <c r="BO113" s="1083"/>
      <c r="BP113" s="1083"/>
      <c r="BQ113" s="1083"/>
      <c r="BR113" s="1083"/>
      <c r="BS113" s="1083"/>
      <c r="BT113" s="1083"/>
      <c r="BU113" s="1083"/>
    </row>
    <row r="114" spans="1:73" x14ac:dyDescent="0.25">
      <c r="A114" s="1083"/>
      <c r="B114" s="1085"/>
      <c r="C114" s="1188"/>
      <c r="D114" s="1190"/>
      <c r="E114" s="1190"/>
      <c r="F114" s="1190"/>
      <c r="G114" s="1190"/>
      <c r="H114" s="1190"/>
      <c r="I114" s="1190"/>
      <c r="J114" s="1190"/>
      <c r="K114" s="1190"/>
      <c r="L114" s="1190"/>
      <c r="M114" s="1190"/>
      <c r="N114" s="1190"/>
      <c r="O114" s="1190"/>
      <c r="P114" s="1190"/>
      <c r="Q114" s="1190"/>
      <c r="R114" s="1190"/>
      <c r="S114" s="1190"/>
      <c r="T114" s="1083"/>
      <c r="U114" s="1083"/>
      <c r="V114" s="1083"/>
      <c r="W114" s="1083"/>
      <c r="X114" s="1083"/>
      <c r="Y114" s="1083"/>
      <c r="Z114" s="1083"/>
      <c r="AA114" s="1083"/>
      <c r="AB114" s="1083"/>
      <c r="AC114" s="1083"/>
      <c r="AD114" s="1083"/>
      <c r="AE114" s="1083"/>
      <c r="AF114" s="1083"/>
      <c r="AG114" s="1083"/>
      <c r="AH114" s="1083"/>
      <c r="AI114" s="1083"/>
      <c r="AJ114" s="1083"/>
      <c r="AK114" s="1083"/>
      <c r="AL114" s="1083"/>
      <c r="AM114" s="1083"/>
      <c r="AN114" s="1083"/>
      <c r="AO114" s="1083"/>
      <c r="AP114" s="1083"/>
      <c r="AQ114" s="1083"/>
      <c r="AR114" s="1083"/>
      <c r="AS114" s="1083"/>
      <c r="AT114" s="1083"/>
      <c r="AU114" s="1083"/>
      <c r="AV114" s="1083"/>
      <c r="AW114" s="1083"/>
      <c r="AX114" s="1083"/>
      <c r="AY114" s="1083"/>
      <c r="AZ114" s="1083"/>
      <c r="BA114" s="1083"/>
      <c r="BB114" s="1083"/>
      <c r="BC114" s="1083"/>
      <c r="BD114" s="1083"/>
      <c r="BE114" s="1083"/>
      <c r="BF114" s="1083"/>
      <c r="BG114" s="1083"/>
      <c r="BH114" s="1083"/>
      <c r="BI114" s="1083"/>
      <c r="BJ114" s="1083"/>
      <c r="BK114" s="1083"/>
      <c r="BL114" s="1083"/>
      <c r="BM114" s="1083"/>
      <c r="BN114" s="1083"/>
      <c r="BO114" s="1083"/>
      <c r="BP114" s="1083"/>
      <c r="BQ114" s="1083"/>
      <c r="BR114" s="1083"/>
      <c r="BS114" s="1083"/>
      <c r="BT114" s="1083"/>
      <c r="BU114" s="1083"/>
    </row>
    <row r="115" spans="1:73" x14ac:dyDescent="0.25">
      <c r="A115" s="1083"/>
      <c r="B115" s="1085"/>
      <c r="C115" s="1107">
        <v>1</v>
      </c>
      <c r="D115" s="1087" t="str">
        <f t="shared" ref="D115:G115" ca="1" si="48">OFFSET(D$76,MATCH($C115,$N$101:$N$107,0)*3-2,0)</f>
        <v>Operating Capacity Factor = 94.5%</v>
      </c>
      <c r="E115" s="1100">
        <f t="shared" ca="1" si="48"/>
        <v>1.7912603889642307</v>
      </c>
      <c r="F115" s="1100">
        <f t="shared" ca="1" si="48"/>
        <v>0</v>
      </c>
      <c r="G115" s="1100">
        <f t="shared" ca="1" si="48"/>
        <v>3.4626932688945357E-3</v>
      </c>
      <c r="H115" s="1190"/>
      <c r="I115" s="1190"/>
      <c r="J115" s="1190"/>
      <c r="K115" s="1190"/>
      <c r="L115" s="1190"/>
      <c r="M115" s="1190"/>
      <c r="N115" s="1190"/>
      <c r="O115" s="1190"/>
      <c r="P115" s="1190"/>
      <c r="Q115" s="1190"/>
      <c r="R115" s="1190"/>
      <c r="S115" s="1190"/>
      <c r="T115" s="1083"/>
      <c r="U115" s="1083"/>
      <c r="V115" s="1083"/>
      <c r="W115" s="1083"/>
      <c r="X115" s="1083"/>
      <c r="Y115" s="1083"/>
      <c r="Z115" s="1083"/>
      <c r="AA115" s="1083"/>
      <c r="AB115" s="1083"/>
      <c r="AC115" s="1083"/>
      <c r="AD115" s="1083"/>
      <c r="AE115" s="1083"/>
      <c r="AF115" s="1083"/>
      <c r="AG115" s="1083"/>
      <c r="AH115" s="1083"/>
      <c r="AI115" s="1083"/>
      <c r="AJ115" s="1083"/>
      <c r="AK115" s="1083"/>
      <c r="AL115" s="1083"/>
      <c r="AM115" s="1083"/>
      <c r="AN115" s="1083"/>
      <c r="AO115" s="1083"/>
      <c r="AP115" s="1083"/>
      <c r="AQ115" s="1083"/>
      <c r="AR115" s="1083"/>
      <c r="AS115" s="1083"/>
      <c r="AT115" s="1083"/>
      <c r="AU115" s="1083"/>
      <c r="AV115" s="1083"/>
      <c r="AW115" s="1083"/>
      <c r="AX115" s="1083"/>
      <c r="AY115" s="1083"/>
      <c r="AZ115" s="1083"/>
      <c r="BA115" s="1083"/>
      <c r="BB115" s="1083"/>
      <c r="BC115" s="1083"/>
      <c r="BD115" s="1083"/>
      <c r="BE115" s="1083"/>
      <c r="BF115" s="1083"/>
      <c r="BG115" s="1083"/>
      <c r="BH115" s="1083"/>
      <c r="BI115" s="1083"/>
      <c r="BJ115" s="1083"/>
      <c r="BK115" s="1083"/>
      <c r="BL115" s="1083"/>
      <c r="BM115" s="1083"/>
      <c r="BN115" s="1083"/>
      <c r="BO115" s="1083"/>
      <c r="BP115" s="1083"/>
      <c r="BQ115" s="1083"/>
      <c r="BR115" s="1083"/>
      <c r="BS115" s="1083"/>
      <c r="BT115" s="1083"/>
      <c r="BU115" s="1083"/>
    </row>
    <row r="116" spans="1:73" x14ac:dyDescent="0.25">
      <c r="A116" s="1083"/>
      <c r="B116" s="1085"/>
      <c r="C116" s="1087"/>
      <c r="D116" s="1087"/>
      <c r="E116" s="1087"/>
      <c r="F116" s="1087"/>
      <c r="G116" s="1087"/>
      <c r="H116" s="1100">
        <f t="shared" ref="H116:S116" ca="1" si="49">OFFSET(H$76,MATCH($C115,$N$101:$N$107,0)*3-2,0)</f>
        <v>0.32878849896563644</v>
      </c>
      <c r="I116" s="1100">
        <f t="shared" ca="1" si="49"/>
        <v>0.23285979484018343</v>
      </c>
      <c r="J116" s="1100">
        <f t="shared" ca="1" si="49"/>
        <v>1.2894250535825194E-2</v>
      </c>
      <c r="K116" s="1100">
        <f t="shared" ca="1" si="49"/>
        <v>1.5082885694362189E-3</v>
      </c>
      <c r="L116" s="1100">
        <f t="shared" ca="1" si="49"/>
        <v>3.4567409428882508E-3</v>
      </c>
      <c r="M116" s="1100">
        <f t="shared" ca="1" si="49"/>
        <v>0.3477257845340902</v>
      </c>
      <c r="N116" s="1100">
        <f t="shared" ca="1" si="49"/>
        <v>0.40269372654596958</v>
      </c>
      <c r="O116" s="1100">
        <f t="shared" ca="1" si="49"/>
        <v>0</v>
      </c>
      <c r="P116" s="1100">
        <f t="shared" ca="1" si="49"/>
        <v>0.19459846963289612</v>
      </c>
      <c r="Q116" s="1100">
        <f t="shared" ca="1" si="49"/>
        <v>0.20943079936688319</v>
      </c>
      <c r="R116" s="1100">
        <f t="shared" ca="1" si="49"/>
        <v>5.135861896711829E-2</v>
      </c>
      <c r="S116" s="1100">
        <f t="shared" ca="1" si="49"/>
        <v>9.408109332196244E-3</v>
      </c>
      <c r="T116" s="1083"/>
      <c r="U116" s="1083"/>
      <c r="V116" s="1083"/>
      <c r="W116" s="1083"/>
      <c r="X116" s="1083"/>
      <c r="Y116" s="1083"/>
      <c r="Z116" s="1083"/>
      <c r="AA116" s="1083"/>
      <c r="AB116" s="1083"/>
      <c r="AC116" s="1083"/>
      <c r="AD116" s="1083"/>
      <c r="AE116" s="1083"/>
      <c r="AF116" s="1083"/>
      <c r="AG116" s="1083"/>
      <c r="AH116" s="1083"/>
      <c r="AI116" s="1083"/>
      <c r="AJ116" s="1083"/>
      <c r="AK116" s="1083"/>
      <c r="AL116" s="1083"/>
      <c r="AM116" s="1083"/>
      <c r="AN116" s="1083"/>
      <c r="AO116" s="1083"/>
      <c r="AP116" s="1083"/>
      <c r="AQ116" s="1083"/>
      <c r="AR116" s="1083"/>
      <c r="AS116" s="1083"/>
      <c r="AT116" s="1083"/>
      <c r="AU116" s="1083"/>
      <c r="AV116" s="1083"/>
      <c r="AW116" s="1083"/>
      <c r="AX116" s="1083"/>
      <c r="AY116" s="1083"/>
      <c r="AZ116" s="1083"/>
      <c r="BA116" s="1083"/>
      <c r="BB116" s="1083"/>
      <c r="BC116" s="1083"/>
      <c r="BD116" s="1083"/>
      <c r="BE116" s="1083"/>
      <c r="BF116" s="1083"/>
      <c r="BG116" s="1083"/>
      <c r="BH116" s="1083"/>
      <c r="BI116" s="1083"/>
      <c r="BJ116" s="1083"/>
      <c r="BK116" s="1083"/>
      <c r="BL116" s="1083"/>
      <c r="BM116" s="1083"/>
      <c r="BN116" s="1083"/>
      <c r="BO116" s="1083"/>
      <c r="BP116" s="1083"/>
      <c r="BQ116" s="1083"/>
      <c r="BR116" s="1083"/>
      <c r="BS116" s="1083"/>
      <c r="BT116" s="1083"/>
      <c r="BU116" s="1083"/>
    </row>
    <row r="117" spans="1:73" x14ac:dyDescent="0.25">
      <c r="A117" s="1083"/>
      <c r="B117" s="1085"/>
      <c r="C117" s="1107">
        <v>1</v>
      </c>
      <c r="D117" s="1087" t="str">
        <f t="shared" ref="D117:G117" ca="1" si="50">OFFSET(D$76,MATCH($C117,$N$101:$N$107,0)*3,0)</f>
        <v>Operating Capacity Factor = 85.5%</v>
      </c>
      <c r="E117" s="1100">
        <f t="shared" ca="1" si="50"/>
        <v>1.9123888153652373</v>
      </c>
      <c r="F117" s="1100">
        <f t="shared" ca="1" si="50"/>
        <v>0</v>
      </c>
      <c r="G117" s="1100">
        <f t="shared" ca="1" si="50"/>
        <v>3.8281235444443278E-3</v>
      </c>
      <c r="H117" s="1087"/>
      <c r="I117" s="1087"/>
      <c r="J117" s="1087"/>
      <c r="K117" s="1087"/>
      <c r="L117" s="1087"/>
      <c r="M117" s="1087"/>
      <c r="N117" s="1087"/>
      <c r="O117" s="1087"/>
      <c r="P117" s="1087"/>
      <c r="Q117" s="1087"/>
      <c r="R117" s="1087"/>
      <c r="S117" s="1087"/>
      <c r="T117" s="1083"/>
      <c r="U117" s="1083"/>
      <c r="V117" s="1083"/>
      <c r="W117" s="1083"/>
      <c r="X117" s="1083"/>
      <c r="Y117" s="1083"/>
      <c r="Z117" s="1083"/>
      <c r="AA117" s="1083"/>
      <c r="AB117" s="1083"/>
      <c r="AC117" s="1083"/>
      <c r="AD117" s="1083"/>
      <c r="AE117" s="1083"/>
      <c r="AF117" s="1083"/>
      <c r="AG117" s="1083"/>
      <c r="AH117" s="1083"/>
      <c r="AI117" s="1083"/>
      <c r="AJ117" s="1083"/>
      <c r="AK117" s="1083"/>
      <c r="AL117" s="1083"/>
      <c r="AM117" s="1083"/>
      <c r="AN117" s="1083"/>
      <c r="AO117" s="1083"/>
      <c r="AP117" s="1083"/>
      <c r="AQ117" s="1083"/>
      <c r="AR117" s="1083"/>
      <c r="AS117" s="1083"/>
      <c r="AT117" s="1083"/>
      <c r="AU117" s="1083"/>
      <c r="AV117" s="1083"/>
      <c r="AW117" s="1083"/>
      <c r="AX117" s="1083"/>
      <c r="AY117" s="1083"/>
      <c r="AZ117" s="1083"/>
      <c r="BA117" s="1083"/>
      <c r="BB117" s="1083"/>
      <c r="BC117" s="1083"/>
      <c r="BD117" s="1083"/>
      <c r="BE117" s="1083"/>
      <c r="BF117" s="1083"/>
      <c r="BG117" s="1083"/>
      <c r="BH117" s="1083"/>
      <c r="BI117" s="1083"/>
      <c r="BJ117" s="1083"/>
      <c r="BK117" s="1083"/>
      <c r="BL117" s="1083"/>
      <c r="BM117" s="1083"/>
      <c r="BN117" s="1083"/>
      <c r="BO117" s="1083"/>
      <c r="BP117" s="1083"/>
      <c r="BQ117" s="1083"/>
      <c r="BR117" s="1083"/>
      <c r="BS117" s="1083"/>
      <c r="BT117" s="1083"/>
      <c r="BU117" s="1083"/>
    </row>
    <row r="118" spans="1:73" x14ac:dyDescent="0.25">
      <c r="A118" s="1083"/>
      <c r="B118" s="1085"/>
      <c r="C118" s="1107"/>
      <c r="D118" s="1087"/>
      <c r="E118" s="1100"/>
      <c r="F118" s="1100"/>
      <c r="G118" s="1100"/>
      <c r="H118" s="1100">
        <f t="shared" ref="H118:S118" ca="1" si="51">OFFSET(H$76,MATCH($C117,$N$101:$N$107,0)*3,0)</f>
        <v>0.36348686596117197</v>
      </c>
      <c r="I118" s="1100">
        <f t="shared" ca="1" si="51"/>
        <v>0.24498110262090883</v>
      </c>
      <c r="J118" s="1100">
        <f t="shared" ca="1" si="51"/>
        <v>1.3541020100559742E-2</v>
      </c>
      <c r="K118" s="1100">
        <f t="shared" ca="1" si="51"/>
        <v>1.6670557872716101E-3</v>
      </c>
      <c r="L118" s="1100">
        <f t="shared" ca="1" si="51"/>
        <v>3.8215446578058021E-3</v>
      </c>
      <c r="M118" s="1100">
        <f t="shared" ca="1" si="51"/>
        <v>0.38437519334821513</v>
      </c>
      <c r="N118" s="1100">
        <f t="shared" ca="1" si="51"/>
        <v>0.40269372654596919</v>
      </c>
      <c r="O118" s="1100">
        <f t="shared" ca="1" si="51"/>
        <v>0</v>
      </c>
      <c r="P118" s="1100">
        <f t="shared" ca="1" si="51"/>
        <v>0.20534584040177384</v>
      </c>
      <c r="Q118" s="1100">
        <f t="shared" ca="1" si="51"/>
        <v>0.23153287033184108</v>
      </c>
      <c r="R118" s="1100">
        <f t="shared" ca="1" si="51"/>
        <v>5.4370734367473479E-2</v>
      </c>
      <c r="S118" s="1100">
        <f t="shared" ca="1" si="51"/>
        <v>1.0400984786689519E-2</v>
      </c>
      <c r="T118" s="1083"/>
      <c r="U118" s="1083"/>
      <c r="V118" s="1083"/>
      <c r="W118" s="1083"/>
      <c r="X118" s="1083"/>
      <c r="Y118" s="1083"/>
      <c r="Z118" s="1083"/>
      <c r="AA118" s="1083"/>
      <c r="AB118" s="1083"/>
      <c r="AC118" s="1083"/>
      <c r="AD118" s="1083"/>
      <c r="AE118" s="1083"/>
      <c r="AF118" s="1083"/>
      <c r="AG118" s="1083"/>
      <c r="AH118" s="1083"/>
      <c r="AI118" s="1083"/>
      <c r="AJ118" s="1083"/>
      <c r="AK118" s="1083"/>
      <c r="AL118" s="1083"/>
      <c r="AM118" s="1083"/>
      <c r="AN118" s="1083"/>
      <c r="AO118" s="1083"/>
      <c r="AP118" s="1083"/>
      <c r="AQ118" s="1083"/>
      <c r="AR118" s="1083"/>
      <c r="AS118" s="1083"/>
      <c r="AT118" s="1083"/>
      <c r="AU118" s="1083"/>
      <c r="AV118" s="1083"/>
      <c r="AW118" s="1083"/>
      <c r="AX118" s="1083"/>
      <c r="AY118" s="1083"/>
      <c r="AZ118" s="1083"/>
      <c r="BA118" s="1083"/>
      <c r="BB118" s="1083"/>
      <c r="BC118" s="1083"/>
      <c r="BD118" s="1083"/>
      <c r="BE118" s="1083"/>
      <c r="BF118" s="1083"/>
      <c r="BG118" s="1083"/>
      <c r="BH118" s="1083"/>
      <c r="BI118" s="1083"/>
      <c r="BJ118" s="1083"/>
      <c r="BK118" s="1083"/>
      <c r="BL118" s="1083"/>
      <c r="BM118" s="1083"/>
      <c r="BN118" s="1083"/>
      <c r="BO118" s="1083"/>
      <c r="BP118" s="1083"/>
      <c r="BQ118" s="1083"/>
      <c r="BR118" s="1083"/>
      <c r="BS118" s="1083"/>
      <c r="BT118" s="1083"/>
      <c r="BU118" s="1083"/>
    </row>
    <row r="119" spans="1:73" x14ac:dyDescent="0.25">
      <c r="A119" s="1083"/>
      <c r="B119" s="1085"/>
      <c r="C119" s="1107"/>
      <c r="D119" s="1087"/>
      <c r="E119" s="1100"/>
      <c r="F119" s="1100"/>
      <c r="G119" s="1100"/>
      <c r="H119" s="1100"/>
      <c r="I119" s="1100"/>
      <c r="J119" s="1100"/>
      <c r="K119" s="1100"/>
      <c r="L119" s="1100"/>
      <c r="M119" s="1100"/>
      <c r="N119" s="1100"/>
      <c r="O119" s="1100"/>
      <c r="P119" s="1100"/>
      <c r="Q119" s="1100"/>
      <c r="R119" s="1100"/>
      <c r="S119" s="1100"/>
      <c r="T119" s="1083"/>
      <c r="U119" s="1083"/>
      <c r="V119" s="1083"/>
      <c r="W119" s="1083"/>
      <c r="X119" s="1083"/>
      <c r="Y119" s="1083"/>
      <c r="Z119" s="1083"/>
      <c r="AA119" s="1083"/>
      <c r="AB119" s="1083"/>
      <c r="AC119" s="1083"/>
      <c r="AD119" s="1083"/>
      <c r="AE119" s="1083"/>
      <c r="AF119" s="1083"/>
      <c r="AG119" s="1083"/>
      <c r="AH119" s="1083"/>
      <c r="AI119" s="1083"/>
      <c r="AJ119" s="1083"/>
      <c r="AK119" s="1083"/>
      <c r="AL119" s="1083"/>
      <c r="AM119" s="1083"/>
      <c r="AN119" s="1083"/>
      <c r="AO119" s="1083"/>
      <c r="AP119" s="1083"/>
      <c r="AQ119" s="1083"/>
      <c r="AR119" s="1083"/>
      <c r="AS119" s="1083"/>
      <c r="AT119" s="1083"/>
      <c r="AU119" s="1083"/>
      <c r="AV119" s="1083"/>
      <c r="AW119" s="1083"/>
      <c r="AX119" s="1083"/>
      <c r="AY119" s="1083"/>
      <c r="AZ119" s="1083"/>
      <c r="BA119" s="1083"/>
      <c r="BB119" s="1083"/>
      <c r="BC119" s="1083"/>
      <c r="BD119" s="1083"/>
      <c r="BE119" s="1083"/>
      <c r="BF119" s="1083"/>
      <c r="BG119" s="1083"/>
      <c r="BH119" s="1083"/>
      <c r="BI119" s="1083"/>
      <c r="BJ119" s="1083"/>
      <c r="BK119" s="1083"/>
      <c r="BL119" s="1083"/>
      <c r="BM119" s="1083"/>
      <c r="BN119" s="1083"/>
      <c r="BO119" s="1083"/>
      <c r="BP119" s="1083"/>
      <c r="BQ119" s="1083"/>
      <c r="BR119" s="1083"/>
      <c r="BS119" s="1083"/>
      <c r="BT119" s="1083"/>
      <c r="BU119" s="1083"/>
    </row>
    <row r="120" spans="1:73" x14ac:dyDescent="0.25">
      <c r="A120" s="1083"/>
      <c r="B120" s="1083"/>
      <c r="C120" s="1107">
        <v>2</v>
      </c>
      <c r="D120" s="1087" t="str">
        <f t="shared" ref="D120:G120" ca="1" si="52">OFFSET(D$76,MATCH($C120,$N$101:$N$107,0)*3-2,0)</f>
        <v>Total Capital Investment = $1,678,913K</v>
      </c>
      <c r="E120" s="1100">
        <f t="shared" ca="1" si="52"/>
        <v>1.8108135720598462</v>
      </c>
      <c r="F120" s="1100">
        <f t="shared" ca="1" si="52"/>
        <v>0</v>
      </c>
      <c r="G120" s="1100">
        <f t="shared" ca="1" si="52"/>
        <v>3.4552269559650932E-3</v>
      </c>
      <c r="H120" s="1100"/>
      <c r="I120" s="1100"/>
      <c r="J120" s="1100"/>
      <c r="K120" s="1100"/>
      <c r="L120" s="1100"/>
      <c r="M120" s="1100"/>
      <c r="N120" s="1100"/>
      <c r="O120" s="1100"/>
      <c r="P120" s="1100"/>
      <c r="Q120" s="1100"/>
      <c r="R120" s="1100"/>
      <c r="S120" s="1100"/>
      <c r="T120" s="1083"/>
      <c r="U120" s="1083"/>
      <c r="V120" s="1083"/>
      <c r="W120" s="1083"/>
      <c r="X120" s="1083"/>
      <c r="Y120" s="1083"/>
      <c r="Z120" s="1083"/>
      <c r="AA120" s="1083"/>
      <c r="AB120" s="1083"/>
      <c r="AC120" s="1083"/>
      <c r="AD120" s="1083"/>
      <c r="AE120" s="1083"/>
      <c r="AF120" s="1083"/>
      <c r="AG120" s="1083"/>
      <c r="AH120" s="1083"/>
      <c r="AI120" s="1083"/>
      <c r="AJ120" s="1083"/>
      <c r="AK120" s="1083"/>
      <c r="AL120" s="1083"/>
      <c r="AM120" s="1083"/>
      <c r="AN120" s="1083"/>
      <c r="AO120" s="1083"/>
      <c r="AP120" s="1083"/>
      <c r="AQ120" s="1083"/>
      <c r="AR120" s="1083"/>
      <c r="AS120" s="1083"/>
      <c r="AT120" s="1083"/>
      <c r="AU120" s="1083"/>
      <c r="AV120" s="1083"/>
      <c r="AW120" s="1083"/>
      <c r="AX120" s="1083"/>
      <c r="AY120" s="1083"/>
      <c r="AZ120" s="1083"/>
      <c r="BA120" s="1083"/>
      <c r="BB120" s="1083"/>
      <c r="BC120" s="1083"/>
      <c r="BD120" s="1083"/>
      <c r="BE120" s="1083"/>
      <c r="BF120" s="1083"/>
      <c r="BG120" s="1083"/>
      <c r="BH120" s="1083"/>
      <c r="BI120" s="1083"/>
      <c r="BJ120" s="1083"/>
      <c r="BK120" s="1083"/>
      <c r="BL120" s="1083"/>
      <c r="BM120" s="1083"/>
      <c r="BN120" s="1083"/>
      <c r="BO120" s="1083"/>
      <c r="BP120" s="1083"/>
      <c r="BQ120" s="1083"/>
      <c r="BR120" s="1083"/>
      <c r="BS120" s="1083"/>
      <c r="BT120" s="1083"/>
      <c r="BU120" s="1083"/>
    </row>
    <row r="121" spans="1:73" x14ac:dyDescent="0.25">
      <c r="A121" s="1083"/>
      <c r="B121" s="1083"/>
      <c r="C121" s="1107"/>
      <c r="D121" s="1087"/>
      <c r="E121" s="1100"/>
      <c r="F121" s="1100"/>
      <c r="G121" s="1100"/>
      <c r="H121" s="1100">
        <f t="shared" ref="H121:S121" ca="1" si="53">OFFSET(H$76,MATCH($C120,$N$101:$N$107,0)*3-2,0)</f>
        <v>0.32805003152485851</v>
      </c>
      <c r="I121" s="1100">
        <f t="shared" ca="1" si="53"/>
        <v>0.23874163416600355</v>
      </c>
      <c r="J121" s="1100">
        <f t="shared" ca="1" si="53"/>
        <v>1.3079073382472951E-2</v>
      </c>
      <c r="K121" s="1100">
        <f t="shared" ca="1" si="53"/>
        <v>1.5837029979080296E-3</v>
      </c>
      <c r="L121" s="1100">
        <f t="shared" ca="1" si="53"/>
        <v>3.4489770136584934E-3</v>
      </c>
      <c r="M121" s="1100">
        <f t="shared" ca="1" si="53"/>
        <v>0.35610473098605999</v>
      </c>
      <c r="N121" s="1100">
        <f t="shared" ca="1" si="53"/>
        <v>0.40269372654596947</v>
      </c>
      <c r="O121" s="1100">
        <f t="shared" ca="1" si="53"/>
        <v>0</v>
      </c>
      <c r="P121" s="1100">
        <f t="shared" ca="1" si="53"/>
        <v>0.19976377164187348</v>
      </c>
      <c r="Q121" s="1100">
        <f t="shared" ca="1" si="53"/>
        <v>0.2089604123949694</v>
      </c>
      <c r="R121" s="1100">
        <f t="shared" ca="1" si="53"/>
        <v>5.2455759885823745E-2</v>
      </c>
      <c r="S121" s="1100">
        <f t="shared" ca="1" si="53"/>
        <v>9.3869784762114303E-3</v>
      </c>
      <c r="T121" s="1083"/>
      <c r="U121" s="1083"/>
      <c r="V121" s="1083"/>
      <c r="W121" s="1083"/>
      <c r="X121" s="1083"/>
      <c r="Y121" s="1083"/>
      <c r="Z121" s="1083"/>
      <c r="AA121" s="1083"/>
      <c r="AB121" s="1083"/>
      <c r="AC121" s="1083"/>
      <c r="AD121" s="1083"/>
      <c r="AE121" s="1083"/>
      <c r="AF121" s="1083"/>
      <c r="AG121" s="1083"/>
      <c r="AH121" s="1083"/>
      <c r="AI121" s="1083"/>
      <c r="AJ121" s="1083"/>
      <c r="AK121" s="1083"/>
      <c r="AL121" s="1083"/>
      <c r="AM121" s="1083"/>
      <c r="AN121" s="1083"/>
      <c r="AO121" s="1083"/>
      <c r="AP121" s="1083"/>
      <c r="AQ121" s="1083"/>
      <c r="AR121" s="1083"/>
      <c r="AS121" s="1083"/>
      <c r="AT121" s="1083"/>
      <c r="AU121" s="1083"/>
      <c r="AV121" s="1083"/>
      <c r="AW121" s="1083"/>
      <c r="AX121" s="1083"/>
      <c r="AY121" s="1083"/>
      <c r="AZ121" s="1083"/>
      <c r="BA121" s="1083"/>
      <c r="BB121" s="1083"/>
      <c r="BC121" s="1083"/>
      <c r="BD121" s="1083"/>
      <c r="BE121" s="1083"/>
      <c r="BF121" s="1083"/>
      <c r="BG121" s="1083"/>
      <c r="BH121" s="1083"/>
      <c r="BI121" s="1083"/>
      <c r="BJ121" s="1083"/>
      <c r="BK121" s="1083"/>
      <c r="BL121" s="1083"/>
      <c r="BM121" s="1083"/>
      <c r="BN121" s="1083"/>
      <c r="BO121" s="1083"/>
      <c r="BP121" s="1083"/>
      <c r="BQ121" s="1083"/>
      <c r="BR121" s="1083"/>
      <c r="BS121" s="1083"/>
      <c r="BT121" s="1083"/>
      <c r="BU121" s="1083"/>
    </row>
    <row r="122" spans="1:73" x14ac:dyDescent="0.25">
      <c r="A122" s="1083"/>
      <c r="B122" s="1083"/>
      <c r="C122" s="1107">
        <v>2</v>
      </c>
      <c r="D122" s="1087" t="str">
        <f t="shared" ref="D122:G122" ca="1" si="54">OFFSET(D$76,MATCH($C122,$N$101:$N$107,0)*3,0)</f>
        <v>Total Capital Investment = $1,855,641K</v>
      </c>
      <c r="E122" s="1100">
        <f t="shared" ca="1" si="54"/>
        <v>1.8875345938715946</v>
      </c>
      <c r="F122" s="1100">
        <f t="shared" ca="1" si="54"/>
        <v>0</v>
      </c>
      <c r="G122" s="1100">
        <f t="shared" ca="1" si="54"/>
        <v>3.8189350565929979E-3</v>
      </c>
      <c r="H122" s="1100"/>
      <c r="I122" s="1100"/>
      <c r="J122" s="1100"/>
      <c r="K122" s="1100"/>
      <c r="L122" s="1100"/>
      <c r="M122" s="1100"/>
      <c r="N122" s="1100"/>
      <c r="O122" s="1100"/>
      <c r="P122" s="1100"/>
      <c r="Q122" s="1100"/>
      <c r="R122" s="1100"/>
      <c r="S122" s="1100"/>
      <c r="T122" s="1083"/>
      <c r="U122" s="1083"/>
      <c r="V122" s="1083"/>
      <c r="W122" s="1083"/>
      <c r="X122" s="1083"/>
      <c r="Y122" s="1083"/>
      <c r="Z122" s="1083"/>
      <c r="AA122" s="1083"/>
      <c r="AB122" s="1083"/>
      <c r="AC122" s="1083"/>
      <c r="AD122" s="1083"/>
      <c r="AE122" s="1083"/>
      <c r="AF122" s="1083"/>
      <c r="AG122" s="1083"/>
      <c r="AH122" s="1083"/>
      <c r="AI122" s="1083"/>
      <c r="AJ122" s="1083"/>
      <c r="AK122" s="1083"/>
      <c r="AL122" s="1083"/>
      <c r="AM122" s="1083"/>
      <c r="AN122" s="1083"/>
      <c r="AO122" s="1083"/>
      <c r="AP122" s="1083"/>
      <c r="AQ122" s="1083"/>
      <c r="AR122" s="1083"/>
      <c r="AS122" s="1083"/>
      <c r="AT122" s="1083"/>
      <c r="AU122" s="1083"/>
      <c r="AV122" s="1083"/>
      <c r="AW122" s="1083"/>
      <c r="AX122" s="1083"/>
      <c r="AY122" s="1083"/>
      <c r="AZ122" s="1083"/>
      <c r="BA122" s="1083"/>
      <c r="BB122" s="1083"/>
      <c r="BC122" s="1083"/>
      <c r="BD122" s="1083"/>
      <c r="BE122" s="1083"/>
      <c r="BF122" s="1083"/>
      <c r="BG122" s="1083"/>
      <c r="BH122" s="1083"/>
      <c r="BI122" s="1083"/>
      <c r="BJ122" s="1083"/>
      <c r="BK122" s="1083"/>
      <c r="BL122" s="1083"/>
      <c r="BM122" s="1083"/>
      <c r="BN122" s="1083"/>
      <c r="BO122" s="1083"/>
      <c r="BP122" s="1083"/>
      <c r="BQ122" s="1083"/>
      <c r="BR122" s="1083"/>
      <c r="BS122" s="1083"/>
      <c r="BT122" s="1083"/>
      <c r="BU122" s="1083"/>
    </row>
    <row r="123" spans="1:73" x14ac:dyDescent="0.25">
      <c r="A123" s="1083"/>
      <c r="B123" s="1083"/>
      <c r="C123" s="1107"/>
      <c r="D123" s="1087"/>
      <c r="E123" s="1100"/>
      <c r="F123" s="1100"/>
      <c r="G123" s="1100"/>
      <c r="H123" s="1100">
        <f t="shared" ref="H123:S123" ca="1" si="55">OFFSET(H$76,MATCH($C122,$N$101:$N$107,0)*3,0)</f>
        <v>0.36264418898207745</v>
      </c>
      <c r="I123" s="1100">
        <f t="shared" ca="1" si="55"/>
        <v>0.23874163416600355</v>
      </c>
      <c r="J123" s="1100">
        <f t="shared" ca="1" si="55"/>
        <v>1.3326604789987238E-2</v>
      </c>
      <c r="K123" s="1100">
        <f t="shared" ca="1" si="55"/>
        <v>1.5837029979080296E-3</v>
      </c>
      <c r="L123" s="1100">
        <f t="shared" ca="1" si="55"/>
        <v>3.8126851142863982E-3</v>
      </c>
      <c r="M123" s="1100">
        <f t="shared" ca="1" si="55"/>
        <v>0.37424440884425642</v>
      </c>
      <c r="N123" s="1100">
        <f t="shared" ca="1" si="55"/>
        <v>0.40269372654596947</v>
      </c>
      <c r="O123" s="1100">
        <f t="shared" ca="1" si="55"/>
        <v>0</v>
      </c>
      <c r="P123" s="1100">
        <f t="shared" ca="1" si="55"/>
        <v>0.19976377164187348</v>
      </c>
      <c r="Q123" s="1100">
        <f t="shared" ca="1" si="55"/>
        <v>0.23099610425305483</v>
      </c>
      <c r="R123" s="1100">
        <f t="shared" ca="1" si="55"/>
        <v>5.3169829562991718E-2</v>
      </c>
      <c r="S123" s="1100">
        <f t="shared" ca="1" si="55"/>
        <v>1.0376872029777436E-2</v>
      </c>
      <c r="T123" s="1083"/>
      <c r="U123" s="1083"/>
      <c r="V123" s="1083"/>
      <c r="W123" s="1083"/>
      <c r="X123" s="1083"/>
      <c r="Y123" s="1083"/>
      <c r="Z123" s="1083"/>
      <c r="AA123" s="1083"/>
      <c r="AB123" s="1083"/>
      <c r="AC123" s="1083"/>
      <c r="AD123" s="1083"/>
      <c r="AE123" s="1083"/>
      <c r="AF123" s="1083"/>
      <c r="AG123" s="1083"/>
      <c r="AH123" s="1083"/>
      <c r="AI123" s="1083"/>
      <c r="AJ123" s="1083"/>
      <c r="AK123" s="1083"/>
      <c r="AL123" s="1083"/>
      <c r="AM123" s="1083"/>
      <c r="AN123" s="1083"/>
      <c r="AO123" s="1083"/>
      <c r="AP123" s="1083"/>
      <c r="AQ123" s="1083"/>
      <c r="AR123" s="1083"/>
      <c r="AS123" s="1083"/>
      <c r="AT123" s="1083"/>
      <c r="AU123" s="1083"/>
      <c r="AV123" s="1083"/>
      <c r="AW123" s="1083"/>
      <c r="AX123" s="1083"/>
      <c r="AY123" s="1083"/>
      <c r="AZ123" s="1083"/>
      <c r="BA123" s="1083"/>
      <c r="BB123" s="1083"/>
      <c r="BC123" s="1083"/>
      <c r="BD123" s="1083"/>
      <c r="BE123" s="1083"/>
      <c r="BF123" s="1083"/>
      <c r="BG123" s="1083"/>
      <c r="BH123" s="1083"/>
      <c r="BI123" s="1083"/>
      <c r="BJ123" s="1083"/>
      <c r="BK123" s="1083"/>
      <c r="BL123" s="1083"/>
      <c r="BM123" s="1083"/>
      <c r="BN123" s="1083"/>
      <c r="BO123" s="1083"/>
      <c r="BP123" s="1083"/>
      <c r="BQ123" s="1083"/>
      <c r="BR123" s="1083"/>
      <c r="BS123" s="1083"/>
      <c r="BT123" s="1083"/>
      <c r="BU123" s="1083"/>
    </row>
    <row r="124" spans="1:73" x14ac:dyDescent="0.25">
      <c r="A124" s="1083"/>
      <c r="B124" s="1083"/>
      <c r="C124" s="1107"/>
      <c r="D124" s="1087"/>
      <c r="E124" s="1100"/>
      <c r="F124" s="1100"/>
      <c r="G124" s="1100"/>
      <c r="H124" s="1100"/>
      <c r="I124" s="1100"/>
      <c r="J124" s="1100"/>
      <c r="K124" s="1100"/>
      <c r="L124" s="1100"/>
      <c r="M124" s="1100"/>
      <c r="N124" s="1100"/>
      <c r="O124" s="1100"/>
      <c r="P124" s="1100"/>
      <c r="Q124" s="1100"/>
      <c r="R124" s="1100"/>
      <c r="S124" s="1100"/>
      <c r="T124" s="1083"/>
      <c r="U124" s="1083"/>
      <c r="V124" s="1083"/>
      <c r="W124" s="1083"/>
      <c r="X124" s="1083"/>
      <c r="Y124" s="1083"/>
      <c r="Z124" s="1083"/>
      <c r="AA124" s="1083"/>
      <c r="AB124" s="1083"/>
      <c r="AC124" s="1083"/>
      <c r="AD124" s="1083"/>
      <c r="AE124" s="1083"/>
      <c r="AF124" s="1083"/>
      <c r="AG124" s="1083"/>
      <c r="AH124" s="1083"/>
      <c r="AI124" s="1083"/>
      <c r="AJ124" s="1083"/>
      <c r="AK124" s="1083"/>
      <c r="AL124" s="1083"/>
      <c r="AM124" s="1083"/>
      <c r="AN124" s="1083"/>
      <c r="AO124" s="1083"/>
      <c r="AP124" s="1083"/>
      <c r="AQ124" s="1083"/>
      <c r="AR124" s="1083"/>
      <c r="AS124" s="1083"/>
      <c r="AT124" s="1083"/>
      <c r="AU124" s="1083"/>
      <c r="AV124" s="1083"/>
      <c r="AW124" s="1083"/>
      <c r="AX124" s="1083"/>
      <c r="AY124" s="1083"/>
      <c r="AZ124" s="1083"/>
      <c r="BA124" s="1083"/>
      <c r="BB124" s="1083"/>
      <c r="BC124" s="1083"/>
      <c r="BD124" s="1083"/>
      <c r="BE124" s="1083"/>
      <c r="BF124" s="1083"/>
      <c r="BG124" s="1083"/>
      <c r="BH124" s="1083"/>
      <c r="BI124" s="1083"/>
      <c r="BJ124" s="1083"/>
      <c r="BK124" s="1083"/>
      <c r="BL124" s="1083"/>
      <c r="BM124" s="1083"/>
      <c r="BN124" s="1083"/>
      <c r="BO124" s="1083"/>
      <c r="BP124" s="1083"/>
      <c r="BQ124" s="1083"/>
      <c r="BR124" s="1083"/>
      <c r="BS124" s="1083"/>
      <c r="BT124" s="1083"/>
      <c r="BU124" s="1083"/>
    </row>
    <row r="125" spans="1:73" x14ac:dyDescent="0.25">
      <c r="A125" s="1083"/>
      <c r="B125" s="1083"/>
      <c r="C125" s="1107">
        <v>3</v>
      </c>
      <c r="D125" s="1087" t="str">
        <f t="shared" ref="D125:G125" ca="1" si="56">OFFSET(D$76,MATCH($C125,$N$101:$N$107,0)*3-2,0)</f>
        <v>Plant Design Capacity (kg of H2/day) = 649,883</v>
      </c>
      <c r="E125" s="1100">
        <f t="shared" ca="1" si="56"/>
        <v>1.8156618367626984</v>
      </c>
      <c r="F125" s="1100">
        <f t="shared" ca="1" si="56"/>
        <v>0</v>
      </c>
      <c r="G125" s="1100">
        <f t="shared" ca="1" si="56"/>
        <v>3.5418784228434153E-3</v>
      </c>
      <c r="H125" s="1100"/>
      <c r="I125" s="1100"/>
      <c r="J125" s="1100"/>
      <c r="K125" s="1100"/>
      <c r="L125" s="1100"/>
      <c r="M125" s="1100"/>
      <c r="N125" s="1100"/>
      <c r="O125" s="1100"/>
      <c r="P125" s="1100"/>
      <c r="Q125" s="1100"/>
      <c r="R125" s="1100"/>
      <c r="S125" s="1100"/>
      <c r="T125" s="1083"/>
      <c r="U125" s="1083"/>
      <c r="V125" s="1083"/>
      <c r="W125" s="1083"/>
      <c r="X125" s="1083"/>
      <c r="Y125" s="1083"/>
      <c r="Z125" s="1083"/>
      <c r="AA125" s="1083"/>
      <c r="AB125" s="1083"/>
      <c r="AC125" s="1083"/>
      <c r="AD125" s="1083"/>
      <c r="AE125" s="1083"/>
      <c r="AF125" s="1083"/>
      <c r="AG125" s="1083"/>
      <c r="AH125" s="1083"/>
      <c r="AI125" s="1083"/>
      <c r="AJ125" s="1083"/>
      <c r="AK125" s="1083"/>
      <c r="AL125" s="1083"/>
      <c r="AM125" s="1083"/>
      <c r="AN125" s="1083"/>
      <c r="AO125" s="1083"/>
      <c r="AP125" s="1083"/>
      <c r="AQ125" s="1083"/>
      <c r="AR125" s="1083"/>
      <c r="AS125" s="1083"/>
      <c r="AT125" s="1083"/>
      <c r="AU125" s="1083"/>
      <c r="AV125" s="1083"/>
      <c r="AW125" s="1083"/>
      <c r="AX125" s="1083"/>
      <c r="AY125" s="1083"/>
      <c r="AZ125" s="1083"/>
      <c r="BA125" s="1083"/>
      <c r="BB125" s="1083"/>
      <c r="BC125" s="1083"/>
      <c r="BD125" s="1083"/>
      <c r="BE125" s="1083"/>
      <c r="BF125" s="1083"/>
      <c r="BG125" s="1083"/>
      <c r="BH125" s="1083"/>
      <c r="BI125" s="1083"/>
      <c r="BJ125" s="1083"/>
      <c r="BK125" s="1083"/>
      <c r="BL125" s="1083"/>
      <c r="BM125" s="1083"/>
      <c r="BN125" s="1083"/>
      <c r="BO125" s="1083"/>
      <c r="BP125" s="1083"/>
      <c r="BQ125" s="1083"/>
      <c r="BR125" s="1083"/>
      <c r="BS125" s="1083"/>
      <c r="BT125" s="1083"/>
      <c r="BU125" s="1083"/>
    </row>
    <row r="126" spans="1:73" x14ac:dyDescent="0.25">
      <c r="A126" s="1083"/>
      <c r="B126" s="1083"/>
      <c r="C126" s="1107"/>
      <c r="D126" s="1087"/>
      <c r="E126" s="1100"/>
      <c r="F126" s="1100"/>
      <c r="G126" s="1100"/>
      <c r="H126" s="1100">
        <f t="shared" ref="H126:S126" ca="1" si="57">OFFSET(H$76,MATCH($C125,$N$101:$N$107,0)*3-2,0)</f>
        <v>0.336303389569654</v>
      </c>
      <c r="I126" s="1100">
        <f t="shared" ca="1" si="57"/>
        <v>0.23388317597847552</v>
      </c>
      <c r="J126" s="1100">
        <f t="shared" ca="1" si="57"/>
        <v>1.3034774516267906E-2</v>
      </c>
      <c r="K126" s="1100">
        <f t="shared" ca="1" si="57"/>
        <v>1.5530949916168176E-3</v>
      </c>
      <c r="L126" s="1100">
        <f t="shared" ca="1" si="57"/>
        <v>3.5357492722974501E-3</v>
      </c>
      <c r="M126" s="1100">
        <f t="shared" ca="1" si="57"/>
        <v>0.35544319217040965</v>
      </c>
      <c r="N126" s="1100">
        <f t="shared" ca="1" si="57"/>
        <v>0.40269372654596958</v>
      </c>
      <c r="O126" s="1100">
        <f t="shared" ca="1" si="57"/>
        <v>0</v>
      </c>
      <c r="P126" s="1100">
        <f t="shared" ca="1" si="57"/>
        <v>0.19717898645868709</v>
      </c>
      <c r="Q126" s="1100">
        <f t="shared" ca="1" si="57"/>
        <v>0.21421761384277091</v>
      </c>
      <c r="R126" s="1100">
        <f t="shared" ca="1" si="57"/>
        <v>5.1736867879631374E-2</v>
      </c>
      <c r="S126" s="1100">
        <f t="shared" ca="1" si="57"/>
        <v>9.6231439597592987E-3</v>
      </c>
      <c r="T126" s="1083"/>
      <c r="U126" s="1083"/>
      <c r="V126" s="1083"/>
      <c r="W126" s="1083"/>
      <c r="X126" s="1083"/>
      <c r="Y126" s="1083"/>
      <c r="Z126" s="1083"/>
      <c r="AA126" s="1083"/>
      <c r="AB126" s="1083"/>
      <c r="AC126" s="1083"/>
      <c r="AD126" s="1083"/>
      <c r="AE126" s="1083"/>
      <c r="AF126" s="1083"/>
      <c r="AG126" s="1083"/>
      <c r="AH126" s="1083"/>
      <c r="AI126" s="1083"/>
      <c r="AJ126" s="1083"/>
      <c r="AK126" s="1083"/>
      <c r="AL126" s="1083"/>
      <c r="AM126" s="1083"/>
      <c r="AN126" s="1083"/>
      <c r="AO126" s="1083"/>
      <c r="AP126" s="1083"/>
      <c r="AQ126" s="1083"/>
      <c r="AR126" s="1083"/>
      <c r="AS126" s="1083"/>
      <c r="AT126" s="1083"/>
      <c r="AU126" s="1083"/>
      <c r="AV126" s="1083"/>
      <c r="AW126" s="1083"/>
      <c r="AX126" s="1083"/>
      <c r="AY126" s="1083"/>
      <c r="AZ126" s="1083"/>
      <c r="BA126" s="1083"/>
      <c r="BB126" s="1083"/>
      <c r="BC126" s="1083"/>
      <c r="BD126" s="1083"/>
      <c r="BE126" s="1083"/>
      <c r="BF126" s="1083"/>
      <c r="BG126" s="1083"/>
      <c r="BH126" s="1083"/>
      <c r="BI126" s="1083"/>
      <c r="BJ126" s="1083"/>
      <c r="BK126" s="1083"/>
      <c r="BL126" s="1083"/>
      <c r="BM126" s="1083"/>
      <c r="BN126" s="1083"/>
      <c r="BO126" s="1083"/>
      <c r="BP126" s="1083"/>
      <c r="BQ126" s="1083"/>
      <c r="BR126" s="1083"/>
      <c r="BS126" s="1083"/>
      <c r="BT126" s="1083"/>
      <c r="BU126" s="1083"/>
    </row>
    <row r="127" spans="1:73" x14ac:dyDescent="0.25">
      <c r="A127" s="1083"/>
      <c r="B127" s="1083"/>
      <c r="C127" s="1107">
        <v>3</v>
      </c>
      <c r="D127" s="1087" t="str">
        <f t="shared" ref="D127:G127" ca="1" si="58">OFFSET(D$76,MATCH($C127,$N$101:$N$107,0)*3,0)</f>
        <v>Plant Design Capacity (kg of H2/day) = 587,989</v>
      </c>
      <c r="E127" s="1100">
        <f t="shared" ca="1" si="58"/>
        <v>1.8849687250954414</v>
      </c>
      <c r="F127" s="1100">
        <f t="shared" ca="1" si="58"/>
        <v>0</v>
      </c>
      <c r="G127" s="1100">
        <f t="shared" ca="1" si="58"/>
        <v>3.7388449771865303E-3</v>
      </c>
      <c r="H127" s="1100"/>
      <c r="I127" s="1100"/>
      <c r="J127" s="1100"/>
      <c r="K127" s="1100"/>
      <c r="L127" s="1100"/>
      <c r="M127" s="1100"/>
      <c r="N127" s="1100"/>
      <c r="O127" s="1100"/>
      <c r="P127" s="1100"/>
      <c r="Q127" s="1100"/>
      <c r="R127" s="1100"/>
      <c r="S127" s="1100"/>
      <c r="T127" s="1083"/>
      <c r="U127" s="1083"/>
      <c r="V127" s="1083"/>
      <c r="W127" s="1083"/>
      <c r="X127" s="1083"/>
      <c r="Y127" s="1083"/>
      <c r="Z127" s="1083"/>
      <c r="AA127" s="1083"/>
      <c r="AB127" s="1083"/>
      <c r="AC127" s="1083"/>
      <c r="AD127" s="1083"/>
      <c r="AE127" s="1083"/>
      <c r="AF127" s="1083"/>
      <c r="AG127" s="1083"/>
      <c r="AH127" s="1083"/>
      <c r="AI127" s="1083"/>
      <c r="AJ127" s="1083"/>
      <c r="AK127" s="1083"/>
      <c r="AL127" s="1083"/>
      <c r="AM127" s="1083"/>
      <c r="AN127" s="1083"/>
      <c r="AO127" s="1083"/>
      <c r="AP127" s="1083"/>
      <c r="AQ127" s="1083"/>
      <c r="AR127" s="1083"/>
      <c r="AS127" s="1083"/>
      <c r="AT127" s="1083"/>
      <c r="AU127" s="1083"/>
      <c r="AV127" s="1083"/>
      <c r="AW127" s="1083"/>
      <c r="AX127" s="1083"/>
      <c r="AY127" s="1083"/>
      <c r="AZ127" s="1083"/>
      <c r="BA127" s="1083"/>
      <c r="BB127" s="1083"/>
      <c r="BC127" s="1083"/>
      <c r="BD127" s="1083"/>
      <c r="BE127" s="1083"/>
      <c r="BF127" s="1083"/>
      <c r="BG127" s="1083"/>
      <c r="BH127" s="1083"/>
      <c r="BI127" s="1083"/>
      <c r="BJ127" s="1083"/>
      <c r="BK127" s="1083"/>
      <c r="BL127" s="1083"/>
      <c r="BM127" s="1083"/>
      <c r="BN127" s="1083"/>
      <c r="BO127" s="1083"/>
      <c r="BP127" s="1083"/>
      <c r="BQ127" s="1083"/>
      <c r="BR127" s="1083"/>
      <c r="BS127" s="1083"/>
      <c r="BT127" s="1083"/>
      <c r="BU127" s="1083"/>
    </row>
    <row r="128" spans="1:73" x14ac:dyDescent="0.25">
      <c r="A128" s="1083"/>
      <c r="B128" s="1083"/>
      <c r="C128" s="1107"/>
      <c r="D128" s="1087"/>
      <c r="E128" s="1100"/>
      <c r="F128" s="1100"/>
      <c r="G128" s="1100"/>
      <c r="H128" s="1100">
        <f t="shared" ref="H128:S128" ca="1" si="59">OFFSET(H$76,MATCH($C127,$N$101:$N$107,0)*3,0)</f>
        <v>0.35501408474785112</v>
      </c>
      <c r="I128" s="1100">
        <f t="shared" ca="1" si="59"/>
        <v>0.24382727551423722</v>
      </c>
      <c r="J128" s="1100">
        <f t="shared" ca="1" si="59"/>
        <v>1.3383813052922383E-2</v>
      </c>
      <c r="K128" s="1100">
        <f t="shared" ca="1" si="59"/>
        <v>1.6165319650883042E-3</v>
      </c>
      <c r="L128" s="1100">
        <f t="shared" ca="1" si="59"/>
        <v>3.732465478295689E-3</v>
      </c>
      <c r="M128" s="1100">
        <f t="shared" ca="1" si="59"/>
        <v>0.37570684556305534</v>
      </c>
      <c r="N128" s="1100">
        <f t="shared" ca="1" si="59"/>
        <v>0.40269372654596919</v>
      </c>
      <c r="O128" s="1100">
        <f t="shared" ca="1" si="59"/>
        <v>0</v>
      </c>
      <c r="P128" s="1100">
        <f t="shared" ca="1" si="59"/>
        <v>0.20249368971841056</v>
      </c>
      <c r="Q128" s="1100">
        <f t="shared" ca="1" si="59"/>
        <v>0.22613590131391953</v>
      </c>
      <c r="R128" s="1100">
        <f t="shared" ca="1" si="59"/>
        <v>5.3944695547871048E-2</v>
      </c>
      <c r="S128" s="1100">
        <f t="shared" ca="1" si="59"/>
        <v>1.0158540625006623E-2</v>
      </c>
      <c r="T128" s="1083"/>
      <c r="U128" s="1083"/>
      <c r="V128" s="1083"/>
      <c r="W128" s="1083"/>
      <c r="X128" s="1083"/>
      <c r="Y128" s="1083"/>
      <c r="Z128" s="1083"/>
      <c r="AA128" s="1083"/>
      <c r="AB128" s="1083"/>
      <c r="AC128" s="1083"/>
      <c r="AD128" s="1083"/>
      <c r="AE128" s="1083"/>
      <c r="AF128" s="1083"/>
      <c r="AG128" s="1083"/>
      <c r="AH128" s="1083"/>
      <c r="AI128" s="1083"/>
      <c r="AJ128" s="1083"/>
      <c r="AK128" s="1083"/>
      <c r="AL128" s="1083"/>
      <c r="AM128" s="1083"/>
      <c r="AN128" s="1083"/>
      <c r="AO128" s="1083"/>
      <c r="AP128" s="1083"/>
      <c r="AQ128" s="1083"/>
      <c r="AR128" s="1083"/>
      <c r="AS128" s="1083"/>
      <c r="AT128" s="1083"/>
      <c r="AU128" s="1083"/>
      <c r="AV128" s="1083"/>
      <c r="AW128" s="1083"/>
      <c r="AX128" s="1083"/>
      <c r="AY128" s="1083"/>
      <c r="AZ128" s="1083"/>
      <c r="BA128" s="1083"/>
      <c r="BB128" s="1083"/>
      <c r="BC128" s="1083"/>
      <c r="BD128" s="1083"/>
      <c r="BE128" s="1083"/>
      <c r="BF128" s="1083"/>
      <c r="BG128" s="1083"/>
      <c r="BH128" s="1083"/>
      <c r="BI128" s="1083"/>
      <c r="BJ128" s="1083"/>
      <c r="BK128" s="1083"/>
      <c r="BL128" s="1083"/>
      <c r="BM128" s="1083"/>
      <c r="BN128" s="1083"/>
      <c r="BO128" s="1083"/>
      <c r="BP128" s="1083"/>
      <c r="BQ128" s="1083"/>
      <c r="BR128" s="1083"/>
      <c r="BS128" s="1083"/>
      <c r="BT128" s="1083"/>
      <c r="BU128" s="1083"/>
    </row>
    <row r="129" spans="1:73" x14ac:dyDescent="0.25">
      <c r="A129" s="1083"/>
      <c r="B129" s="1083"/>
      <c r="C129" s="1107"/>
      <c r="D129" s="1087"/>
      <c r="E129" s="1100"/>
      <c r="F129" s="1100"/>
      <c r="G129" s="1100"/>
      <c r="H129" s="1100"/>
      <c r="I129" s="1100"/>
      <c r="J129" s="1100"/>
      <c r="K129" s="1100"/>
      <c r="L129" s="1100"/>
      <c r="M129" s="1100"/>
      <c r="N129" s="1100"/>
      <c r="O129" s="1100"/>
      <c r="P129" s="1100"/>
      <c r="Q129" s="1100"/>
      <c r="R129" s="1100"/>
      <c r="S129" s="1100"/>
      <c r="T129" s="1083"/>
      <c r="U129" s="1083"/>
      <c r="V129" s="1083"/>
      <c r="W129" s="1083"/>
      <c r="X129" s="1083"/>
      <c r="Y129" s="1083"/>
      <c r="Z129" s="1083"/>
      <c r="AA129" s="1083"/>
      <c r="AB129" s="1083"/>
      <c r="AC129" s="1083"/>
      <c r="AD129" s="1083"/>
      <c r="AE129" s="1083"/>
      <c r="AF129" s="1083"/>
      <c r="AG129" s="1083"/>
      <c r="AH129" s="1083"/>
      <c r="AI129" s="1083"/>
      <c r="AJ129" s="1083"/>
      <c r="AK129" s="1083"/>
      <c r="AL129" s="1083"/>
      <c r="AM129" s="1083"/>
      <c r="AN129" s="1083"/>
      <c r="AO129" s="1083"/>
      <c r="AP129" s="1083"/>
      <c r="AQ129" s="1083"/>
      <c r="AR129" s="1083"/>
      <c r="AS129" s="1083"/>
      <c r="AT129" s="1083"/>
      <c r="AU129" s="1083"/>
      <c r="AV129" s="1083"/>
      <c r="AW129" s="1083"/>
      <c r="AX129" s="1083"/>
      <c r="AY129" s="1083"/>
      <c r="AZ129" s="1083"/>
      <c r="BA129" s="1083"/>
      <c r="BB129" s="1083"/>
      <c r="BC129" s="1083"/>
      <c r="BD129" s="1083"/>
      <c r="BE129" s="1083"/>
      <c r="BF129" s="1083"/>
      <c r="BG129" s="1083"/>
      <c r="BH129" s="1083"/>
      <c r="BI129" s="1083"/>
      <c r="BJ129" s="1083"/>
      <c r="BK129" s="1083"/>
      <c r="BL129" s="1083"/>
      <c r="BM129" s="1083"/>
      <c r="BN129" s="1083"/>
      <c r="BO129" s="1083"/>
      <c r="BP129" s="1083"/>
      <c r="BQ129" s="1083"/>
      <c r="BR129" s="1083"/>
      <c r="BS129" s="1083"/>
      <c r="BT129" s="1083"/>
      <c r="BU129" s="1083"/>
    </row>
    <row r="130" spans="1:73" x14ac:dyDescent="0.25">
      <c r="A130" s="1083"/>
      <c r="B130" s="1083"/>
      <c r="C130" s="1107">
        <v>4</v>
      </c>
      <c r="D130" s="1087" t="str">
        <f t="shared" ref="D130:G130" ca="1" si="60">OFFSET(D$76,MATCH($C130,$N$101:$N$107,0)*3-2,0)</f>
        <v>Feedstock Consumption (% of baseline) = 95%</v>
      </c>
      <c r="E130" s="1100">
        <f t="shared" ca="1" si="60"/>
        <v>1.8169845479284283</v>
      </c>
      <c r="F130" s="1100">
        <f t="shared" ca="1" si="60"/>
        <v>0</v>
      </c>
      <c r="G130" s="1100">
        <f t="shared" ca="1" si="60"/>
        <v>3.6362098602220794E-3</v>
      </c>
      <c r="H130" s="1100"/>
      <c r="I130" s="1100"/>
      <c r="J130" s="1100"/>
      <c r="K130" s="1100"/>
      <c r="L130" s="1100"/>
      <c r="M130" s="1100"/>
      <c r="N130" s="1100"/>
      <c r="O130" s="1100"/>
      <c r="P130" s="1100"/>
      <c r="Q130" s="1100"/>
      <c r="R130" s="1100"/>
      <c r="S130" s="1100"/>
      <c r="T130" s="1083"/>
      <c r="U130" s="1083"/>
      <c r="V130" s="1083"/>
      <c r="W130" s="1083"/>
      <c r="X130" s="1083"/>
      <c r="Y130" s="1083"/>
      <c r="Z130" s="1083"/>
      <c r="AA130" s="1083"/>
      <c r="AB130" s="1083"/>
      <c r="AC130" s="1083"/>
      <c r="AD130" s="1083"/>
      <c r="AE130" s="1083"/>
      <c r="AF130" s="1083"/>
      <c r="AG130" s="1083"/>
      <c r="AH130" s="1083"/>
      <c r="AI130" s="1083"/>
      <c r="AJ130" s="1083"/>
      <c r="AK130" s="1083"/>
      <c r="AL130" s="1083"/>
      <c r="AM130" s="1083"/>
      <c r="AN130" s="1083"/>
      <c r="AO130" s="1083"/>
      <c r="AP130" s="1083"/>
      <c r="AQ130" s="1083"/>
      <c r="AR130" s="1083"/>
      <c r="AS130" s="1083"/>
      <c r="AT130" s="1083"/>
      <c r="AU130" s="1083"/>
      <c r="AV130" s="1083"/>
      <c r="AW130" s="1083"/>
      <c r="AX130" s="1083"/>
      <c r="AY130" s="1083"/>
      <c r="AZ130" s="1083"/>
      <c r="BA130" s="1083"/>
      <c r="BB130" s="1083"/>
      <c r="BC130" s="1083"/>
      <c r="BD130" s="1083"/>
      <c r="BE130" s="1083"/>
      <c r="BF130" s="1083"/>
      <c r="BG130" s="1083"/>
      <c r="BH130" s="1083"/>
      <c r="BI130" s="1083"/>
      <c r="BJ130" s="1083"/>
      <c r="BK130" s="1083"/>
      <c r="BL130" s="1083"/>
      <c r="BM130" s="1083"/>
      <c r="BN130" s="1083"/>
      <c r="BO130" s="1083"/>
      <c r="BP130" s="1083"/>
      <c r="BQ130" s="1083"/>
      <c r="BR130" s="1083"/>
      <c r="BS130" s="1083"/>
      <c r="BT130" s="1083"/>
      <c r="BU130" s="1083"/>
    </row>
    <row r="131" spans="1:73" x14ac:dyDescent="0.25">
      <c r="A131" s="1083"/>
      <c r="B131" s="1083"/>
      <c r="C131" s="1107"/>
      <c r="D131" s="1087"/>
      <c r="E131" s="1100"/>
      <c r="F131" s="1100"/>
      <c r="G131" s="1100"/>
      <c r="H131" s="1100">
        <f t="shared" ref="H131:S131" ca="1" si="61">OFFSET(H$76,MATCH($C130,$N$101:$N$107,0)*3-2,0)</f>
        <v>0.34526425104903752</v>
      </c>
      <c r="I131" s="1100">
        <f t="shared" ca="1" si="61"/>
        <v>0.23272547384003106</v>
      </c>
      <c r="J131" s="1100">
        <f t="shared" ca="1" si="61"/>
        <v>1.2868044790277654E-2</v>
      </c>
      <c r="K131" s="1100">
        <f t="shared" ca="1" si="61"/>
        <v>1.5837029979080296E-3</v>
      </c>
      <c r="L131" s="1100">
        <f t="shared" ca="1" si="61"/>
        <v>3.6299599179154787E-3</v>
      </c>
      <c r="M131" s="1100">
        <f t="shared" ca="1" si="61"/>
        <v>0.36513112213708143</v>
      </c>
      <c r="N131" s="1100">
        <f t="shared" ca="1" si="61"/>
        <v>0.38255904021867082</v>
      </c>
      <c r="O131" s="1100">
        <f t="shared" ca="1" si="61"/>
        <v>0</v>
      </c>
      <c r="P131" s="1100">
        <f t="shared" ca="1" si="61"/>
        <v>0.19540253632563279</v>
      </c>
      <c r="Q131" s="1100">
        <f t="shared" ca="1" si="61"/>
        <v>0.21992547889445976</v>
      </c>
      <c r="R131" s="1100">
        <f t="shared" ca="1" si="61"/>
        <v>5.1651593337033223E-2</v>
      </c>
      <c r="S131" s="1100">
        <f t="shared" ca="1" si="61"/>
        <v>9.8795542806005918E-3</v>
      </c>
      <c r="T131" s="1083"/>
      <c r="U131" s="1083"/>
      <c r="V131" s="1083"/>
      <c r="W131" s="1083"/>
      <c r="X131" s="1083"/>
      <c r="Y131" s="1083"/>
      <c r="Z131" s="1083"/>
      <c r="AA131" s="1083"/>
      <c r="AB131" s="1083"/>
      <c r="AC131" s="1083"/>
      <c r="AD131" s="1083"/>
      <c r="AE131" s="1083"/>
      <c r="AF131" s="1083"/>
      <c r="AG131" s="1083"/>
      <c r="AH131" s="1083"/>
      <c r="AI131" s="1083"/>
      <c r="AJ131" s="1083"/>
      <c r="AK131" s="1083"/>
      <c r="AL131" s="1083"/>
      <c r="AM131" s="1083"/>
      <c r="AN131" s="1083"/>
      <c r="AO131" s="1083"/>
      <c r="AP131" s="1083"/>
      <c r="AQ131" s="1083"/>
      <c r="AR131" s="1083"/>
      <c r="AS131" s="1083"/>
      <c r="AT131" s="1083"/>
      <c r="AU131" s="1083"/>
      <c r="AV131" s="1083"/>
      <c r="AW131" s="1083"/>
      <c r="AX131" s="1083"/>
      <c r="AY131" s="1083"/>
      <c r="AZ131" s="1083"/>
      <c r="BA131" s="1083"/>
      <c r="BB131" s="1083"/>
      <c r="BC131" s="1083"/>
      <c r="BD131" s="1083"/>
      <c r="BE131" s="1083"/>
      <c r="BF131" s="1083"/>
      <c r="BG131" s="1083"/>
      <c r="BH131" s="1083"/>
      <c r="BI131" s="1083"/>
      <c r="BJ131" s="1083"/>
      <c r="BK131" s="1083"/>
      <c r="BL131" s="1083"/>
      <c r="BM131" s="1083"/>
      <c r="BN131" s="1083"/>
      <c r="BO131" s="1083"/>
      <c r="BP131" s="1083"/>
      <c r="BQ131" s="1083"/>
      <c r="BR131" s="1083"/>
      <c r="BS131" s="1083"/>
      <c r="BT131" s="1083"/>
      <c r="BU131" s="1083"/>
    </row>
    <row r="132" spans="1:73" x14ac:dyDescent="0.25">
      <c r="A132" s="1083"/>
      <c r="B132" s="1083"/>
      <c r="C132" s="1107">
        <v>4</v>
      </c>
      <c r="D132" s="1087" t="str">
        <f t="shared" ref="D132:G132" ca="1" si="62">OFFSET(D$76,MATCH($C132,$N$101:$N$107,0)*3,0)</f>
        <v>Feedstock Consumption (% of baseline) = 105%</v>
      </c>
      <c r="E132" s="1100">
        <f t="shared" ca="1" si="62"/>
        <v>1.8806082330379454</v>
      </c>
      <c r="F132" s="1100">
        <f t="shared" ca="1" si="62"/>
        <v>0</v>
      </c>
      <c r="G132" s="1100">
        <f t="shared" ca="1" si="62"/>
        <v>3.6363354324760108E-3</v>
      </c>
      <c r="H132" s="1100"/>
      <c r="I132" s="1100"/>
      <c r="J132" s="1100"/>
      <c r="K132" s="1100"/>
      <c r="L132" s="1100"/>
      <c r="M132" s="1100"/>
      <c r="N132" s="1100"/>
      <c r="O132" s="1100"/>
      <c r="P132" s="1100"/>
      <c r="Q132" s="1100"/>
      <c r="R132" s="1100"/>
      <c r="S132" s="1100"/>
      <c r="T132" s="1083"/>
      <c r="U132" s="1083"/>
      <c r="V132" s="1083"/>
      <c r="W132" s="1083"/>
      <c r="X132" s="1083"/>
      <c r="Y132" s="1083"/>
      <c r="Z132" s="1083"/>
      <c r="AA132" s="1083"/>
      <c r="AB132" s="1083"/>
      <c r="AC132" s="1083"/>
      <c r="AD132" s="1083"/>
      <c r="AE132" s="1083"/>
      <c r="AF132" s="1083"/>
      <c r="AG132" s="1083"/>
      <c r="AH132" s="1083"/>
      <c r="AI132" s="1083"/>
      <c r="AJ132" s="1083"/>
      <c r="AK132" s="1083"/>
      <c r="AL132" s="1083"/>
      <c r="AM132" s="1083"/>
      <c r="AN132" s="1083"/>
      <c r="AO132" s="1083"/>
      <c r="AP132" s="1083"/>
      <c r="AQ132" s="1083"/>
      <c r="AR132" s="1083"/>
      <c r="AS132" s="1083"/>
      <c r="AT132" s="1083"/>
      <c r="AU132" s="1083"/>
      <c r="AV132" s="1083"/>
      <c r="AW132" s="1083"/>
      <c r="AX132" s="1083"/>
      <c r="AY132" s="1083"/>
      <c r="AZ132" s="1083"/>
      <c r="BA132" s="1083"/>
      <c r="BB132" s="1083"/>
      <c r="BC132" s="1083"/>
      <c r="BD132" s="1083"/>
      <c r="BE132" s="1083"/>
      <c r="BF132" s="1083"/>
      <c r="BG132" s="1083"/>
      <c r="BH132" s="1083"/>
      <c r="BI132" s="1083"/>
      <c r="BJ132" s="1083"/>
      <c r="BK132" s="1083"/>
      <c r="BL132" s="1083"/>
      <c r="BM132" s="1083"/>
      <c r="BN132" s="1083"/>
      <c r="BO132" s="1083"/>
      <c r="BP132" s="1083"/>
      <c r="BQ132" s="1083"/>
      <c r="BR132" s="1083"/>
      <c r="BS132" s="1083"/>
      <c r="BT132" s="1083"/>
      <c r="BU132" s="1083"/>
    </row>
    <row r="133" spans="1:73" x14ac:dyDescent="0.25">
      <c r="A133" s="1083"/>
      <c r="B133" s="1083"/>
      <c r="C133" s="1107"/>
      <c r="D133" s="1087"/>
      <c r="E133" s="1100"/>
      <c r="F133" s="1100"/>
      <c r="G133" s="1100"/>
      <c r="H133" s="1100">
        <f t="shared" ref="H133:S133" ca="1" si="63">OFFSET(H$76,MATCH($C132,$N$101:$N$107,0)*3,0)</f>
        <v>0.34527619487519162</v>
      </c>
      <c r="I133" s="1100">
        <f t="shared" ca="1" si="63"/>
        <v>0.24450935814312616</v>
      </c>
      <c r="J133" s="1100">
        <f t="shared" ca="1" si="63"/>
        <v>1.3534887356620697E-2</v>
      </c>
      <c r="K133" s="1100">
        <f t="shared" ca="1" si="63"/>
        <v>1.5837029979080296E-3</v>
      </c>
      <c r="L133" s="1100">
        <f t="shared" ca="1" si="63"/>
        <v>3.6300854901694102E-3</v>
      </c>
      <c r="M133" s="1100">
        <f t="shared" ca="1" si="63"/>
        <v>0.36513738496221604</v>
      </c>
      <c r="N133" s="1100">
        <f t="shared" ca="1" si="63"/>
        <v>0.42282841287326794</v>
      </c>
      <c r="O133" s="1100">
        <f t="shared" ca="1" si="63"/>
        <v>0</v>
      </c>
      <c r="P133" s="1100">
        <f t="shared" ca="1" si="63"/>
        <v>0.20400440468847875</v>
      </c>
      <c r="Q133" s="1100">
        <f t="shared" ca="1" si="63"/>
        <v>0.2199330868401965</v>
      </c>
      <c r="R133" s="1100">
        <f t="shared" ca="1" si="63"/>
        <v>5.3927154196363958E-2</v>
      </c>
      <c r="S133" s="1100">
        <f t="shared" ca="1" si="63"/>
        <v>9.8798960468809097E-3</v>
      </c>
      <c r="T133" s="1083"/>
      <c r="U133" s="1083"/>
      <c r="V133" s="1083"/>
      <c r="W133" s="1083"/>
      <c r="X133" s="1083"/>
      <c r="Y133" s="1083"/>
      <c r="Z133" s="1083"/>
      <c r="AA133" s="1083"/>
      <c r="AB133" s="1083"/>
      <c r="AC133" s="1083"/>
      <c r="AD133" s="1083"/>
      <c r="AE133" s="1083"/>
      <c r="AF133" s="1083"/>
      <c r="AG133" s="1083"/>
      <c r="AH133" s="1083"/>
      <c r="AI133" s="1083"/>
      <c r="AJ133" s="1083"/>
      <c r="AK133" s="1083"/>
      <c r="AL133" s="1083"/>
      <c r="AM133" s="1083"/>
      <c r="AN133" s="1083"/>
      <c r="AO133" s="1083"/>
      <c r="AP133" s="1083"/>
      <c r="AQ133" s="1083"/>
      <c r="AR133" s="1083"/>
      <c r="AS133" s="1083"/>
      <c r="AT133" s="1083"/>
      <c r="AU133" s="1083"/>
      <c r="AV133" s="1083"/>
      <c r="AW133" s="1083"/>
      <c r="AX133" s="1083"/>
      <c r="AY133" s="1083"/>
      <c r="AZ133" s="1083"/>
      <c r="BA133" s="1083"/>
      <c r="BB133" s="1083"/>
      <c r="BC133" s="1083"/>
      <c r="BD133" s="1083"/>
      <c r="BE133" s="1083"/>
      <c r="BF133" s="1083"/>
      <c r="BG133" s="1083"/>
      <c r="BH133" s="1083"/>
      <c r="BI133" s="1083"/>
      <c r="BJ133" s="1083"/>
      <c r="BK133" s="1083"/>
      <c r="BL133" s="1083"/>
      <c r="BM133" s="1083"/>
      <c r="BN133" s="1083"/>
      <c r="BO133" s="1083"/>
      <c r="BP133" s="1083"/>
      <c r="BQ133" s="1083"/>
      <c r="BR133" s="1083"/>
      <c r="BS133" s="1083"/>
      <c r="BT133" s="1083"/>
      <c r="BU133" s="1083"/>
    </row>
    <row r="134" spans="1:73" x14ac:dyDescent="0.25">
      <c r="A134" s="1083"/>
      <c r="B134" s="1083"/>
      <c r="C134" s="1107"/>
      <c r="D134" s="1087"/>
      <c r="E134" s="1100"/>
      <c r="F134" s="1100"/>
      <c r="G134" s="1100"/>
      <c r="H134" s="1100"/>
      <c r="I134" s="1100"/>
      <c r="J134" s="1100"/>
      <c r="K134" s="1100"/>
      <c r="L134" s="1100"/>
      <c r="M134" s="1100"/>
      <c r="N134" s="1100"/>
      <c r="O134" s="1100"/>
      <c r="P134" s="1100"/>
      <c r="Q134" s="1100"/>
      <c r="R134" s="1100"/>
      <c r="S134" s="1100"/>
      <c r="T134" s="1083"/>
      <c r="U134" s="1083"/>
      <c r="V134" s="1083"/>
      <c r="W134" s="1083"/>
      <c r="X134" s="1083"/>
      <c r="Y134" s="1083"/>
      <c r="Z134" s="1083"/>
      <c r="AA134" s="1083"/>
      <c r="AB134" s="1083"/>
      <c r="AC134" s="1083"/>
      <c r="AD134" s="1083"/>
      <c r="AE134" s="1083"/>
      <c r="AF134" s="1083"/>
      <c r="AG134" s="1083"/>
      <c r="AH134" s="1083"/>
      <c r="AI134" s="1083"/>
      <c r="AJ134" s="1083"/>
      <c r="AK134" s="1083"/>
      <c r="AL134" s="1083"/>
      <c r="AM134" s="1083"/>
      <c r="AN134" s="1083"/>
      <c r="AO134" s="1083"/>
      <c r="AP134" s="1083"/>
      <c r="AQ134" s="1083"/>
      <c r="AR134" s="1083"/>
      <c r="AS134" s="1083"/>
      <c r="AT134" s="1083"/>
      <c r="AU134" s="1083"/>
      <c r="AV134" s="1083"/>
      <c r="AW134" s="1083"/>
      <c r="AX134" s="1083"/>
      <c r="AY134" s="1083"/>
      <c r="AZ134" s="1083"/>
      <c r="BA134" s="1083"/>
      <c r="BB134" s="1083"/>
      <c r="BC134" s="1083"/>
      <c r="BD134" s="1083"/>
      <c r="BE134" s="1083"/>
      <c r="BF134" s="1083"/>
      <c r="BG134" s="1083"/>
      <c r="BH134" s="1083"/>
      <c r="BI134" s="1083"/>
      <c r="BJ134" s="1083"/>
      <c r="BK134" s="1083"/>
      <c r="BL134" s="1083"/>
      <c r="BM134" s="1083"/>
      <c r="BN134" s="1083"/>
      <c r="BO134" s="1083"/>
      <c r="BP134" s="1083"/>
      <c r="BQ134" s="1083"/>
      <c r="BR134" s="1083"/>
      <c r="BS134" s="1083"/>
      <c r="BT134" s="1083"/>
      <c r="BU134" s="1083"/>
    </row>
    <row r="135" spans="1:73" x14ac:dyDescent="0.25">
      <c r="A135" s="1083"/>
      <c r="B135" s="1083"/>
      <c r="C135" s="1107">
        <v>5</v>
      </c>
      <c r="D135" s="1087" t="str">
        <f t="shared" ref="D135:G135" ca="1" si="64">OFFSET(D$76,MATCH($C135,$N$101:$N$107,0)*3-2,0)</f>
        <v>After-tax Real IRR = 8%</v>
      </c>
      <c r="E135" s="1100">
        <f t="shared" ca="1" si="64"/>
        <v>1.8218064218176202</v>
      </c>
      <c r="F135" s="1100">
        <f t="shared" ca="1" si="64"/>
        <v>0</v>
      </c>
      <c r="G135" s="1100">
        <f t="shared" ca="1" si="64"/>
        <v>4.0271113542573005E-3</v>
      </c>
      <c r="H135" s="1100"/>
      <c r="I135" s="1100"/>
      <c r="J135" s="1100"/>
      <c r="K135" s="1100"/>
      <c r="L135" s="1100"/>
      <c r="M135" s="1100"/>
      <c r="N135" s="1100"/>
      <c r="O135" s="1100"/>
      <c r="P135" s="1100"/>
      <c r="Q135" s="1100"/>
      <c r="R135" s="1100"/>
      <c r="S135" s="1100"/>
      <c r="T135" s="1083"/>
      <c r="U135" s="1083"/>
      <c r="V135" s="1083"/>
      <c r="W135" s="1083"/>
      <c r="X135" s="1083"/>
      <c r="Y135" s="1083"/>
      <c r="Z135" s="1083"/>
      <c r="AA135" s="1083"/>
      <c r="AB135" s="1083"/>
      <c r="AC135" s="1083"/>
      <c r="AD135" s="1083"/>
      <c r="AE135" s="1083"/>
      <c r="AF135" s="1083"/>
      <c r="AG135" s="1083"/>
      <c r="AH135" s="1083"/>
      <c r="AI135" s="1083"/>
      <c r="AJ135" s="1083"/>
      <c r="AK135" s="1083"/>
      <c r="AL135" s="1083"/>
      <c r="AM135" s="1083"/>
      <c r="AN135" s="1083"/>
      <c r="AO135" s="1083"/>
      <c r="AP135" s="1083"/>
      <c r="AQ135" s="1083"/>
      <c r="AR135" s="1083"/>
      <c r="AS135" s="1083"/>
      <c r="AT135" s="1083"/>
      <c r="AU135" s="1083"/>
      <c r="AV135" s="1083"/>
      <c r="AW135" s="1083"/>
      <c r="AX135" s="1083"/>
      <c r="AY135" s="1083"/>
      <c r="AZ135" s="1083"/>
      <c r="BA135" s="1083"/>
      <c r="BB135" s="1083"/>
      <c r="BC135" s="1083"/>
      <c r="BD135" s="1083"/>
      <c r="BE135" s="1083"/>
      <c r="BF135" s="1083"/>
      <c r="BG135" s="1083"/>
      <c r="BH135" s="1083"/>
      <c r="BI135" s="1083"/>
      <c r="BJ135" s="1083"/>
      <c r="BK135" s="1083"/>
      <c r="BL135" s="1083"/>
      <c r="BM135" s="1083"/>
      <c r="BN135" s="1083"/>
      <c r="BO135" s="1083"/>
      <c r="BP135" s="1083"/>
      <c r="BQ135" s="1083"/>
      <c r="BR135" s="1083"/>
      <c r="BS135" s="1083"/>
      <c r="BT135" s="1083"/>
      <c r="BU135" s="1083"/>
    </row>
    <row r="136" spans="1:73" x14ac:dyDescent="0.25">
      <c r="A136" s="1083"/>
      <c r="B136" s="1083"/>
      <c r="C136" s="1107"/>
      <c r="D136" s="1087"/>
      <c r="E136" s="1100"/>
      <c r="F136" s="1100"/>
      <c r="G136" s="1100"/>
      <c r="H136" s="1100">
        <f t="shared" ref="H136:S136" ca="1" si="65">OFFSET(H$76,MATCH($C135,$N$101:$N$107,0)*3-2,0)</f>
        <v>0.32817738289123682</v>
      </c>
      <c r="I136" s="1100">
        <f t="shared" ca="1" si="65"/>
        <v>0.2380235204280392</v>
      </c>
      <c r="J136" s="1100">
        <f t="shared" ca="1" si="65"/>
        <v>1.2693533222636456E-2</v>
      </c>
      <c r="K136" s="1100">
        <f t="shared" ca="1" si="65"/>
        <v>1.5004864186657948E-3</v>
      </c>
      <c r="L136" s="1100">
        <f t="shared" ca="1" si="65"/>
        <v>4.020191185698253E-3</v>
      </c>
      <c r="M136" s="1100">
        <f t="shared" ca="1" si="65"/>
        <v>0.36460403329098245</v>
      </c>
      <c r="N136" s="1100">
        <f t="shared" ca="1" si="65"/>
        <v>0.40239626114265992</v>
      </c>
      <c r="O136" s="1100">
        <f t="shared" ca="1" si="65"/>
        <v>0</v>
      </c>
      <c r="P136" s="1100">
        <f t="shared" ca="1" si="65"/>
        <v>0.19946415253352626</v>
      </c>
      <c r="Q136" s="1100">
        <f t="shared" ca="1" si="65"/>
        <v>0.21580416835197552</v>
      </c>
      <c r="R136" s="1100">
        <f t="shared" ca="1" si="65"/>
        <v>4.8208168554653937E-2</v>
      </c>
      <c r="S136" s="1100">
        <f t="shared" ca="1" si="65"/>
        <v>1.0941635151802447E-2</v>
      </c>
      <c r="T136" s="1083"/>
      <c r="U136" s="1083"/>
      <c r="V136" s="1083"/>
      <c r="W136" s="1083"/>
      <c r="X136" s="1083"/>
      <c r="Y136" s="1083"/>
      <c r="Z136" s="1083"/>
      <c r="AA136" s="1083"/>
      <c r="AB136" s="1083"/>
      <c r="AC136" s="1083"/>
      <c r="AD136" s="1083"/>
      <c r="AE136" s="1083"/>
      <c r="AF136" s="1083"/>
      <c r="AG136" s="1083"/>
      <c r="AH136" s="1083"/>
      <c r="AI136" s="1083"/>
      <c r="AJ136" s="1083"/>
      <c r="AK136" s="1083"/>
      <c r="AL136" s="1083"/>
      <c r="AM136" s="1083"/>
      <c r="AN136" s="1083"/>
      <c r="AO136" s="1083"/>
      <c r="AP136" s="1083"/>
      <c r="AQ136" s="1083"/>
      <c r="AR136" s="1083"/>
      <c r="AS136" s="1083"/>
      <c r="AT136" s="1083"/>
      <c r="AU136" s="1083"/>
      <c r="AV136" s="1083"/>
      <c r="AW136" s="1083"/>
      <c r="AX136" s="1083"/>
      <c r="AY136" s="1083"/>
      <c r="AZ136" s="1083"/>
      <c r="BA136" s="1083"/>
      <c r="BB136" s="1083"/>
      <c r="BC136" s="1083"/>
      <c r="BD136" s="1083"/>
      <c r="BE136" s="1083"/>
      <c r="BF136" s="1083"/>
      <c r="BG136" s="1083"/>
      <c r="BH136" s="1083"/>
      <c r="BI136" s="1083"/>
      <c r="BJ136" s="1083"/>
      <c r="BK136" s="1083"/>
      <c r="BL136" s="1083"/>
      <c r="BM136" s="1083"/>
      <c r="BN136" s="1083"/>
      <c r="BO136" s="1083"/>
      <c r="BP136" s="1083"/>
      <c r="BQ136" s="1083"/>
      <c r="BR136" s="1083"/>
      <c r="BS136" s="1083"/>
      <c r="BT136" s="1083"/>
      <c r="BU136" s="1083"/>
    </row>
    <row r="137" spans="1:73" x14ac:dyDescent="0.25">
      <c r="A137" s="1083"/>
      <c r="B137" s="1083"/>
      <c r="C137" s="1107">
        <v>5</v>
      </c>
      <c r="D137" s="1087" t="str">
        <f t="shared" ref="D137:G137" ca="1" si="66">OFFSET(D$76,MATCH($C137,$N$101:$N$107,0)*3,0)</f>
        <v>After-tax Real IRR = 8%</v>
      </c>
      <c r="E137" s="1100">
        <f t="shared" ca="1" si="66"/>
        <v>1.8772996802143009</v>
      </c>
      <c r="F137" s="1100">
        <f t="shared" ca="1" si="66"/>
        <v>0</v>
      </c>
      <c r="G137" s="1100">
        <f t="shared" ca="1" si="66"/>
        <v>3.2821950937542582E-3</v>
      </c>
      <c r="H137" s="1100"/>
      <c r="I137" s="1100"/>
      <c r="J137" s="1100"/>
      <c r="K137" s="1100"/>
      <c r="L137" s="1100"/>
      <c r="M137" s="1100"/>
      <c r="N137" s="1100"/>
      <c r="O137" s="1100"/>
      <c r="P137" s="1100"/>
      <c r="Q137" s="1100"/>
      <c r="R137" s="1100"/>
      <c r="S137" s="1100"/>
      <c r="T137" s="1083"/>
      <c r="U137" s="1083"/>
      <c r="V137" s="1083"/>
      <c r="W137" s="1083"/>
      <c r="X137" s="1083"/>
      <c r="Y137" s="1083"/>
      <c r="Z137" s="1083"/>
      <c r="AA137" s="1083"/>
      <c r="AB137" s="1083"/>
      <c r="AC137" s="1083"/>
      <c r="AD137" s="1083"/>
      <c r="AE137" s="1083"/>
      <c r="AF137" s="1083"/>
      <c r="AG137" s="1083"/>
      <c r="AH137" s="1083"/>
      <c r="AI137" s="1083"/>
      <c r="AJ137" s="1083"/>
      <c r="AK137" s="1083"/>
      <c r="AL137" s="1083"/>
      <c r="AM137" s="1083"/>
      <c r="AN137" s="1083"/>
      <c r="AO137" s="1083"/>
      <c r="AP137" s="1083"/>
      <c r="AQ137" s="1083"/>
      <c r="AR137" s="1083"/>
      <c r="AS137" s="1083"/>
      <c r="AT137" s="1083"/>
      <c r="AU137" s="1083"/>
      <c r="AV137" s="1083"/>
      <c r="AW137" s="1083"/>
      <c r="AX137" s="1083"/>
      <c r="AY137" s="1083"/>
      <c r="AZ137" s="1083"/>
      <c r="BA137" s="1083"/>
      <c r="BB137" s="1083"/>
      <c r="BC137" s="1083"/>
      <c r="BD137" s="1083"/>
      <c r="BE137" s="1083"/>
      <c r="BF137" s="1083"/>
      <c r="BG137" s="1083"/>
      <c r="BH137" s="1083"/>
      <c r="BI137" s="1083"/>
      <c r="BJ137" s="1083"/>
      <c r="BK137" s="1083"/>
      <c r="BL137" s="1083"/>
      <c r="BM137" s="1083"/>
      <c r="BN137" s="1083"/>
      <c r="BO137" s="1083"/>
      <c r="BP137" s="1083"/>
      <c r="BQ137" s="1083"/>
      <c r="BR137" s="1083"/>
      <c r="BS137" s="1083"/>
      <c r="BT137" s="1083"/>
      <c r="BU137" s="1083"/>
    </row>
    <row r="138" spans="1:73" x14ac:dyDescent="0.25">
      <c r="A138" s="1083"/>
      <c r="B138" s="1083"/>
      <c r="C138" s="1107"/>
      <c r="D138" s="1087"/>
      <c r="E138" s="1100"/>
      <c r="F138" s="1100"/>
      <c r="G138" s="1100"/>
      <c r="H138" s="1100">
        <f t="shared" ref="H138:S138" ca="1" si="67">OFFSET(H$76,MATCH($C137,$N$101:$N$107,0)*3,0)</f>
        <v>0.36292202135830925</v>
      </c>
      <c r="I138" s="1100">
        <f t="shared" ca="1" si="67"/>
        <v>0.23946519869848851</v>
      </c>
      <c r="J138" s="1100">
        <f t="shared" ca="1" si="67"/>
        <v>1.3709856584535024E-2</v>
      </c>
      <c r="K138" s="1100">
        <f t="shared" ca="1" si="67"/>
        <v>1.6692342183562616E-3</v>
      </c>
      <c r="L138" s="1100">
        <f t="shared" ca="1" si="67"/>
        <v>3.2765549856732024E-3</v>
      </c>
      <c r="M138" s="1100">
        <f t="shared" ca="1" si="67"/>
        <v>0.36574943715959751</v>
      </c>
      <c r="N138" s="1100">
        <f t="shared" ca="1" si="67"/>
        <v>0.40300196401588734</v>
      </c>
      <c r="O138" s="1100">
        <f t="shared" ca="1" si="67"/>
        <v>0</v>
      </c>
      <c r="P138" s="1100">
        <f t="shared" ca="1" si="67"/>
        <v>0.20006599455678498</v>
      </c>
      <c r="Q138" s="1100">
        <f t="shared" ca="1" si="67"/>
        <v>0.22419214572718418</v>
      </c>
      <c r="R138" s="1100">
        <f t="shared" ca="1" si="67"/>
        <v>5.7611765448294036E-2</v>
      </c>
      <c r="S138" s="1100">
        <f t="shared" ca="1" si="67"/>
        <v>8.9177025549417172E-3</v>
      </c>
      <c r="T138" s="1083"/>
      <c r="U138" s="1083"/>
      <c r="V138" s="1083"/>
      <c r="W138" s="1083"/>
      <c r="X138" s="1083"/>
      <c r="Y138" s="1083"/>
      <c r="Z138" s="1083"/>
      <c r="AA138" s="1083"/>
      <c r="AB138" s="1083"/>
      <c r="AC138" s="1083"/>
      <c r="AD138" s="1083"/>
      <c r="AE138" s="1083"/>
      <c r="AF138" s="1083"/>
      <c r="AG138" s="1083"/>
      <c r="AH138" s="1083"/>
      <c r="AI138" s="1083"/>
      <c r="AJ138" s="1083"/>
      <c r="AK138" s="1083"/>
      <c r="AL138" s="1083"/>
      <c r="AM138" s="1083"/>
      <c r="AN138" s="1083"/>
      <c r="AO138" s="1083"/>
      <c r="AP138" s="1083"/>
      <c r="AQ138" s="1083"/>
      <c r="AR138" s="1083"/>
      <c r="AS138" s="1083"/>
      <c r="AT138" s="1083"/>
      <c r="AU138" s="1083"/>
      <c r="AV138" s="1083"/>
      <c r="AW138" s="1083"/>
      <c r="AX138" s="1083"/>
      <c r="AY138" s="1083"/>
      <c r="AZ138" s="1083"/>
      <c r="BA138" s="1083"/>
      <c r="BB138" s="1083"/>
      <c r="BC138" s="1083"/>
      <c r="BD138" s="1083"/>
      <c r="BE138" s="1083"/>
      <c r="BF138" s="1083"/>
      <c r="BG138" s="1083"/>
      <c r="BH138" s="1083"/>
      <c r="BI138" s="1083"/>
      <c r="BJ138" s="1083"/>
      <c r="BK138" s="1083"/>
      <c r="BL138" s="1083"/>
      <c r="BM138" s="1083"/>
      <c r="BN138" s="1083"/>
      <c r="BO138" s="1083"/>
      <c r="BP138" s="1083"/>
      <c r="BQ138" s="1083"/>
      <c r="BR138" s="1083"/>
      <c r="BS138" s="1083"/>
      <c r="BT138" s="1083"/>
      <c r="BU138" s="1083"/>
    </row>
    <row r="139" spans="1:73" x14ac:dyDescent="0.25">
      <c r="A139" s="1083"/>
      <c r="B139" s="1083"/>
      <c r="C139" s="1107"/>
      <c r="D139" s="1087"/>
      <c r="E139" s="1100"/>
      <c r="F139" s="1100"/>
      <c r="G139" s="1100"/>
      <c r="H139" s="1100"/>
      <c r="I139" s="1100"/>
      <c r="J139" s="1100"/>
      <c r="K139" s="1100"/>
      <c r="L139" s="1100"/>
      <c r="M139" s="1100"/>
      <c r="N139" s="1100"/>
      <c r="O139" s="1100"/>
      <c r="P139" s="1100"/>
      <c r="Q139" s="1100"/>
      <c r="R139" s="1100"/>
      <c r="S139" s="1100"/>
      <c r="T139" s="1083"/>
      <c r="U139" s="1083"/>
      <c r="V139" s="1083"/>
      <c r="W139" s="1083"/>
      <c r="X139" s="1083"/>
      <c r="Y139" s="1083"/>
      <c r="Z139" s="1083"/>
      <c r="AA139" s="1083"/>
      <c r="AB139" s="1083"/>
      <c r="AC139" s="1083"/>
      <c r="AD139" s="1083"/>
      <c r="AE139" s="1083"/>
      <c r="AF139" s="1083"/>
      <c r="AG139" s="1083"/>
      <c r="AH139" s="1083"/>
      <c r="AI139" s="1083"/>
      <c r="AJ139" s="1083"/>
      <c r="AK139" s="1083"/>
      <c r="AL139" s="1083"/>
      <c r="AM139" s="1083"/>
      <c r="AN139" s="1083"/>
      <c r="AO139" s="1083"/>
      <c r="AP139" s="1083"/>
      <c r="AQ139" s="1083"/>
      <c r="AR139" s="1083"/>
      <c r="AS139" s="1083"/>
      <c r="AT139" s="1083"/>
      <c r="AU139" s="1083"/>
      <c r="AV139" s="1083"/>
      <c r="AW139" s="1083"/>
      <c r="AX139" s="1083"/>
      <c r="AY139" s="1083"/>
      <c r="AZ139" s="1083"/>
      <c r="BA139" s="1083"/>
      <c r="BB139" s="1083"/>
      <c r="BC139" s="1083"/>
      <c r="BD139" s="1083"/>
      <c r="BE139" s="1083"/>
      <c r="BF139" s="1083"/>
      <c r="BG139" s="1083"/>
      <c r="BH139" s="1083"/>
      <c r="BI139" s="1083"/>
      <c r="BJ139" s="1083"/>
      <c r="BK139" s="1083"/>
      <c r="BL139" s="1083"/>
      <c r="BM139" s="1083"/>
      <c r="BN139" s="1083"/>
      <c r="BO139" s="1083"/>
      <c r="BP139" s="1083"/>
      <c r="BQ139" s="1083"/>
      <c r="BR139" s="1083"/>
      <c r="BS139" s="1083"/>
      <c r="BT139" s="1083"/>
      <c r="BU139" s="1083"/>
    </row>
    <row r="140" spans="1:73" x14ac:dyDescent="0.25">
      <c r="A140" s="1083"/>
      <c r="B140" s="1083"/>
      <c r="C140" s="1107">
        <v>6</v>
      </c>
      <c r="D140" s="1087" t="str">
        <f t="shared" ref="D140:G140" ca="1" si="68">OFFSET(D$76,MATCH($C140,$N$101:$N$107,0)*3-2,0)</f>
        <v>Total Fixed Operating Cost = $87,086K</v>
      </c>
      <c r="E140" s="1100">
        <f t="shared" ca="1" si="68"/>
        <v>1.8305798360815821</v>
      </c>
      <c r="F140" s="1100">
        <f t="shared" ca="1" si="68"/>
        <v>0</v>
      </c>
      <c r="G140" s="1100">
        <f t="shared" ca="1" si="68"/>
        <v>3.6370810062790462E-3</v>
      </c>
      <c r="H140" s="1100"/>
      <c r="I140" s="1100"/>
      <c r="J140" s="1100"/>
      <c r="K140" s="1100"/>
      <c r="L140" s="1100"/>
      <c r="M140" s="1100"/>
      <c r="N140" s="1100"/>
      <c r="O140" s="1100"/>
      <c r="P140" s="1100"/>
      <c r="Q140" s="1100"/>
      <c r="R140" s="1100"/>
      <c r="S140" s="1100"/>
      <c r="T140" s="1083"/>
      <c r="U140" s="1083"/>
      <c r="V140" s="1083"/>
      <c r="W140" s="1083"/>
      <c r="X140" s="1083"/>
      <c r="Y140" s="1083"/>
      <c r="Z140" s="1083"/>
      <c r="AA140" s="1083"/>
      <c r="AB140" s="1083"/>
      <c r="AC140" s="1083"/>
      <c r="AD140" s="1083"/>
      <c r="AE140" s="1083"/>
      <c r="AF140" s="1083"/>
      <c r="AG140" s="1083"/>
      <c r="AH140" s="1083"/>
      <c r="AI140" s="1083"/>
      <c r="AJ140" s="1083"/>
      <c r="AK140" s="1083"/>
      <c r="AL140" s="1083"/>
      <c r="AM140" s="1083"/>
      <c r="AN140" s="1083"/>
      <c r="AO140" s="1083"/>
      <c r="AP140" s="1083"/>
      <c r="AQ140" s="1083"/>
      <c r="AR140" s="1083"/>
      <c r="AS140" s="1083"/>
      <c r="AT140" s="1083"/>
      <c r="AU140" s="1083"/>
      <c r="AV140" s="1083"/>
      <c r="AW140" s="1083"/>
      <c r="AX140" s="1083"/>
      <c r="AY140" s="1083"/>
      <c r="AZ140" s="1083"/>
      <c r="BA140" s="1083"/>
      <c r="BB140" s="1083"/>
      <c r="BC140" s="1083"/>
      <c r="BD140" s="1083"/>
      <c r="BE140" s="1083"/>
      <c r="BF140" s="1083"/>
      <c r="BG140" s="1083"/>
      <c r="BH140" s="1083"/>
      <c r="BI140" s="1083"/>
      <c r="BJ140" s="1083"/>
      <c r="BK140" s="1083"/>
      <c r="BL140" s="1083"/>
      <c r="BM140" s="1083"/>
      <c r="BN140" s="1083"/>
      <c r="BO140" s="1083"/>
      <c r="BP140" s="1083"/>
      <c r="BQ140" s="1083"/>
      <c r="BR140" s="1083"/>
      <c r="BS140" s="1083"/>
      <c r="BT140" s="1083"/>
      <c r="BU140" s="1083"/>
    </row>
    <row r="141" spans="1:73" x14ac:dyDescent="0.25">
      <c r="A141" s="1083"/>
      <c r="B141" s="1083"/>
      <c r="C141" s="1107"/>
      <c r="D141" s="1087"/>
      <c r="E141" s="1100"/>
      <c r="F141" s="1100"/>
      <c r="G141" s="1100"/>
      <c r="H141" s="1100">
        <f t="shared" ref="H141:S141" ca="1" si="69">OFFSET(H$76,MATCH($C140,$N$101:$N$107,0)*3-2,0)</f>
        <v>0.34534711025346798</v>
      </c>
      <c r="I141" s="1100">
        <f t="shared" ca="1" si="69"/>
        <v>0.23874163416600355</v>
      </c>
      <c r="J141" s="1100">
        <f t="shared" ca="1" si="69"/>
        <v>1.2953683131019222E-2</v>
      </c>
      <c r="K141" s="1100">
        <f t="shared" ca="1" si="69"/>
        <v>1.5837029979080296E-3</v>
      </c>
      <c r="L141" s="1100">
        <f t="shared" ca="1" si="69"/>
        <v>3.6308310639724464E-3</v>
      </c>
      <c r="M141" s="1100">
        <f t="shared" ca="1" si="69"/>
        <v>0.34691584141940035</v>
      </c>
      <c r="N141" s="1100">
        <f t="shared" ca="1" si="69"/>
        <v>0.40269372654596947</v>
      </c>
      <c r="O141" s="1100">
        <f t="shared" ca="1" si="69"/>
        <v>0</v>
      </c>
      <c r="P141" s="1100">
        <f t="shared" ca="1" si="69"/>
        <v>0.19976377164187348</v>
      </c>
      <c r="Q141" s="1100">
        <f t="shared" ca="1" si="69"/>
        <v>0.21997825832401219</v>
      </c>
      <c r="R141" s="1100">
        <f t="shared" ca="1" si="69"/>
        <v>5.2726432291238898E-2</v>
      </c>
      <c r="S141" s="1100">
        <f t="shared" ca="1" si="69"/>
        <v>9.8819252529944342E-3</v>
      </c>
      <c r="T141" s="1083"/>
      <c r="U141" s="1083"/>
      <c r="V141" s="1083"/>
      <c r="W141" s="1083"/>
      <c r="X141" s="1083"/>
      <c r="Y141" s="1083"/>
      <c r="Z141" s="1083"/>
      <c r="AA141" s="1083"/>
      <c r="AB141" s="1083"/>
      <c r="AC141" s="1083"/>
      <c r="AD141" s="1083"/>
      <c r="AE141" s="1083"/>
      <c r="AF141" s="1083"/>
      <c r="AG141" s="1083"/>
      <c r="AH141" s="1083"/>
      <c r="AI141" s="1083"/>
      <c r="AJ141" s="1083"/>
      <c r="AK141" s="1083"/>
      <c r="AL141" s="1083"/>
      <c r="AM141" s="1083"/>
      <c r="AN141" s="1083"/>
      <c r="AO141" s="1083"/>
      <c r="AP141" s="1083"/>
      <c r="AQ141" s="1083"/>
      <c r="AR141" s="1083"/>
      <c r="AS141" s="1083"/>
      <c r="AT141" s="1083"/>
      <c r="AU141" s="1083"/>
      <c r="AV141" s="1083"/>
      <c r="AW141" s="1083"/>
      <c r="AX141" s="1083"/>
      <c r="AY141" s="1083"/>
      <c r="AZ141" s="1083"/>
      <c r="BA141" s="1083"/>
      <c r="BB141" s="1083"/>
      <c r="BC141" s="1083"/>
      <c r="BD141" s="1083"/>
      <c r="BE141" s="1083"/>
      <c r="BF141" s="1083"/>
      <c r="BG141" s="1083"/>
      <c r="BH141" s="1083"/>
      <c r="BI141" s="1083"/>
      <c r="BJ141" s="1083"/>
      <c r="BK141" s="1083"/>
      <c r="BL141" s="1083"/>
      <c r="BM141" s="1083"/>
      <c r="BN141" s="1083"/>
      <c r="BO141" s="1083"/>
      <c r="BP141" s="1083"/>
      <c r="BQ141" s="1083"/>
      <c r="BR141" s="1083"/>
      <c r="BS141" s="1083"/>
      <c r="BT141" s="1083"/>
      <c r="BU141" s="1083"/>
    </row>
    <row r="142" spans="1:73" x14ac:dyDescent="0.25">
      <c r="A142" s="1083"/>
      <c r="B142" s="1083"/>
      <c r="C142" s="1107">
        <v>6</v>
      </c>
      <c r="D142" s="1087" t="str">
        <f t="shared" ref="D142:G142" ca="1" si="70">OFFSET(D$76,MATCH($C142,$N$101:$N$107,0)*3,0)</f>
        <v>Total Fixed Operating Cost = $96,252K</v>
      </c>
      <c r="E142" s="1100">
        <f t="shared" ca="1" si="70"/>
        <v>1.8677683298498582</v>
      </c>
      <c r="F142" s="1100">
        <f t="shared" ca="1" si="70"/>
        <v>0</v>
      </c>
      <c r="G142" s="1100">
        <f t="shared" ca="1" si="70"/>
        <v>3.6370810062790462E-3</v>
      </c>
      <c r="H142" s="1100"/>
      <c r="I142" s="1100"/>
      <c r="J142" s="1100"/>
      <c r="K142" s="1100"/>
      <c r="L142" s="1100"/>
      <c r="M142" s="1100"/>
      <c r="N142" s="1100"/>
      <c r="O142" s="1100"/>
      <c r="P142" s="1100"/>
      <c r="Q142" s="1100"/>
      <c r="R142" s="1100"/>
      <c r="S142" s="1100"/>
      <c r="T142" s="1083"/>
      <c r="U142" s="1083"/>
      <c r="V142" s="1083"/>
      <c r="W142" s="1083"/>
      <c r="X142" s="1083"/>
      <c r="Y142" s="1083"/>
      <c r="Z142" s="1083"/>
      <c r="AA142" s="1083"/>
      <c r="AB142" s="1083"/>
      <c r="AC142" s="1083"/>
      <c r="AD142" s="1083"/>
      <c r="AE142" s="1083"/>
      <c r="AF142" s="1083"/>
      <c r="AG142" s="1083"/>
      <c r="AH142" s="1083"/>
      <c r="AI142" s="1083"/>
      <c r="AJ142" s="1083"/>
      <c r="AK142" s="1083"/>
      <c r="AL142" s="1083"/>
      <c r="AM142" s="1083"/>
      <c r="AN142" s="1083"/>
      <c r="AO142" s="1083"/>
      <c r="AP142" s="1083"/>
      <c r="AQ142" s="1083"/>
      <c r="AR142" s="1083"/>
      <c r="AS142" s="1083"/>
      <c r="AT142" s="1083"/>
      <c r="AU142" s="1083"/>
      <c r="AV142" s="1083"/>
      <c r="AW142" s="1083"/>
      <c r="AX142" s="1083"/>
      <c r="AY142" s="1083"/>
      <c r="AZ142" s="1083"/>
      <c r="BA142" s="1083"/>
      <c r="BB142" s="1083"/>
      <c r="BC142" s="1083"/>
      <c r="BD142" s="1083"/>
      <c r="BE142" s="1083"/>
      <c r="BF142" s="1083"/>
      <c r="BG142" s="1083"/>
      <c r="BH142" s="1083"/>
      <c r="BI142" s="1083"/>
      <c r="BJ142" s="1083"/>
      <c r="BK142" s="1083"/>
      <c r="BL142" s="1083"/>
      <c r="BM142" s="1083"/>
      <c r="BN142" s="1083"/>
      <c r="BO142" s="1083"/>
      <c r="BP142" s="1083"/>
      <c r="BQ142" s="1083"/>
      <c r="BR142" s="1083"/>
      <c r="BS142" s="1083"/>
      <c r="BT142" s="1083"/>
      <c r="BU142" s="1083"/>
    </row>
    <row r="143" spans="1:73" x14ac:dyDescent="0.25">
      <c r="A143" s="1083"/>
      <c r="B143" s="1083"/>
      <c r="C143" s="1107"/>
      <c r="D143" s="1087"/>
      <c r="E143" s="1100"/>
      <c r="F143" s="1100"/>
      <c r="G143" s="1100"/>
      <c r="H143" s="1100">
        <f t="shared" ref="H143:S143" ca="1" si="71">OFFSET(H$76,MATCH($C142,$N$101:$N$107,0)*3,0)</f>
        <v>0.34534711025346798</v>
      </c>
      <c r="I143" s="1100">
        <f t="shared" ca="1" si="71"/>
        <v>0.23874163416600355</v>
      </c>
      <c r="J143" s="1100">
        <f t="shared" ca="1" si="71"/>
        <v>1.3451995041440954E-2</v>
      </c>
      <c r="K143" s="1100">
        <f t="shared" ca="1" si="71"/>
        <v>1.5837029979080296E-3</v>
      </c>
      <c r="L143" s="1100">
        <f t="shared" ca="1" si="71"/>
        <v>3.6308310639724464E-3</v>
      </c>
      <c r="M143" s="1100">
        <f t="shared" ca="1" si="71"/>
        <v>0.38343329841091622</v>
      </c>
      <c r="N143" s="1100">
        <f t="shared" ca="1" si="71"/>
        <v>0.40269372654596947</v>
      </c>
      <c r="O143" s="1100">
        <f t="shared" ca="1" si="71"/>
        <v>0</v>
      </c>
      <c r="P143" s="1100">
        <f t="shared" ca="1" si="71"/>
        <v>0.19976377164187348</v>
      </c>
      <c r="Q143" s="1100">
        <f t="shared" ca="1" si="71"/>
        <v>0.21997825832401219</v>
      </c>
      <c r="R143" s="1100">
        <f t="shared" ca="1" si="71"/>
        <v>5.2899157157576905E-2</v>
      </c>
      <c r="S143" s="1100">
        <f t="shared" ca="1" si="71"/>
        <v>9.8819252529944342E-3</v>
      </c>
      <c r="T143" s="1083"/>
      <c r="U143" s="1083"/>
      <c r="V143" s="1083"/>
      <c r="W143" s="1083"/>
      <c r="X143" s="1083"/>
      <c r="Y143" s="1083"/>
      <c r="Z143" s="1083"/>
      <c r="AA143" s="1083"/>
      <c r="AB143" s="1083"/>
      <c r="AC143" s="1083"/>
      <c r="AD143" s="1083"/>
      <c r="AE143" s="1083"/>
      <c r="AF143" s="1083"/>
      <c r="AG143" s="1083"/>
      <c r="AH143" s="1083"/>
      <c r="AI143" s="1083"/>
      <c r="AJ143" s="1083"/>
      <c r="AK143" s="1083"/>
      <c r="AL143" s="1083"/>
      <c r="AM143" s="1083"/>
      <c r="AN143" s="1083"/>
      <c r="AO143" s="1083"/>
      <c r="AP143" s="1083"/>
      <c r="AQ143" s="1083"/>
      <c r="AR143" s="1083"/>
      <c r="AS143" s="1083"/>
      <c r="AT143" s="1083"/>
      <c r="AU143" s="1083"/>
      <c r="AV143" s="1083"/>
      <c r="AW143" s="1083"/>
      <c r="AX143" s="1083"/>
      <c r="AY143" s="1083"/>
      <c r="AZ143" s="1083"/>
      <c r="BA143" s="1083"/>
      <c r="BB143" s="1083"/>
      <c r="BC143" s="1083"/>
      <c r="BD143" s="1083"/>
      <c r="BE143" s="1083"/>
      <c r="BF143" s="1083"/>
      <c r="BG143" s="1083"/>
      <c r="BH143" s="1083"/>
      <c r="BI143" s="1083"/>
      <c r="BJ143" s="1083"/>
      <c r="BK143" s="1083"/>
      <c r="BL143" s="1083"/>
      <c r="BM143" s="1083"/>
      <c r="BN143" s="1083"/>
      <c r="BO143" s="1083"/>
      <c r="BP143" s="1083"/>
      <c r="BQ143" s="1083"/>
      <c r="BR143" s="1083"/>
      <c r="BS143" s="1083"/>
      <c r="BT143" s="1083"/>
      <c r="BU143" s="1083"/>
    </row>
    <row r="144" spans="1:73" x14ac:dyDescent="0.25">
      <c r="A144" s="1083"/>
      <c r="B144" s="1083"/>
      <c r="C144" s="1107"/>
      <c r="D144" s="1087"/>
      <c r="E144" s="1100"/>
      <c r="F144" s="1100"/>
      <c r="G144" s="1100"/>
      <c r="H144" s="1100"/>
      <c r="I144" s="1100"/>
      <c r="J144" s="1100"/>
      <c r="K144" s="1100"/>
      <c r="L144" s="1100"/>
      <c r="M144" s="1100"/>
      <c r="N144" s="1100"/>
      <c r="O144" s="1100"/>
      <c r="P144" s="1100"/>
      <c r="Q144" s="1100"/>
      <c r="R144" s="1100"/>
      <c r="S144" s="1100"/>
      <c r="T144" s="1083"/>
      <c r="U144" s="1083"/>
      <c r="V144" s="1083"/>
      <c r="W144" s="1083"/>
      <c r="X144" s="1083"/>
      <c r="Y144" s="1083"/>
      <c r="Z144" s="1083"/>
      <c r="AA144" s="1083"/>
      <c r="AB144" s="1083"/>
      <c r="AC144" s="1083"/>
      <c r="AD144" s="1083"/>
      <c r="AE144" s="1083"/>
      <c r="AF144" s="1083"/>
      <c r="AG144" s="1083"/>
      <c r="AH144" s="1083"/>
      <c r="AI144" s="1083"/>
      <c r="AJ144" s="1083"/>
      <c r="AK144" s="1083"/>
      <c r="AL144" s="1083"/>
      <c r="AM144" s="1083"/>
      <c r="AN144" s="1083"/>
      <c r="AO144" s="1083"/>
      <c r="AP144" s="1083"/>
      <c r="AQ144" s="1083"/>
      <c r="AR144" s="1083"/>
      <c r="AS144" s="1083"/>
      <c r="AT144" s="1083"/>
      <c r="AU144" s="1083"/>
      <c r="AV144" s="1083"/>
      <c r="AW144" s="1083"/>
      <c r="AX144" s="1083"/>
      <c r="AY144" s="1083"/>
      <c r="AZ144" s="1083"/>
      <c r="BA144" s="1083"/>
      <c r="BB144" s="1083"/>
      <c r="BC144" s="1083"/>
      <c r="BD144" s="1083"/>
      <c r="BE144" s="1083"/>
      <c r="BF144" s="1083"/>
      <c r="BG144" s="1083"/>
      <c r="BH144" s="1083"/>
      <c r="BI144" s="1083"/>
      <c r="BJ144" s="1083"/>
      <c r="BK144" s="1083"/>
      <c r="BL144" s="1083"/>
      <c r="BM144" s="1083"/>
      <c r="BN144" s="1083"/>
      <c r="BO144" s="1083"/>
      <c r="BP144" s="1083"/>
      <c r="BQ144" s="1083"/>
      <c r="BR144" s="1083"/>
      <c r="BS144" s="1083"/>
      <c r="BT144" s="1083"/>
      <c r="BU144" s="1083"/>
    </row>
    <row r="145" spans="1:73" x14ac:dyDescent="0.25">
      <c r="A145" s="1083"/>
      <c r="B145" s="1083"/>
      <c r="C145" s="1107">
        <v>7</v>
      </c>
      <c r="D145" s="1087" t="str">
        <f t="shared" ref="D145:G145" ca="1" si="72">OFFSET(D$76,MATCH($C145,$N$101:$N$107,0)*3-2,0)</f>
        <v>Utilities Consumption (% of baseline) = 95%</v>
      </c>
      <c r="E145" s="1100">
        <f t="shared" ca="1" si="72"/>
        <v>1.8491740829657206</v>
      </c>
      <c r="F145" s="1100">
        <f t="shared" ca="1" si="72"/>
        <v>0</v>
      </c>
      <c r="G145" s="1100">
        <f t="shared" ca="1" si="72"/>
        <v>3.6370810062790462E-3</v>
      </c>
      <c r="H145" s="1100"/>
      <c r="I145" s="1100"/>
      <c r="J145" s="1100"/>
      <c r="K145" s="1100"/>
      <c r="L145" s="1100"/>
      <c r="M145" s="1100"/>
      <c r="N145" s="1100"/>
      <c r="O145" s="1100"/>
      <c r="P145" s="1100"/>
      <c r="Q145" s="1100"/>
      <c r="R145" s="1100"/>
      <c r="S145" s="1100"/>
      <c r="T145" s="1083"/>
      <c r="U145" s="1083"/>
      <c r="V145" s="1083"/>
      <c r="W145" s="1083"/>
      <c r="X145" s="1083"/>
      <c r="Y145" s="1083"/>
      <c r="Z145" s="1083"/>
      <c r="AA145" s="1083"/>
      <c r="AB145" s="1083"/>
      <c r="AC145" s="1083"/>
      <c r="AD145" s="1083"/>
      <c r="AE145" s="1083"/>
      <c r="AF145" s="1083"/>
      <c r="AG145" s="1083"/>
      <c r="AH145" s="1083"/>
      <c r="AI145" s="1083"/>
      <c r="AJ145" s="1083"/>
      <c r="AK145" s="1083"/>
      <c r="AL145" s="1083"/>
      <c r="AM145" s="1083"/>
      <c r="AN145" s="1083"/>
      <c r="AO145" s="1083"/>
      <c r="AP145" s="1083"/>
      <c r="AQ145" s="1083"/>
      <c r="AR145" s="1083"/>
      <c r="AS145" s="1083"/>
      <c r="AT145" s="1083"/>
      <c r="AU145" s="1083"/>
      <c r="AV145" s="1083"/>
      <c r="AW145" s="1083"/>
      <c r="AX145" s="1083"/>
      <c r="AY145" s="1083"/>
      <c r="AZ145" s="1083"/>
      <c r="BA145" s="1083"/>
      <c r="BB145" s="1083"/>
      <c r="BC145" s="1083"/>
      <c r="BD145" s="1083"/>
      <c r="BE145" s="1083"/>
      <c r="BF145" s="1083"/>
      <c r="BG145" s="1083"/>
      <c r="BH145" s="1083"/>
      <c r="BI145" s="1083"/>
      <c r="BJ145" s="1083"/>
      <c r="BK145" s="1083"/>
      <c r="BL145" s="1083"/>
      <c r="BM145" s="1083"/>
      <c r="BN145" s="1083"/>
      <c r="BO145" s="1083"/>
      <c r="BP145" s="1083"/>
      <c r="BQ145" s="1083"/>
      <c r="BR145" s="1083"/>
      <c r="BS145" s="1083"/>
      <c r="BT145" s="1083"/>
      <c r="BU145" s="1083"/>
    </row>
    <row r="146" spans="1:73" x14ac:dyDescent="0.25">
      <c r="A146" s="1083"/>
      <c r="B146" s="1083"/>
      <c r="C146" s="1107"/>
      <c r="D146" s="1087"/>
      <c r="E146" s="1100"/>
      <c r="F146" s="1100"/>
      <c r="G146" s="1100"/>
      <c r="H146" s="1100">
        <f t="shared" ref="H146:S146" ca="1" si="73">OFFSET(H$76,MATCH($C145,$N$101:$N$107,0)*3-2,0)</f>
        <v>0.34534711025346798</v>
      </c>
      <c r="I146" s="1100">
        <f t="shared" ca="1" si="73"/>
        <v>0.23874163416600355</v>
      </c>
      <c r="J146" s="1100">
        <f t="shared" ca="1" si="73"/>
        <v>1.320283908623009E-2</v>
      </c>
      <c r="K146" s="1100">
        <f t="shared" ca="1" si="73"/>
        <v>1.5837029979080296E-3</v>
      </c>
      <c r="L146" s="1100">
        <f t="shared" ca="1" si="73"/>
        <v>3.6308310639724464E-3</v>
      </c>
      <c r="M146" s="1100">
        <f t="shared" ca="1" si="73"/>
        <v>0.36517456991515829</v>
      </c>
      <c r="N146" s="1100">
        <f t="shared" ca="1" si="73"/>
        <v>0.40269372654596947</v>
      </c>
      <c r="O146" s="1100">
        <f t="shared" ca="1" si="73"/>
        <v>0</v>
      </c>
      <c r="P146" s="1100">
        <f t="shared" ca="1" si="73"/>
        <v>0.19976377164187348</v>
      </c>
      <c r="Q146" s="1100">
        <f t="shared" ca="1" si="73"/>
        <v>0.21997825832401219</v>
      </c>
      <c r="R146" s="1100">
        <f t="shared" ca="1" si="73"/>
        <v>5.281279472440787E-2</v>
      </c>
      <c r="S146" s="1100">
        <f t="shared" ca="1" si="73"/>
        <v>9.8819252529944342E-3</v>
      </c>
      <c r="T146" s="1083"/>
      <c r="U146" s="1083"/>
      <c r="V146" s="1083"/>
      <c r="W146" s="1083"/>
      <c r="X146" s="1083"/>
      <c r="Y146" s="1083"/>
      <c r="Z146" s="1083"/>
      <c r="AA146" s="1083"/>
      <c r="AB146" s="1083"/>
      <c r="AC146" s="1083"/>
      <c r="AD146" s="1083"/>
      <c r="AE146" s="1083"/>
      <c r="AF146" s="1083"/>
      <c r="AG146" s="1083"/>
      <c r="AH146" s="1083"/>
      <c r="AI146" s="1083"/>
      <c r="AJ146" s="1083"/>
      <c r="AK146" s="1083"/>
      <c r="AL146" s="1083"/>
      <c r="AM146" s="1083"/>
      <c r="AN146" s="1083"/>
      <c r="AO146" s="1083"/>
      <c r="AP146" s="1083"/>
      <c r="AQ146" s="1083"/>
      <c r="AR146" s="1083"/>
      <c r="AS146" s="1083"/>
      <c r="AT146" s="1083"/>
      <c r="AU146" s="1083"/>
      <c r="AV146" s="1083"/>
      <c r="AW146" s="1083"/>
      <c r="AX146" s="1083"/>
      <c r="AY146" s="1083"/>
      <c r="AZ146" s="1083"/>
      <c r="BA146" s="1083"/>
      <c r="BB146" s="1083"/>
      <c r="BC146" s="1083"/>
      <c r="BD146" s="1083"/>
      <c r="BE146" s="1083"/>
      <c r="BF146" s="1083"/>
      <c r="BG146" s="1083"/>
      <c r="BH146" s="1083"/>
      <c r="BI146" s="1083"/>
      <c r="BJ146" s="1083"/>
      <c r="BK146" s="1083"/>
      <c r="BL146" s="1083"/>
      <c r="BM146" s="1083"/>
      <c r="BN146" s="1083"/>
      <c r="BO146" s="1083"/>
      <c r="BP146" s="1083"/>
      <c r="BQ146" s="1083"/>
      <c r="BR146" s="1083"/>
      <c r="BS146" s="1083"/>
      <c r="BT146" s="1083"/>
      <c r="BU146" s="1083"/>
    </row>
    <row r="147" spans="1:73" x14ac:dyDescent="0.25">
      <c r="A147" s="1083"/>
      <c r="B147" s="1083"/>
      <c r="C147" s="1107">
        <v>7</v>
      </c>
      <c r="D147" s="1087" t="str">
        <f t="shared" ref="D147:G147" ca="1" si="74">OFFSET(D$76,MATCH($C147,$N$101:$N$107,0)*3,0)</f>
        <v>Utilities Consumption (% of baseline) = 105%</v>
      </c>
      <c r="E147" s="1100">
        <f t="shared" ca="1" si="74"/>
        <v>1.8491740829657206</v>
      </c>
      <c r="F147" s="1100">
        <f t="shared" ca="1" si="74"/>
        <v>0</v>
      </c>
      <c r="G147" s="1100">
        <f t="shared" ca="1" si="74"/>
        <v>3.6370810062790462E-3</v>
      </c>
      <c r="H147" s="1100"/>
      <c r="I147" s="1100"/>
      <c r="J147" s="1100"/>
      <c r="K147" s="1100"/>
      <c r="L147" s="1100"/>
      <c r="M147" s="1100"/>
      <c r="N147" s="1100"/>
      <c r="O147" s="1100"/>
      <c r="P147" s="1100"/>
      <c r="Q147" s="1100"/>
      <c r="R147" s="1100"/>
      <c r="S147" s="1100"/>
      <c r="T147" s="1083"/>
      <c r="U147" s="1083"/>
      <c r="V147" s="1083"/>
      <c r="W147" s="1083"/>
      <c r="X147" s="1083"/>
      <c r="Y147" s="1083"/>
      <c r="Z147" s="1083"/>
      <c r="AA147" s="1083"/>
      <c r="AB147" s="1083"/>
      <c r="AC147" s="1083"/>
      <c r="AD147" s="1083"/>
      <c r="AE147" s="1083"/>
      <c r="AF147" s="1083"/>
      <c r="AG147" s="1083"/>
      <c r="AH147" s="1083"/>
      <c r="AI147" s="1083"/>
      <c r="AJ147" s="1083"/>
      <c r="AK147" s="1083"/>
      <c r="AL147" s="1083"/>
      <c r="AM147" s="1083"/>
      <c r="AN147" s="1083"/>
      <c r="AO147" s="1083"/>
      <c r="AP147" s="1083"/>
      <c r="AQ147" s="1083"/>
      <c r="AR147" s="1083"/>
      <c r="AS147" s="1083"/>
      <c r="AT147" s="1083"/>
      <c r="AU147" s="1083"/>
      <c r="AV147" s="1083"/>
      <c r="AW147" s="1083"/>
      <c r="AX147" s="1083"/>
      <c r="AY147" s="1083"/>
      <c r="AZ147" s="1083"/>
      <c r="BA147" s="1083"/>
      <c r="BB147" s="1083"/>
      <c r="BC147" s="1083"/>
      <c r="BD147" s="1083"/>
      <c r="BE147" s="1083"/>
      <c r="BF147" s="1083"/>
      <c r="BG147" s="1083"/>
      <c r="BH147" s="1083"/>
      <c r="BI147" s="1083"/>
      <c r="BJ147" s="1083"/>
      <c r="BK147" s="1083"/>
      <c r="BL147" s="1083"/>
      <c r="BM147" s="1083"/>
      <c r="BN147" s="1083"/>
      <c r="BO147" s="1083"/>
      <c r="BP147" s="1083"/>
      <c r="BQ147" s="1083"/>
      <c r="BR147" s="1083"/>
      <c r="BS147" s="1083"/>
      <c r="BT147" s="1083"/>
      <c r="BU147" s="1083"/>
    </row>
    <row r="148" spans="1:73" x14ac:dyDescent="0.25">
      <c r="A148" s="1083"/>
      <c r="B148" s="1083"/>
      <c r="C148" s="1087"/>
      <c r="D148" s="1087"/>
      <c r="E148" s="1087"/>
      <c r="F148" s="1087"/>
      <c r="G148" s="1087"/>
      <c r="H148" s="1100">
        <f t="shared" ref="H148:S148" ca="1" si="75">OFFSET(H$76,MATCH($C147,$N$101:$N$107,0)*3,0)</f>
        <v>0.34534711025346798</v>
      </c>
      <c r="I148" s="1100">
        <f t="shared" ca="1" si="75"/>
        <v>0.23874163416600355</v>
      </c>
      <c r="J148" s="1100">
        <f t="shared" ca="1" si="75"/>
        <v>1.320283908623009E-2</v>
      </c>
      <c r="K148" s="1100">
        <f t="shared" ca="1" si="75"/>
        <v>1.5837029979080296E-3</v>
      </c>
      <c r="L148" s="1100">
        <f t="shared" ca="1" si="75"/>
        <v>3.6308310639724464E-3</v>
      </c>
      <c r="M148" s="1100">
        <f t="shared" ca="1" si="75"/>
        <v>0.36517456991515829</v>
      </c>
      <c r="N148" s="1100">
        <f t="shared" ca="1" si="75"/>
        <v>0.40269372654596947</v>
      </c>
      <c r="O148" s="1100">
        <f t="shared" ca="1" si="75"/>
        <v>0</v>
      </c>
      <c r="P148" s="1100">
        <f t="shared" ca="1" si="75"/>
        <v>0.19976377164187348</v>
      </c>
      <c r="Q148" s="1100">
        <f t="shared" ca="1" si="75"/>
        <v>0.21997825832401219</v>
      </c>
      <c r="R148" s="1100">
        <f t="shared" ca="1" si="75"/>
        <v>5.281279472440787E-2</v>
      </c>
      <c r="S148" s="1100">
        <f t="shared" ca="1" si="75"/>
        <v>9.8819252529944342E-3</v>
      </c>
      <c r="T148" s="1083"/>
      <c r="U148" s="1083"/>
      <c r="V148" s="1083"/>
      <c r="W148" s="1083"/>
      <c r="X148" s="1083"/>
      <c r="Y148" s="1083"/>
      <c r="Z148" s="1083"/>
      <c r="AA148" s="1083"/>
      <c r="AB148" s="1083"/>
      <c r="AC148" s="1083"/>
      <c r="AD148" s="1083"/>
      <c r="AE148" s="1083"/>
      <c r="AF148" s="1083"/>
      <c r="AG148" s="1083"/>
      <c r="AH148" s="1083"/>
      <c r="AI148" s="1083"/>
      <c r="AJ148" s="1083"/>
      <c r="AK148" s="1083"/>
      <c r="AL148" s="1083"/>
      <c r="AM148" s="1083"/>
      <c r="AN148" s="1083"/>
      <c r="AO148" s="1083"/>
      <c r="AP148" s="1083"/>
      <c r="AQ148" s="1083"/>
      <c r="AR148" s="1083"/>
      <c r="AS148" s="1083"/>
      <c r="AT148" s="1083"/>
      <c r="AU148" s="1083"/>
      <c r="AV148" s="1083"/>
      <c r="AW148" s="1083"/>
      <c r="AX148" s="1083"/>
      <c r="AY148" s="1083"/>
      <c r="AZ148" s="1083"/>
      <c r="BA148" s="1083"/>
      <c r="BB148" s="1083"/>
      <c r="BC148" s="1083"/>
      <c r="BD148" s="1083"/>
      <c r="BE148" s="1083"/>
      <c r="BF148" s="1083"/>
      <c r="BG148" s="1083"/>
      <c r="BH148" s="1083"/>
      <c r="BI148" s="1083"/>
      <c r="BJ148" s="1083"/>
      <c r="BK148" s="1083"/>
      <c r="BL148" s="1083"/>
      <c r="BM148" s="1083"/>
      <c r="BN148" s="1083"/>
      <c r="BO148" s="1083"/>
      <c r="BP148" s="1083"/>
      <c r="BQ148" s="1083"/>
      <c r="BR148" s="1083"/>
      <c r="BS148" s="1083"/>
      <c r="BT148" s="1083"/>
      <c r="BU148" s="1083"/>
    </row>
    <row r="149" spans="1:73" x14ac:dyDescent="0.25">
      <c r="A149" s="1083"/>
      <c r="B149" s="1083"/>
      <c r="C149" s="1083"/>
      <c r="D149" s="1083"/>
      <c r="E149" s="1083"/>
      <c r="F149" s="1083"/>
      <c r="G149" s="1083"/>
      <c r="H149" s="1083"/>
      <c r="I149" s="1083"/>
      <c r="J149" s="1083"/>
      <c r="K149" s="1083"/>
      <c r="L149" s="1083"/>
      <c r="M149" s="1083"/>
      <c r="N149" s="1083"/>
      <c r="O149" s="1083"/>
      <c r="P149" s="1083"/>
      <c r="Q149" s="1083"/>
      <c r="R149" s="1083"/>
      <c r="S149" s="1083"/>
      <c r="T149" s="1083"/>
      <c r="U149" s="1083"/>
      <c r="V149" s="1083"/>
      <c r="W149" s="1083"/>
      <c r="X149" s="1083"/>
      <c r="Y149" s="1083"/>
      <c r="Z149" s="1083"/>
      <c r="AA149" s="1083"/>
      <c r="AB149" s="1083"/>
      <c r="AC149" s="1083"/>
      <c r="AD149" s="1083"/>
      <c r="AE149" s="1083"/>
      <c r="AF149" s="1083"/>
      <c r="AG149" s="1083"/>
      <c r="AH149" s="1083"/>
      <c r="AI149" s="1083"/>
      <c r="AJ149" s="1083"/>
      <c r="AK149" s="1083"/>
      <c r="AL149" s="1083"/>
      <c r="AM149" s="1083"/>
      <c r="AN149" s="1083"/>
      <c r="AO149" s="1083"/>
      <c r="AP149" s="1083"/>
      <c r="AQ149" s="1083"/>
      <c r="AR149" s="1083"/>
      <c r="AS149" s="1083"/>
      <c r="AT149" s="1083"/>
      <c r="AU149" s="1083"/>
      <c r="AV149" s="1083"/>
      <c r="AW149" s="1083"/>
      <c r="AX149" s="1083"/>
      <c r="AY149" s="1083"/>
      <c r="AZ149" s="1083"/>
      <c r="BA149" s="1083"/>
      <c r="BB149" s="1083"/>
      <c r="BC149" s="1083"/>
      <c r="BD149" s="1083"/>
      <c r="BE149" s="1083"/>
      <c r="BF149" s="1083"/>
      <c r="BG149" s="1083"/>
      <c r="BH149" s="1083"/>
      <c r="BI149" s="1083"/>
      <c r="BJ149" s="1083"/>
      <c r="BK149" s="1083"/>
      <c r="BL149" s="1083"/>
      <c r="BM149" s="1083"/>
      <c r="BN149" s="1083"/>
      <c r="BO149" s="1083"/>
      <c r="BP149" s="1083"/>
      <c r="BQ149" s="1083"/>
      <c r="BR149" s="1083"/>
      <c r="BS149" s="1083"/>
      <c r="BT149" s="1083"/>
      <c r="BU149" s="1083"/>
    </row>
    <row r="150" spans="1:73" x14ac:dyDescent="0.25">
      <c r="A150" s="1083"/>
      <c r="B150" s="1083"/>
      <c r="C150" s="1083"/>
      <c r="D150" s="1083"/>
      <c r="E150" s="1083"/>
      <c r="F150" s="1083"/>
      <c r="G150" s="1083"/>
      <c r="H150" s="1083"/>
      <c r="I150" s="1083"/>
      <c r="J150" s="1083"/>
      <c r="K150" s="1083"/>
      <c r="L150" s="1083"/>
      <c r="M150" s="1083"/>
      <c r="N150" s="1083"/>
      <c r="O150" s="1083"/>
      <c r="P150" s="1083"/>
      <c r="Q150" s="1083"/>
      <c r="R150" s="1083"/>
      <c r="S150" s="1083"/>
      <c r="T150" s="1083"/>
      <c r="U150" s="1083"/>
      <c r="V150" s="1083"/>
      <c r="W150" s="1083"/>
      <c r="X150" s="1083"/>
      <c r="Y150" s="1083"/>
      <c r="Z150" s="1083"/>
      <c r="AA150" s="1083"/>
      <c r="AB150" s="1083"/>
      <c r="AC150" s="1083"/>
      <c r="AD150" s="1083"/>
      <c r="AE150" s="1083"/>
      <c r="AF150" s="1083"/>
      <c r="AG150" s="1083"/>
      <c r="AH150" s="1083"/>
      <c r="AI150" s="1083"/>
      <c r="AJ150" s="1083"/>
      <c r="AK150" s="1083"/>
      <c r="AL150" s="1083"/>
      <c r="AM150" s="1083"/>
      <c r="AN150" s="1083"/>
      <c r="AO150" s="1083"/>
      <c r="AP150" s="1083"/>
      <c r="AQ150" s="1083"/>
      <c r="AR150" s="1083"/>
      <c r="AS150" s="1083"/>
      <c r="AT150" s="1083"/>
      <c r="AU150" s="1083"/>
      <c r="AV150" s="1083"/>
      <c r="AW150" s="1083"/>
      <c r="AX150" s="1083"/>
      <c r="AY150" s="1083"/>
      <c r="AZ150" s="1083"/>
      <c r="BA150" s="1083"/>
      <c r="BB150" s="1083"/>
      <c r="BC150" s="1083"/>
      <c r="BD150" s="1083"/>
      <c r="BE150" s="1083"/>
      <c r="BF150" s="1083"/>
      <c r="BG150" s="1083"/>
      <c r="BH150" s="1083"/>
      <c r="BI150" s="1083"/>
      <c r="BJ150" s="1083"/>
      <c r="BK150" s="1083"/>
      <c r="BL150" s="1083"/>
      <c r="BM150" s="1083"/>
      <c r="BN150" s="1083"/>
      <c r="BO150" s="1083"/>
      <c r="BP150" s="1083"/>
      <c r="BQ150" s="1083"/>
      <c r="BR150" s="1083"/>
      <c r="BS150" s="1083"/>
      <c r="BT150" s="1083"/>
      <c r="BU150" s="1083"/>
    </row>
    <row r="151" spans="1:73" x14ac:dyDescent="0.25">
      <c r="A151" s="1083"/>
      <c r="B151" s="1083"/>
      <c r="C151" s="1083"/>
      <c r="D151" s="1083"/>
      <c r="E151" s="1083"/>
      <c r="F151" s="1083"/>
      <c r="G151" s="1083"/>
      <c r="H151" s="1083"/>
      <c r="I151" s="1083"/>
      <c r="J151" s="1083"/>
      <c r="K151" s="1083"/>
      <c r="L151" s="1083"/>
      <c r="M151" s="1083"/>
      <c r="N151" s="1083"/>
      <c r="O151" s="1083"/>
      <c r="P151" s="1083"/>
      <c r="Q151" s="1083"/>
      <c r="R151" s="1083"/>
      <c r="S151" s="1083"/>
      <c r="T151" s="1083"/>
      <c r="U151" s="1083"/>
      <c r="V151" s="1083"/>
      <c r="W151" s="1083"/>
      <c r="X151" s="1083"/>
      <c r="Y151" s="1083"/>
      <c r="Z151" s="1083"/>
      <c r="AA151" s="1083"/>
      <c r="AB151" s="1083"/>
      <c r="AC151" s="1083"/>
      <c r="AD151" s="1083"/>
      <c r="AE151" s="1083"/>
      <c r="AF151" s="1083"/>
      <c r="AG151" s="1083"/>
      <c r="AH151" s="1083"/>
      <c r="AI151" s="1083"/>
      <c r="AJ151" s="1083"/>
      <c r="AK151" s="1083"/>
      <c r="AL151" s="1083"/>
      <c r="AM151" s="1083"/>
      <c r="AN151" s="1083"/>
      <c r="AO151" s="1083"/>
      <c r="AP151" s="1083"/>
      <c r="AQ151" s="1083"/>
      <c r="AR151" s="1083"/>
      <c r="AS151" s="1083"/>
    </row>
    <row r="152" spans="1:73" x14ac:dyDescent="0.25">
      <c r="A152" s="1083"/>
      <c r="B152" s="1085" t="s">
        <v>1163</v>
      </c>
      <c r="C152" s="1083"/>
      <c r="D152" s="1083"/>
      <c r="E152" s="1083"/>
      <c r="F152" s="1083"/>
      <c r="G152" s="1083"/>
      <c r="H152" s="1083"/>
      <c r="I152" s="1083"/>
      <c r="J152" s="1083"/>
      <c r="K152" s="1083"/>
      <c r="L152" s="1083"/>
      <c r="M152" s="1083"/>
      <c r="N152" s="1083"/>
      <c r="O152" s="1083"/>
      <c r="P152" s="1083"/>
      <c r="Q152" s="1083"/>
      <c r="R152" s="1083"/>
      <c r="S152" s="1083"/>
      <c r="T152" s="1083"/>
      <c r="U152" s="1083"/>
      <c r="V152" s="1083"/>
      <c r="W152" s="1083"/>
      <c r="X152" s="1083"/>
      <c r="Y152" s="1083"/>
      <c r="Z152" s="1083"/>
      <c r="AA152" s="1083"/>
      <c r="AB152" s="1083"/>
      <c r="AC152" s="1083"/>
      <c r="AD152" s="1083"/>
      <c r="AE152" s="1083"/>
      <c r="AF152" s="1083"/>
      <c r="AG152" s="1083"/>
      <c r="AH152" s="1083"/>
      <c r="AI152" s="1083"/>
      <c r="AJ152" s="1083"/>
      <c r="AK152" s="1083"/>
      <c r="AL152" s="1083"/>
      <c r="AM152" s="1083"/>
      <c r="AN152" s="1083"/>
      <c r="AO152" s="1083"/>
      <c r="AP152" s="1083"/>
      <c r="AQ152" s="1083"/>
      <c r="AR152" s="1083"/>
      <c r="AS152" s="1083"/>
    </row>
    <row r="153" spans="1:73" x14ac:dyDescent="0.25">
      <c r="A153" s="1083"/>
      <c r="B153" s="1083"/>
      <c r="C153" s="1083"/>
      <c r="D153" s="1094" t="s">
        <v>1167</v>
      </c>
      <c r="E153" s="1094"/>
      <c r="F153" s="1094"/>
      <c r="G153" s="1094"/>
      <c r="H153" s="1094"/>
      <c r="I153" s="1094"/>
      <c r="J153" s="1083"/>
      <c r="K153" s="1083"/>
      <c r="L153" s="1083"/>
      <c r="M153" s="1083"/>
      <c r="N153" s="1083"/>
      <c r="O153" s="1083"/>
      <c r="P153" s="1083"/>
      <c r="Q153" s="1083"/>
      <c r="R153" s="1083"/>
      <c r="S153" s="1083"/>
      <c r="T153" s="1083"/>
      <c r="U153" s="1083"/>
      <c r="V153" s="1083"/>
      <c r="W153" s="1083"/>
      <c r="X153" s="1083"/>
      <c r="Y153" s="1083"/>
      <c r="Z153" s="1083"/>
      <c r="AA153" s="1083"/>
      <c r="AB153" s="1083"/>
      <c r="AC153" s="1083"/>
      <c r="AD153" s="1083"/>
      <c r="AE153" s="1083"/>
      <c r="AF153" s="1083"/>
      <c r="AG153" s="1083"/>
      <c r="AH153" s="1083"/>
      <c r="AI153" s="1083"/>
      <c r="AJ153" s="1083"/>
      <c r="AK153" s="1083"/>
      <c r="AL153" s="1083"/>
      <c r="AM153" s="1083"/>
      <c r="AN153" s="1083"/>
      <c r="AO153" s="1083"/>
      <c r="AP153" s="1083"/>
      <c r="AQ153" s="1083"/>
      <c r="AR153" s="1083"/>
      <c r="AS153" s="1083"/>
    </row>
    <row r="154" spans="1:73" ht="26.4" x14ac:dyDescent="0.25">
      <c r="A154" s="1083"/>
      <c r="B154" s="1085"/>
      <c r="C154" s="1083"/>
      <c r="D154" s="1094" t="s">
        <v>1166</v>
      </c>
      <c r="E154" s="1094" t="s">
        <v>1172</v>
      </c>
      <c r="F154" s="1094" t="s">
        <v>1168</v>
      </c>
      <c r="G154" s="1094" t="s">
        <v>1169</v>
      </c>
      <c r="H154" s="1094" t="s">
        <v>1170</v>
      </c>
      <c r="I154" s="1094" t="s">
        <v>1171</v>
      </c>
      <c r="J154" s="1083"/>
      <c r="K154" s="1094" t="s">
        <v>1201</v>
      </c>
      <c r="L154" s="1094" t="s">
        <v>1199</v>
      </c>
      <c r="M154" s="1094" t="s">
        <v>1200</v>
      </c>
      <c r="N154" s="1094" t="s">
        <v>1202</v>
      </c>
      <c r="O154" s="1083"/>
      <c r="P154" s="1083"/>
      <c r="Q154" s="1083"/>
      <c r="R154" s="1083"/>
      <c r="S154" s="1083"/>
      <c r="T154" s="1083"/>
      <c r="U154" s="1083"/>
      <c r="V154" s="1083"/>
      <c r="W154" s="1083"/>
      <c r="X154" s="1083"/>
      <c r="Y154" s="1083"/>
      <c r="Z154" s="1083"/>
      <c r="AA154" s="1083"/>
      <c r="AB154" s="1083"/>
      <c r="AC154" s="1083"/>
      <c r="AD154" s="1083"/>
      <c r="AE154" s="1083"/>
      <c r="AF154" s="1083"/>
      <c r="AG154" s="1083"/>
      <c r="AH154" s="1083"/>
      <c r="AI154" s="1083"/>
      <c r="AJ154" s="1083"/>
      <c r="AK154" s="1083"/>
      <c r="AL154" s="1083"/>
      <c r="AM154" s="1083"/>
      <c r="AN154" s="1083"/>
      <c r="AO154" s="1083"/>
      <c r="AP154" s="1083"/>
      <c r="AQ154" s="1083"/>
      <c r="AR154" s="1083"/>
      <c r="AS154" s="1083"/>
    </row>
    <row r="155" spans="1:73" x14ac:dyDescent="0.25">
      <c r="A155" s="1083"/>
      <c r="B155" s="1085" t="s">
        <v>1165</v>
      </c>
      <c r="C155" s="1083">
        <v>1</v>
      </c>
      <c r="D155" s="1086" t="s">
        <v>1180</v>
      </c>
      <c r="E155" s="1100">
        <f ca="1">+K48+C155/10000000000</f>
        <v>2.096272488634916</v>
      </c>
      <c r="F155" s="1087">
        <f ca="1">+RANK(E155,$E$155:$E$157)</f>
        <v>1</v>
      </c>
      <c r="G155" s="1092">
        <v>1</v>
      </c>
      <c r="H155" s="1087" t="str">
        <f ca="1">OFFSET($D$154,MATCH($G155,$F$155:$F$157,0),0)</f>
        <v>Cost of Hydrogen</v>
      </c>
      <c r="I155" s="1102">
        <f ca="1">OFFSET($E$154,MATCH($G155,$F$155:$F$157,0),0)-OFFSET($C$154,MATCH($G155,$F$155:$F$157,0),0)/10000000000</f>
        <v>2.096272488534916</v>
      </c>
      <c r="J155" s="1083"/>
      <c r="K155" s="1087" t="str">
        <f ca="1">+H155</f>
        <v>Cost of Hydrogen</v>
      </c>
      <c r="L155" s="1100">
        <f ca="1">+I155</f>
        <v>2.096272488534916</v>
      </c>
      <c r="M155" s="1087"/>
      <c r="N155" s="1087" t="str">
        <f ca="1">+IF(L155&gt;0,K155,"")</f>
        <v>Cost of Hydrogen</v>
      </c>
      <c r="O155" s="1083"/>
      <c r="P155" s="1083"/>
      <c r="Q155" s="1083"/>
      <c r="R155" s="1083"/>
      <c r="S155" s="1083"/>
      <c r="T155" s="1083"/>
      <c r="U155" s="1083"/>
      <c r="V155" s="1083"/>
      <c r="W155" s="1083"/>
      <c r="X155" s="1083"/>
      <c r="Y155" s="1083"/>
      <c r="Z155" s="1083"/>
      <c r="AA155" s="1083"/>
      <c r="AB155" s="1083"/>
      <c r="AC155" s="1083"/>
      <c r="AD155" s="1083"/>
      <c r="AE155" s="1083"/>
      <c r="AF155" s="1083"/>
      <c r="AG155" s="1083"/>
      <c r="AH155" s="1083"/>
      <c r="AI155" s="1083"/>
      <c r="AJ155" s="1083"/>
    </row>
    <row r="156" spans="1:73" x14ac:dyDescent="0.25">
      <c r="A156" s="1083"/>
      <c r="B156" s="1085"/>
      <c r="C156" s="1083">
        <v>2</v>
      </c>
      <c r="D156" s="1087" t="str">
        <f>+F110</f>
        <v>Byproduct Sales</v>
      </c>
      <c r="E156" s="1100">
        <f ca="1">+L48+C156/10000000000</f>
        <v>2.0000000000000001E-10</v>
      </c>
      <c r="F156" s="1087">
        <f ca="1">+RANK(E156,$E$155:$E$157)</f>
        <v>3</v>
      </c>
      <c r="G156" s="1092">
        <v>2</v>
      </c>
      <c r="H156" s="1087" t="str">
        <f ca="1">OFFSET($D$154,MATCH($G156,$F$155:$F$157,0),0)</f>
        <v>Salvage Value</v>
      </c>
      <c r="I156" s="1102">
        <f ca="1">OFFSET($E$154,MATCH($G156,$F$155:$F$157,0),0)-OFFSET($C$154,MATCH($G156,$F$155:$F$157,0),0)/10000000000</f>
        <v>7.833954497661123E-3</v>
      </c>
      <c r="J156" s="1083"/>
      <c r="K156" s="1087" t="str">
        <f t="shared" ref="K156:K170" ca="1" si="76">+H156</f>
        <v>Salvage Value</v>
      </c>
      <c r="L156" s="1100">
        <f t="shared" ref="L156:L157" ca="1" si="77">+I156</f>
        <v>7.833954497661123E-3</v>
      </c>
      <c r="M156" s="1087"/>
      <c r="N156" s="1087" t="str">
        <f t="shared" ref="N156:N157" ca="1" si="78">+IF(L156&gt;0,K156,"")</f>
        <v>Salvage Value</v>
      </c>
      <c r="O156" s="1083"/>
      <c r="P156" s="1083"/>
      <c r="Q156" s="1083"/>
      <c r="R156" s="1083"/>
      <c r="S156" s="1083"/>
      <c r="T156" s="1083"/>
      <c r="U156" s="1083"/>
      <c r="V156" s="1083"/>
      <c r="W156" s="1083"/>
      <c r="X156" s="1083"/>
      <c r="Y156" s="1083"/>
      <c r="Z156" s="1083"/>
      <c r="AA156" s="1083"/>
      <c r="AB156" s="1083"/>
      <c r="AC156" s="1083"/>
      <c r="AD156" s="1083"/>
      <c r="AE156" s="1083"/>
      <c r="AF156" s="1083"/>
      <c r="AG156" s="1083"/>
      <c r="AH156" s="1083"/>
      <c r="AI156" s="1083"/>
      <c r="AJ156" s="1083"/>
    </row>
    <row r="157" spans="1:73" x14ac:dyDescent="0.25">
      <c r="A157" s="1083"/>
      <c r="B157" s="1085"/>
      <c r="C157" s="1083">
        <v>3</v>
      </c>
      <c r="D157" s="1087" t="str">
        <f>+G110</f>
        <v>Salvage Value</v>
      </c>
      <c r="E157" s="1100">
        <f ca="1">+M48+C157/10000000000</f>
        <v>7.8339547976611235E-3</v>
      </c>
      <c r="F157" s="1087">
        <f ca="1">+RANK(E157,$E$155:$E$157)</f>
        <v>2</v>
      </c>
      <c r="G157" s="1092">
        <v>3</v>
      </c>
      <c r="H157" s="1087" t="str">
        <f ca="1">OFFSET($D$154,MATCH($G157,$F$155:$F$157,0),0)</f>
        <v>Byproduct Sales</v>
      </c>
      <c r="I157" s="1102">
        <f ca="1">OFFSET($E$154,MATCH($G157,$F$155:$F$157,0),0)-OFFSET($C$154,MATCH($G157,$F$155:$F$157,0),0)/10000000000</f>
        <v>0</v>
      </c>
      <c r="J157" s="1083"/>
      <c r="K157" s="1087" t="str">
        <f t="shared" ca="1" si="76"/>
        <v>Byproduct Sales</v>
      </c>
      <c r="L157" s="1100">
        <f t="shared" ca="1" si="77"/>
        <v>0</v>
      </c>
      <c r="M157" s="1087"/>
      <c r="N157" s="1087" t="str">
        <f t="shared" ca="1" si="78"/>
        <v/>
      </c>
      <c r="O157" s="1083"/>
      <c r="P157" s="1083"/>
      <c r="Q157" s="1083"/>
      <c r="R157" s="1083"/>
      <c r="S157" s="1083"/>
      <c r="T157" s="1083"/>
      <c r="U157" s="1083"/>
      <c r="V157" s="1083"/>
      <c r="W157" s="1083"/>
      <c r="X157" s="1083"/>
      <c r="Y157" s="1083"/>
      <c r="Z157" s="1083"/>
      <c r="AA157" s="1083"/>
      <c r="AB157" s="1083"/>
      <c r="AC157" s="1083"/>
      <c r="AD157" s="1083"/>
      <c r="AE157" s="1083"/>
      <c r="AF157" s="1083"/>
      <c r="AG157" s="1083"/>
      <c r="AH157" s="1083"/>
      <c r="AI157" s="1083"/>
      <c r="AJ157" s="1083"/>
    </row>
    <row r="158" spans="1:73" x14ac:dyDescent="0.25">
      <c r="A158" s="1083"/>
      <c r="B158" s="1085"/>
      <c r="C158" s="1083"/>
      <c r="D158" s="1085"/>
      <c r="E158" s="1085"/>
      <c r="F158" s="1085"/>
      <c r="G158" s="1085"/>
      <c r="H158" s="1085"/>
      <c r="I158" s="1113"/>
      <c r="J158" s="1083"/>
      <c r="K158" s="1087"/>
      <c r="L158" s="1087"/>
      <c r="M158" s="1100"/>
      <c r="N158" s="1087" t="str">
        <f t="shared" ref="N158" si="79">+IF(L158&gt;0.01,K158,"")</f>
        <v/>
      </c>
      <c r="O158" s="1083"/>
      <c r="P158" s="1083"/>
      <c r="Q158" s="1083"/>
      <c r="R158" s="1083"/>
      <c r="S158" s="1083"/>
      <c r="T158" s="1083"/>
      <c r="U158" s="1083"/>
      <c r="V158" s="1083"/>
      <c r="W158" s="1083"/>
      <c r="X158" s="1083"/>
      <c r="Y158" s="1083"/>
      <c r="Z158" s="1083"/>
      <c r="AA158" s="1083"/>
      <c r="AB158" s="1083"/>
      <c r="AC158" s="1083"/>
      <c r="AD158" s="1083"/>
      <c r="AE158" s="1083"/>
      <c r="AF158" s="1083"/>
      <c r="AG158" s="1083"/>
      <c r="AH158" s="1083"/>
      <c r="AI158" s="1083"/>
      <c r="AJ158" s="1083"/>
    </row>
    <row r="159" spans="1:73" x14ac:dyDescent="0.25">
      <c r="A159" s="1083"/>
      <c r="B159" s="1085" t="s">
        <v>1164</v>
      </c>
      <c r="C159" s="1083">
        <v>1</v>
      </c>
      <c r="D159" s="1087" t="str">
        <f>+H110</f>
        <v>Initial Equity Depreciable Capital</v>
      </c>
      <c r="E159" s="1100">
        <f ca="1">+N48+C159/10000000000</f>
        <v>0.34493720760075097</v>
      </c>
      <c r="F159" s="1087">
        <f t="shared" ref="F159:F170" ca="1" si="80">+RANK(E159,$E$159:$E$170)</f>
        <v>3</v>
      </c>
      <c r="G159" s="1092">
        <v>1</v>
      </c>
      <c r="H159" s="1087" t="str">
        <f t="shared" ref="H159:H170" ca="1" si="81">OFFSET($D$158,MATCH($G159,$F$159:$F$170,0),0)</f>
        <v>Feedstock Cost</v>
      </c>
      <c r="I159" s="1102">
        <f t="shared" ref="I159:I170" ca="1" si="82">OFFSET($E$158,MATCH($G159,$F$159:$F$170,0),0)-OFFSET($C$158,MATCH($G159,$F$159:$F$170,0),0)/10000000000</f>
        <v>0.48092254303115112</v>
      </c>
      <c r="J159" s="1083"/>
      <c r="K159" s="1087" t="str">
        <f t="shared" ca="1" si="76"/>
        <v>Feedstock Cost</v>
      </c>
      <c r="L159" s="1087"/>
      <c r="M159" s="1100">
        <f ca="1">+I159</f>
        <v>0.48092254303115112</v>
      </c>
      <c r="N159" s="1087" t="str">
        <f ca="1">+IF(M159&gt;0,K159,"")</f>
        <v>Feedstock Cost</v>
      </c>
      <c r="O159" s="1083"/>
      <c r="P159" s="1083"/>
      <c r="Q159" s="1083"/>
      <c r="R159" s="1083"/>
      <c r="S159" s="1083"/>
      <c r="T159" s="1083"/>
      <c r="U159" s="1083"/>
      <c r="V159" s="1083"/>
      <c r="W159" s="1083"/>
      <c r="X159" s="1083"/>
      <c r="Y159" s="1083"/>
      <c r="Z159" s="1083"/>
      <c r="AA159" s="1083"/>
      <c r="AB159" s="1083"/>
      <c r="AC159" s="1083"/>
      <c r="AD159" s="1083"/>
      <c r="AE159" s="1083"/>
      <c r="AF159" s="1083"/>
      <c r="AG159" s="1083"/>
      <c r="AH159" s="1083"/>
      <c r="AI159" s="1083"/>
      <c r="AJ159" s="1083"/>
    </row>
    <row r="160" spans="1:73" x14ac:dyDescent="0.25">
      <c r="A160" s="1083"/>
      <c r="B160" s="1083"/>
      <c r="C160" s="1083">
        <f>+C159+1</f>
        <v>2</v>
      </c>
      <c r="D160" s="1087" t="str">
        <f>+I110</f>
        <v>Yearly Replacement Costs</v>
      </c>
      <c r="E160" s="1100">
        <f ca="1">+O48+C160/10000000000</f>
        <v>0.21027636623129989</v>
      </c>
      <c r="F160" s="1087">
        <f t="shared" ca="1" si="80"/>
        <v>6</v>
      </c>
      <c r="G160" s="1092">
        <v>2</v>
      </c>
      <c r="H160" s="1087" t="str">
        <f t="shared" ca="1" si="81"/>
        <v>Fixed Operating Cost</v>
      </c>
      <c r="I160" s="1102">
        <f t="shared" ca="1" si="82"/>
        <v>0.45559227155166604</v>
      </c>
      <c r="J160" s="1083"/>
      <c r="K160" s="1087" t="str">
        <f t="shared" ca="1" si="76"/>
        <v>Fixed Operating Cost</v>
      </c>
      <c r="L160" s="1087"/>
      <c r="M160" s="1100">
        <f t="shared" ref="M160:M170" ca="1" si="83">+I160</f>
        <v>0.45559227155166604</v>
      </c>
      <c r="N160" s="1087" t="str">
        <f t="shared" ref="N160:N170" ca="1" si="84">+IF(M160&gt;0,K160,"")</f>
        <v>Fixed Operating Cost</v>
      </c>
      <c r="O160" s="1083"/>
      <c r="P160" s="1083"/>
      <c r="Q160" s="1083"/>
      <c r="R160" s="1083"/>
      <c r="S160" s="1083"/>
      <c r="T160" s="1083"/>
      <c r="U160" s="1083"/>
      <c r="V160" s="1083"/>
      <c r="W160" s="1083"/>
      <c r="X160" s="1083"/>
      <c r="Y160" s="1083"/>
      <c r="Z160" s="1083"/>
      <c r="AA160" s="1083"/>
      <c r="AB160" s="1083"/>
      <c r="AC160" s="1083"/>
      <c r="AD160" s="1083"/>
      <c r="AE160" s="1083"/>
      <c r="AF160" s="1083"/>
      <c r="AG160" s="1083"/>
      <c r="AH160" s="1083"/>
      <c r="AI160" s="1083"/>
      <c r="AJ160" s="1083"/>
    </row>
    <row r="161" spans="1:36" x14ac:dyDescent="0.25">
      <c r="A161" s="1083"/>
      <c r="B161" s="1083"/>
      <c r="C161" s="1083">
        <f t="shared" ref="C161:C170" si="85">+C160+1</f>
        <v>3</v>
      </c>
      <c r="D161" s="1087" t="str">
        <f>+J110</f>
        <v>Cash for Working Capital Reserve</v>
      </c>
      <c r="E161" s="1100">
        <f ca="1">+P48+C161/10000000000</f>
        <v>1.6716247550263984E-2</v>
      </c>
      <c r="F161" s="1087">
        <f t="shared" ca="1" si="80"/>
        <v>9</v>
      </c>
      <c r="G161" s="1092">
        <v>3</v>
      </c>
      <c r="H161" s="1087" t="str">
        <f t="shared" ca="1" si="81"/>
        <v>Initial Equity Depreciable Capital</v>
      </c>
      <c r="I161" s="1102">
        <f t="shared" ca="1" si="82"/>
        <v>0.34493720750075096</v>
      </c>
      <c r="J161" s="1083"/>
      <c r="K161" s="1087" t="str">
        <f t="shared" ca="1" si="76"/>
        <v>Initial Equity Depreciable Capital</v>
      </c>
      <c r="L161" s="1087"/>
      <c r="M161" s="1100">
        <f t="shared" ca="1" si="83"/>
        <v>0.34493720750075096</v>
      </c>
      <c r="N161" s="1087" t="str">
        <f t="shared" ca="1" si="84"/>
        <v>Initial Equity Depreciable Capital</v>
      </c>
      <c r="O161" s="1083"/>
      <c r="P161" s="1083"/>
      <c r="Q161" s="1083"/>
      <c r="R161" s="1083"/>
      <c r="S161" s="1083"/>
      <c r="T161" s="1083"/>
      <c r="U161" s="1083"/>
      <c r="V161" s="1083"/>
      <c r="W161" s="1083"/>
      <c r="X161" s="1083"/>
      <c r="Y161" s="1083"/>
      <c r="Z161" s="1083"/>
      <c r="AA161" s="1083"/>
      <c r="AB161" s="1083"/>
      <c r="AC161" s="1083"/>
      <c r="AD161" s="1083"/>
      <c r="AE161" s="1083"/>
      <c r="AF161" s="1083"/>
      <c r="AG161" s="1083"/>
      <c r="AH161" s="1083"/>
      <c r="AI161" s="1083"/>
      <c r="AJ161" s="1083"/>
    </row>
    <row r="162" spans="1:36" x14ac:dyDescent="0.25">
      <c r="A162" s="1083"/>
      <c r="B162" s="1083"/>
      <c r="C162" s="1083">
        <f t="shared" si="85"/>
        <v>4</v>
      </c>
      <c r="D162" s="1087" t="str">
        <f>+K110</f>
        <v>Other Non-Depreciable Capital Costs</v>
      </c>
      <c r="E162" s="1100">
        <f ca="1">+Q48+C162/10000000000</f>
        <v>5.3597773382844374E-4</v>
      </c>
      <c r="F162" s="1087">
        <f t="shared" ca="1" si="80"/>
        <v>12</v>
      </c>
      <c r="G162" s="1092">
        <v>4</v>
      </c>
      <c r="H162" s="1087" t="str">
        <f t="shared" ca="1" si="81"/>
        <v>Other Variable Operating Costs</v>
      </c>
      <c r="I162" s="1102">
        <f t="shared" ca="1" si="82"/>
        <v>0.28680615426802791</v>
      </c>
      <c r="J162" s="1083"/>
      <c r="K162" s="1087" t="str">
        <f t="shared" ca="1" si="76"/>
        <v>Other Variable Operating Costs</v>
      </c>
      <c r="L162" s="1087"/>
      <c r="M162" s="1100">
        <f t="shared" ca="1" si="83"/>
        <v>0.28680615426802791</v>
      </c>
      <c r="N162" s="1087" t="str">
        <f t="shared" ca="1" si="84"/>
        <v>Other Variable Operating Costs</v>
      </c>
      <c r="O162" s="1083"/>
      <c r="P162" s="1083"/>
      <c r="Q162" s="1083"/>
      <c r="R162" s="1083"/>
      <c r="S162" s="1083"/>
      <c r="T162" s="1083"/>
      <c r="U162" s="1083"/>
      <c r="V162" s="1083"/>
      <c r="W162" s="1083"/>
      <c r="X162" s="1083"/>
      <c r="Y162" s="1083"/>
      <c r="Z162" s="1083"/>
      <c r="AA162" s="1083"/>
      <c r="AB162" s="1083"/>
      <c r="AC162" s="1083"/>
      <c r="AD162" s="1083"/>
      <c r="AE162" s="1083"/>
      <c r="AF162" s="1083"/>
      <c r="AG162" s="1083"/>
      <c r="AH162" s="1083"/>
      <c r="AI162" s="1083"/>
      <c r="AJ162" s="1083"/>
    </row>
    <row r="163" spans="1:36" x14ac:dyDescent="0.25">
      <c r="A163" s="1083"/>
      <c r="B163" s="1083"/>
      <c r="C163" s="1083">
        <f t="shared" si="85"/>
        <v>5</v>
      </c>
      <c r="D163" s="1087" t="str">
        <f>+L110</f>
        <v>Decommissioning Costs</v>
      </c>
      <c r="E163" s="1100">
        <f ca="1">+R48+C163/10000000000</f>
        <v>7.8293884683621681E-3</v>
      </c>
      <c r="F163" s="1087">
        <f t="shared" ca="1" si="80"/>
        <v>11</v>
      </c>
      <c r="G163" s="1092">
        <v>5</v>
      </c>
      <c r="H163" s="1087" t="str">
        <f t="shared" ca="1" si="81"/>
        <v>Debt Interest</v>
      </c>
      <c r="I163" s="1102">
        <f t="shared" ca="1" si="82"/>
        <v>0.21388232359907813</v>
      </c>
      <c r="J163" s="1083"/>
      <c r="K163" s="1087" t="str">
        <f t="shared" ca="1" si="76"/>
        <v>Debt Interest</v>
      </c>
      <c r="L163" s="1087"/>
      <c r="M163" s="1100">
        <f t="shared" ca="1" si="83"/>
        <v>0.21388232359907813</v>
      </c>
      <c r="N163" s="1087" t="str">
        <f t="shared" ca="1" si="84"/>
        <v>Debt Interest</v>
      </c>
      <c r="O163" s="1083"/>
      <c r="P163" s="1083"/>
      <c r="Q163" s="1083"/>
      <c r="R163" s="1083"/>
      <c r="S163" s="1083"/>
      <c r="T163" s="1083"/>
      <c r="U163" s="1083"/>
      <c r="V163" s="1083"/>
      <c r="W163" s="1083"/>
      <c r="X163" s="1083"/>
      <c r="Y163" s="1083"/>
      <c r="Z163" s="1083"/>
      <c r="AA163" s="1083"/>
      <c r="AB163" s="1083"/>
      <c r="AC163" s="1083"/>
      <c r="AD163" s="1083"/>
      <c r="AE163" s="1083"/>
      <c r="AF163" s="1083"/>
      <c r="AG163" s="1083"/>
      <c r="AH163" s="1083"/>
      <c r="AI163" s="1083"/>
      <c r="AJ163" s="1083"/>
    </row>
    <row r="164" spans="1:36" x14ac:dyDescent="0.25">
      <c r="A164" s="1083"/>
      <c r="B164" s="1083"/>
      <c r="C164" s="1083">
        <f t="shared" si="85"/>
        <v>6</v>
      </c>
      <c r="D164" s="1087" t="str">
        <f>+M110</f>
        <v>Fixed Operating Cost</v>
      </c>
      <c r="E164" s="1100">
        <f ca="1">+S48+C164/10000000000</f>
        <v>0.45559227215166603</v>
      </c>
      <c r="F164" s="1087">
        <f t="shared" ca="1" si="80"/>
        <v>2</v>
      </c>
      <c r="G164" s="1092">
        <v>6</v>
      </c>
      <c r="H164" s="1087" t="str">
        <f t="shared" ca="1" si="81"/>
        <v>Yearly Replacement Costs</v>
      </c>
      <c r="I164" s="1102">
        <f t="shared" ca="1" si="82"/>
        <v>0.2102763660312999</v>
      </c>
      <c r="J164" s="1083"/>
      <c r="K164" s="1087" t="str">
        <f t="shared" ca="1" si="76"/>
        <v>Yearly Replacement Costs</v>
      </c>
      <c r="L164" s="1087"/>
      <c r="M164" s="1100">
        <f t="shared" ca="1" si="83"/>
        <v>0.2102763660312999</v>
      </c>
      <c r="N164" s="1087" t="str">
        <f t="shared" ca="1" si="84"/>
        <v>Yearly Replacement Costs</v>
      </c>
      <c r="O164" s="1083"/>
      <c r="P164" s="1083"/>
      <c r="Q164" s="1083"/>
      <c r="R164" s="1083"/>
      <c r="S164" s="1083"/>
      <c r="T164" s="1083"/>
      <c r="U164" s="1083"/>
      <c r="V164" s="1083"/>
      <c r="W164" s="1083"/>
      <c r="X164" s="1083"/>
      <c r="Y164" s="1083"/>
      <c r="Z164" s="1083"/>
      <c r="AA164" s="1083"/>
      <c r="AB164" s="1083"/>
      <c r="AC164" s="1083"/>
      <c r="AD164" s="1083"/>
      <c r="AE164" s="1083"/>
      <c r="AF164" s="1083"/>
      <c r="AG164" s="1083"/>
      <c r="AH164" s="1083"/>
      <c r="AI164" s="1083"/>
      <c r="AJ164" s="1083"/>
    </row>
    <row r="165" spans="1:36" x14ac:dyDescent="0.25">
      <c r="A165" s="1083"/>
      <c r="B165" s="1083"/>
      <c r="C165" s="1083">
        <f t="shared" si="85"/>
        <v>7</v>
      </c>
      <c r="D165" s="1087" t="str">
        <f>+N110</f>
        <v>Feedstock Cost</v>
      </c>
      <c r="E165" s="1100">
        <f ca="1">+T48+C165/10000000000</f>
        <v>0.48092254373115112</v>
      </c>
      <c r="F165" s="1087">
        <f t="shared" ca="1" si="80"/>
        <v>1</v>
      </c>
      <c r="G165" s="1092">
        <v>7</v>
      </c>
      <c r="H165" s="1087" t="str">
        <f t="shared" ca="1" si="81"/>
        <v>Taxes</v>
      </c>
      <c r="I165" s="1102">
        <f t="shared" ca="1" si="82"/>
        <v>5.2879312798845259E-2</v>
      </c>
      <c r="J165" s="1083"/>
      <c r="K165" s="1087" t="str">
        <f t="shared" ca="1" si="76"/>
        <v>Taxes</v>
      </c>
      <c r="L165" s="1087"/>
      <c r="M165" s="1100">
        <f t="shared" ca="1" si="83"/>
        <v>5.2879312798845259E-2</v>
      </c>
      <c r="N165" s="1087" t="str">
        <f t="shared" ca="1" si="84"/>
        <v>Taxes</v>
      </c>
      <c r="O165" s="1083"/>
      <c r="P165" s="1083"/>
      <c r="Q165" s="1083"/>
      <c r="R165" s="1083"/>
      <c r="S165" s="1083"/>
      <c r="T165" s="1083"/>
      <c r="U165" s="1083"/>
      <c r="V165" s="1083"/>
      <c r="W165" s="1083"/>
      <c r="X165" s="1083"/>
      <c r="Y165" s="1083"/>
      <c r="Z165" s="1083"/>
      <c r="AA165" s="1083"/>
      <c r="AB165" s="1083"/>
      <c r="AC165" s="1083"/>
      <c r="AD165" s="1083"/>
      <c r="AE165" s="1083"/>
      <c r="AF165" s="1083"/>
      <c r="AG165" s="1083"/>
      <c r="AH165" s="1083"/>
      <c r="AI165" s="1083"/>
      <c r="AJ165" s="1083"/>
    </row>
    <row r="166" spans="1:36" x14ac:dyDescent="0.25">
      <c r="A166" s="1083"/>
      <c r="B166" s="1083"/>
      <c r="C166" s="1083">
        <f t="shared" si="85"/>
        <v>8</v>
      </c>
      <c r="D166" s="1087" t="str">
        <f>+O110</f>
        <v>Other Raw Material Cost</v>
      </c>
      <c r="E166" s="1100">
        <f ca="1">+U48+C166/10000000000</f>
        <v>8.006626296984249E-3</v>
      </c>
      <c r="F166" s="1087">
        <f t="shared" ca="1" si="80"/>
        <v>10</v>
      </c>
      <c r="G166" s="1092">
        <v>8</v>
      </c>
      <c r="H166" s="1087" t="str">
        <f t="shared" ca="1" si="81"/>
        <v>Principal Payment</v>
      </c>
      <c r="I166" s="1102">
        <f t="shared" ca="1" si="82"/>
        <v>2.5722026202317508E-2</v>
      </c>
      <c r="J166" s="1083"/>
      <c r="K166" s="1087" t="str">
        <f t="shared" ca="1" si="76"/>
        <v>Principal Payment</v>
      </c>
      <c r="L166" s="1087"/>
      <c r="M166" s="1100">
        <f t="shared" ca="1" si="83"/>
        <v>2.5722026202317508E-2</v>
      </c>
      <c r="N166" s="1087" t="str">
        <f t="shared" ca="1" si="84"/>
        <v>Principal Payment</v>
      </c>
      <c r="O166" s="1083"/>
      <c r="P166" s="1083"/>
      <c r="Q166" s="1083"/>
      <c r="R166" s="1083"/>
      <c r="S166" s="1083"/>
      <c r="T166" s="1083"/>
      <c r="U166" s="1083"/>
      <c r="V166" s="1083"/>
      <c r="W166" s="1083"/>
      <c r="X166" s="1083"/>
      <c r="Y166" s="1083"/>
      <c r="Z166" s="1083"/>
      <c r="AA166" s="1083"/>
      <c r="AB166" s="1083"/>
      <c r="AC166" s="1083"/>
      <c r="AD166" s="1083"/>
      <c r="AE166" s="1083"/>
      <c r="AF166" s="1083"/>
      <c r="AG166" s="1083"/>
      <c r="AH166" s="1083"/>
      <c r="AI166" s="1083"/>
      <c r="AJ166" s="1083"/>
    </row>
    <row r="167" spans="1:36" x14ac:dyDescent="0.25">
      <c r="A167" s="1083"/>
      <c r="B167" s="1083"/>
      <c r="C167" s="1083">
        <f t="shared" si="85"/>
        <v>9</v>
      </c>
      <c r="D167" s="1087" t="str">
        <f>+P110</f>
        <v>Other Variable Operating Costs</v>
      </c>
      <c r="E167" s="1100">
        <f ca="1">+V48+C167/10000000000</f>
        <v>0.28680615516802793</v>
      </c>
      <c r="F167" s="1087">
        <f t="shared" ca="1" si="80"/>
        <v>4</v>
      </c>
      <c r="G167" s="1092">
        <v>9</v>
      </c>
      <c r="H167" s="1087" t="str">
        <f t="shared" ca="1" si="81"/>
        <v>Cash for Working Capital Reserve</v>
      </c>
      <c r="I167" s="1102">
        <f t="shared" ca="1" si="82"/>
        <v>1.6716247250263983E-2</v>
      </c>
      <c r="J167" s="1083"/>
      <c r="K167" s="1087" t="str">
        <f t="shared" ca="1" si="76"/>
        <v>Cash for Working Capital Reserve</v>
      </c>
      <c r="L167" s="1087"/>
      <c r="M167" s="1100">
        <f t="shared" ca="1" si="83"/>
        <v>1.6716247250263983E-2</v>
      </c>
      <c r="N167" s="1087" t="str">
        <f t="shared" ca="1" si="84"/>
        <v>Cash for Working Capital Reserve</v>
      </c>
      <c r="O167" s="1083"/>
      <c r="P167" s="1083"/>
      <c r="Q167" s="1083"/>
      <c r="R167" s="1083"/>
      <c r="S167" s="1083"/>
      <c r="T167" s="1083"/>
      <c r="U167" s="1083"/>
      <c r="V167" s="1083"/>
      <c r="W167" s="1083"/>
      <c r="X167" s="1083"/>
      <c r="Y167" s="1083"/>
      <c r="Z167" s="1083"/>
      <c r="AA167" s="1083"/>
      <c r="AB167" s="1083"/>
      <c r="AC167" s="1083"/>
      <c r="AD167" s="1083"/>
      <c r="AE167" s="1083"/>
      <c r="AF167" s="1083"/>
      <c r="AG167" s="1083"/>
      <c r="AH167" s="1083"/>
      <c r="AI167" s="1083"/>
      <c r="AJ167" s="1083"/>
    </row>
    <row r="168" spans="1:36" x14ac:dyDescent="0.25">
      <c r="A168" s="1083"/>
      <c r="B168" s="1083"/>
      <c r="C168" s="1083">
        <f t="shared" si="85"/>
        <v>10</v>
      </c>
      <c r="D168" s="1087" t="str">
        <f>+Q110</f>
        <v>Debt Interest</v>
      </c>
      <c r="E168" s="1100">
        <f ca="1">+W48+C168/10000000000</f>
        <v>0.21388232459907813</v>
      </c>
      <c r="F168" s="1087">
        <f t="shared" ca="1" si="80"/>
        <v>5</v>
      </c>
      <c r="G168" s="1092">
        <v>10</v>
      </c>
      <c r="H168" s="1087" t="str">
        <f t="shared" ca="1" si="81"/>
        <v>Other Raw Material Cost</v>
      </c>
      <c r="I168" s="1102">
        <f t="shared" ca="1" si="82"/>
        <v>8.0066254969842487E-3</v>
      </c>
      <c r="J168" s="1083"/>
      <c r="K168" s="1087" t="str">
        <f t="shared" ca="1" si="76"/>
        <v>Other Raw Material Cost</v>
      </c>
      <c r="L168" s="1087"/>
      <c r="M168" s="1100">
        <f t="shared" ca="1" si="83"/>
        <v>8.0066254969842487E-3</v>
      </c>
      <c r="N168" s="1087" t="str">
        <f t="shared" ca="1" si="84"/>
        <v>Other Raw Material Cost</v>
      </c>
      <c r="O168" s="1083"/>
      <c r="P168" s="1083"/>
      <c r="Q168" s="1083"/>
      <c r="R168" s="1083"/>
      <c r="S168" s="1083"/>
      <c r="T168" s="1083"/>
      <c r="U168" s="1083"/>
      <c r="V168" s="1083"/>
      <c r="W168" s="1083"/>
      <c r="X168" s="1083"/>
      <c r="Y168" s="1083"/>
      <c r="Z168" s="1083"/>
      <c r="AA168" s="1083"/>
      <c r="AB168" s="1083"/>
      <c r="AC168" s="1083"/>
      <c r="AD168" s="1083"/>
      <c r="AE168" s="1083"/>
      <c r="AF168" s="1083"/>
      <c r="AG168" s="1083"/>
      <c r="AH168" s="1083"/>
      <c r="AI168" s="1083"/>
      <c r="AJ168" s="1083"/>
    </row>
    <row r="169" spans="1:36" x14ac:dyDescent="0.25">
      <c r="A169" s="1083"/>
      <c r="B169" s="1083"/>
      <c r="C169" s="1083">
        <f t="shared" si="85"/>
        <v>11</v>
      </c>
      <c r="D169" s="1087" t="str">
        <f>+R110</f>
        <v>Taxes</v>
      </c>
      <c r="E169" s="1100">
        <f ca="1">+X48+C169/10000000000</f>
        <v>5.2879313898845259E-2</v>
      </c>
      <c r="F169" s="1087">
        <f t="shared" ca="1" si="80"/>
        <v>7</v>
      </c>
      <c r="G169" s="1092">
        <v>11</v>
      </c>
      <c r="H169" s="1087" t="str">
        <f t="shared" ca="1" si="81"/>
        <v>Decommissioning Costs</v>
      </c>
      <c r="I169" s="1102">
        <f t="shared" ca="1" si="82"/>
        <v>7.8293879683621684E-3</v>
      </c>
      <c r="J169" s="1083"/>
      <c r="K169" s="1087" t="str">
        <f t="shared" ca="1" si="76"/>
        <v>Decommissioning Costs</v>
      </c>
      <c r="L169" s="1087"/>
      <c r="M169" s="1100">
        <f t="shared" ca="1" si="83"/>
        <v>7.8293879683621684E-3</v>
      </c>
      <c r="N169" s="1087" t="str">
        <f t="shared" ca="1" si="84"/>
        <v>Decommissioning Costs</v>
      </c>
      <c r="O169" s="1083"/>
      <c r="P169" s="1083"/>
      <c r="Q169" s="1083"/>
      <c r="R169" s="1083"/>
      <c r="S169" s="1083"/>
      <c r="T169" s="1083"/>
      <c r="U169" s="1083"/>
      <c r="V169" s="1083"/>
      <c r="W169" s="1083"/>
      <c r="X169" s="1083"/>
      <c r="Y169" s="1083"/>
      <c r="Z169" s="1083"/>
      <c r="AA169" s="1083"/>
      <c r="AB169" s="1083"/>
      <c r="AC169" s="1083"/>
      <c r="AD169" s="1083"/>
      <c r="AE169" s="1083"/>
      <c r="AF169" s="1083"/>
      <c r="AG169" s="1083"/>
      <c r="AH169" s="1083"/>
      <c r="AI169" s="1083"/>
      <c r="AJ169" s="1083"/>
    </row>
    <row r="170" spans="1:36" x14ac:dyDescent="0.25">
      <c r="A170" s="1083"/>
      <c r="B170" s="1083"/>
      <c r="C170" s="1083">
        <f t="shared" si="85"/>
        <v>12</v>
      </c>
      <c r="D170" s="1087" t="str">
        <f>+S110</f>
        <v>Principal Payment</v>
      </c>
      <c r="E170" s="1100">
        <f ca="1">+Y48+C170/10000000000</f>
        <v>2.5722027402317507E-2</v>
      </c>
      <c r="F170" s="1087">
        <f t="shared" ca="1" si="80"/>
        <v>8</v>
      </c>
      <c r="G170" s="1092">
        <v>12</v>
      </c>
      <c r="H170" s="1087" t="str">
        <f t="shared" ca="1" si="81"/>
        <v>Other Non-Depreciable Capital Costs</v>
      </c>
      <c r="I170" s="1102">
        <f t="shared" ca="1" si="82"/>
        <v>5.3597733382844371E-4</v>
      </c>
      <c r="J170" s="1083"/>
      <c r="K170" s="1087" t="str">
        <f t="shared" ca="1" si="76"/>
        <v>Other Non-Depreciable Capital Costs</v>
      </c>
      <c r="L170" s="1087"/>
      <c r="M170" s="1100">
        <f t="shared" ca="1" si="83"/>
        <v>5.3597733382844371E-4</v>
      </c>
      <c r="N170" s="1087" t="str">
        <f t="shared" ca="1" si="84"/>
        <v>Other Non-Depreciable Capital Costs</v>
      </c>
      <c r="O170" s="1083"/>
      <c r="P170" s="1083"/>
      <c r="Q170" s="1083"/>
      <c r="R170" s="1083"/>
      <c r="S170" s="1083"/>
      <c r="T170" s="1083"/>
      <c r="U170" s="1083"/>
      <c r="V170" s="1083"/>
      <c r="W170" s="1083"/>
      <c r="X170" s="1083"/>
      <c r="Y170" s="1083"/>
      <c r="Z170" s="1083"/>
      <c r="AA170" s="1083"/>
      <c r="AB170" s="1083"/>
      <c r="AC170" s="1083"/>
      <c r="AD170" s="1083"/>
      <c r="AE170" s="1083"/>
      <c r="AF170" s="1083"/>
      <c r="AG170" s="1083"/>
      <c r="AH170" s="1083"/>
      <c r="AI170" s="1083"/>
      <c r="AJ170" s="1083"/>
    </row>
    <row r="171" spans="1:36" x14ac:dyDescent="0.25">
      <c r="A171" s="1083"/>
      <c r="B171" s="1083"/>
      <c r="C171" s="1083"/>
      <c r="D171" s="1083"/>
      <c r="E171" s="1083"/>
      <c r="F171" s="1083"/>
      <c r="G171" s="1083"/>
      <c r="H171" s="1085"/>
      <c r="I171" s="1083"/>
      <c r="J171" s="1083"/>
      <c r="K171" s="1086" t="s">
        <v>58</v>
      </c>
      <c r="L171" s="1100">
        <f ca="1">+SUM(L155:L170)</f>
        <v>2.1041064430325771</v>
      </c>
      <c r="M171" s="1100">
        <f ca="1">+SUM(M155:M170)</f>
        <v>2.1041064430325758</v>
      </c>
      <c r="N171" s="1087" t="str">
        <f t="shared" ref="N171" ca="1" si="86">+IF(M171&lt;0.01,K171,"")</f>
        <v/>
      </c>
      <c r="O171" s="1083"/>
      <c r="P171" s="1083"/>
      <c r="Q171" s="1083"/>
      <c r="R171" s="1083"/>
      <c r="S171" s="1083"/>
      <c r="T171" s="1083"/>
      <c r="U171" s="1083"/>
      <c r="V171" s="1083"/>
      <c r="W171" s="1083"/>
      <c r="X171" s="1083"/>
      <c r="Y171" s="1083"/>
      <c r="Z171" s="1083"/>
      <c r="AA171" s="1083"/>
      <c r="AB171" s="1083"/>
      <c r="AC171" s="1083"/>
      <c r="AD171" s="1083"/>
      <c r="AE171" s="1083"/>
      <c r="AF171" s="1083"/>
      <c r="AG171" s="1083"/>
      <c r="AH171" s="1083"/>
      <c r="AI171" s="1083"/>
      <c r="AJ171" s="1083"/>
    </row>
    <row r="172" spans="1:36" x14ac:dyDescent="0.25">
      <c r="A172" s="1083"/>
      <c r="B172" s="1083"/>
      <c r="C172" s="1083"/>
      <c r="E172" s="1083"/>
      <c r="F172" s="1083"/>
      <c r="G172" s="1083"/>
      <c r="H172" s="1083"/>
      <c r="I172" s="1083"/>
      <c r="J172" s="1083"/>
      <c r="K172" s="1083"/>
      <c r="L172" s="1083"/>
      <c r="M172" s="1083"/>
      <c r="N172" s="1083"/>
      <c r="O172" s="1083"/>
      <c r="P172" s="1083"/>
      <c r="Q172" s="1083"/>
      <c r="R172" s="1083"/>
      <c r="S172" s="1083"/>
      <c r="T172" s="1083"/>
      <c r="U172" s="1083"/>
      <c r="V172" s="1083"/>
      <c r="W172" s="1083"/>
      <c r="X172" s="1083"/>
      <c r="Y172" s="1083"/>
      <c r="Z172" s="1083"/>
      <c r="AA172" s="1083"/>
      <c r="AB172" s="1083"/>
      <c r="AC172" s="1083"/>
      <c r="AD172" s="1083"/>
      <c r="AE172" s="1083"/>
      <c r="AF172" s="1083"/>
      <c r="AG172" s="1083"/>
      <c r="AH172" s="1083"/>
      <c r="AI172" s="1083"/>
      <c r="AJ172" s="1083"/>
    </row>
    <row r="173" spans="1:36" x14ac:dyDescent="0.25">
      <c r="A173" s="1083"/>
      <c r="B173" s="1083"/>
      <c r="C173" s="1083"/>
      <c r="D173" s="1083"/>
      <c r="E173" s="1083"/>
      <c r="F173" s="1083"/>
      <c r="G173" s="1083"/>
      <c r="H173" s="1083"/>
      <c r="I173" s="1083"/>
      <c r="J173" s="1083"/>
      <c r="K173" s="1083"/>
      <c r="L173" s="1083"/>
      <c r="M173" s="1083"/>
      <c r="N173" s="1083"/>
      <c r="O173" s="1083"/>
      <c r="P173" s="1083"/>
      <c r="Q173" s="1083"/>
      <c r="R173" s="1083"/>
      <c r="S173" s="1083"/>
      <c r="T173" s="1083"/>
      <c r="U173" s="1083"/>
      <c r="V173" s="1083"/>
      <c r="W173" s="1083"/>
      <c r="X173" s="1083"/>
      <c r="Y173" s="1083"/>
      <c r="Z173" s="1083"/>
      <c r="AA173" s="1083"/>
      <c r="AB173" s="1083"/>
      <c r="AC173" s="1083"/>
      <c r="AD173" s="1083"/>
      <c r="AE173" s="1083"/>
      <c r="AF173" s="1083"/>
      <c r="AG173" s="1083"/>
      <c r="AH173" s="1083"/>
      <c r="AI173" s="1083"/>
      <c r="AJ173" s="1083"/>
    </row>
    <row r="174" spans="1:36" x14ac:dyDescent="0.25">
      <c r="A174" s="1083"/>
      <c r="B174" s="1085" t="s">
        <v>1185</v>
      </c>
      <c r="C174" s="1083"/>
      <c r="D174" s="1084" t="s">
        <v>1197</v>
      </c>
      <c r="E174" s="1084" t="s">
        <v>1195</v>
      </c>
      <c r="F174" s="1084" t="s">
        <v>1198</v>
      </c>
      <c r="G174" s="1084" t="s">
        <v>1196</v>
      </c>
      <c r="H174" s="1083"/>
      <c r="I174" s="1083"/>
      <c r="J174" s="1083"/>
      <c r="K174" s="1083"/>
      <c r="L174" s="1083"/>
      <c r="M174" s="1084"/>
      <c r="N174" s="1084"/>
      <c r="O174" s="1083"/>
      <c r="P174" s="1083"/>
      <c r="Q174" s="1083"/>
      <c r="R174" s="1083"/>
      <c r="S174" s="1083"/>
      <c r="T174" s="1083"/>
      <c r="U174" s="1083"/>
      <c r="V174" s="1083"/>
      <c r="W174" s="1083"/>
      <c r="X174" s="1083"/>
      <c r="Y174" s="1083"/>
      <c r="Z174" s="1083"/>
      <c r="AA174" s="1083"/>
      <c r="AB174" s="1083"/>
      <c r="AC174" s="1083"/>
      <c r="AD174" s="1083"/>
      <c r="AE174" s="1083"/>
      <c r="AF174" s="1083"/>
      <c r="AG174" s="1083"/>
      <c r="AH174" s="1083"/>
      <c r="AI174" s="1083"/>
      <c r="AJ174" s="1083"/>
    </row>
    <row r="175" spans="1:36" x14ac:dyDescent="0.25">
      <c r="A175" s="1083"/>
      <c r="B175">
        <v>0</v>
      </c>
      <c r="C175" s="1086" t="s">
        <v>1186</v>
      </c>
      <c r="D175" s="1100">
        <f>+K51</f>
        <v>1.8491740829657206</v>
      </c>
      <c r="E175" s="1100">
        <f>+D175</f>
        <v>1.8491740829657206</v>
      </c>
      <c r="F175" s="1100"/>
      <c r="G175" s="1100"/>
      <c r="H175" s="1083"/>
      <c r="I175" s="1083"/>
      <c r="J175" s="1083"/>
      <c r="K175" s="1083"/>
      <c r="L175" s="1083"/>
      <c r="M175" s="1217"/>
      <c r="N175" s="1217"/>
      <c r="O175" s="1083"/>
      <c r="P175" s="1083"/>
      <c r="Q175" s="1083"/>
      <c r="R175" s="1083"/>
      <c r="S175" s="1083"/>
      <c r="T175" s="1083"/>
      <c r="U175" s="1083"/>
      <c r="V175" s="1083"/>
      <c r="W175" s="1083"/>
      <c r="X175" s="1083"/>
      <c r="Y175" s="1083"/>
      <c r="Z175" s="1083"/>
      <c r="AA175" s="1083"/>
      <c r="AB175" s="1083"/>
      <c r="AC175" s="1083"/>
      <c r="AD175" s="1083"/>
      <c r="AE175" s="1083"/>
      <c r="AF175" s="1083"/>
      <c r="AG175" s="1083"/>
      <c r="AH175" s="1083"/>
      <c r="AI175" s="1083"/>
      <c r="AJ175" s="1083"/>
    </row>
    <row r="176" spans="1:36" x14ac:dyDescent="0.25">
      <c r="A176" s="1083"/>
      <c r="B176" s="1083">
        <v>1</v>
      </c>
      <c r="C176" s="1087" t="str">
        <f ca="1">OFFSET($B$50,0,MATCH($B176,$C$72:$I$72,0))&amp;
IF(OFFSET($F$2,MATCH($B176,$C$72:$I$72,0),0)&lt;1,
"
= "&amp;OFFSET($F$2,MATCH($B176,$C$72:$I$72,0),0)*100-100,
"
= +"&amp;OFFSET($F$2,MATCH($B176,$C$72:$I$72,0),0)*100-100)
&amp;"%"</f>
        <v>Operating capacity factor
= +5%</v>
      </c>
      <c r="D176" s="1100">
        <f>+K66</f>
        <v>1.7912603889642307</v>
      </c>
      <c r="E176" s="1100">
        <f t="shared" ref="E176:E181" si="87">+E175+G175-F176</f>
        <v>1.7912603889642307</v>
      </c>
      <c r="F176" s="1100">
        <f>+MAX(D175-D176,0)</f>
        <v>5.7913694001489935E-2</v>
      </c>
      <c r="G176" s="1100">
        <f>+MAX(D176-D175,0)</f>
        <v>0</v>
      </c>
      <c r="H176" s="1083"/>
      <c r="I176" s="1083"/>
      <c r="J176" s="1083"/>
      <c r="K176" s="1083"/>
      <c r="L176" s="1083"/>
      <c r="M176" s="1217"/>
      <c r="N176" s="1217"/>
      <c r="O176" s="1083"/>
      <c r="P176" s="1083"/>
      <c r="Q176" s="1083"/>
      <c r="R176" s="1083"/>
      <c r="S176" s="1083"/>
      <c r="T176" s="1083"/>
      <c r="U176" s="1083"/>
      <c r="V176" s="1083"/>
      <c r="W176" s="1083"/>
      <c r="X176" s="1083"/>
      <c r="Y176" s="1083"/>
      <c r="Z176" s="1083"/>
      <c r="AA176" s="1083"/>
      <c r="AB176" s="1083"/>
      <c r="AC176" s="1083"/>
      <c r="AD176" s="1083"/>
      <c r="AE176" s="1083"/>
      <c r="AF176" s="1083"/>
      <c r="AG176" s="1083"/>
      <c r="AH176" s="1083"/>
      <c r="AI176" s="1083"/>
      <c r="AJ176" s="1083"/>
    </row>
    <row r="177" spans="1:36" x14ac:dyDescent="0.25">
      <c r="A177" s="1083"/>
      <c r="B177" s="1083">
        <v>2</v>
      </c>
      <c r="C177" s="1087" t="str">
        <f ca="1">OFFSET($B$50,0,MATCH($B177,$C$72:$I$72,0))&amp;
IF(OFFSET($F$2,MATCH($B177,$C$72:$I$72,0),0)&lt;1,
"
= "&amp;OFFSET($F$2,MATCH($B177,$C$72:$I$72,0),0)*100-100,
"
= +"&amp;OFFSET($F$2,MATCH($B177,$C$72:$I$72,0),0)*100-100)
&amp;"%"</f>
        <v>Total capital investment ($)
= -5%</v>
      </c>
      <c r="D177" s="1100">
        <f>+K67</f>
        <v>1.754739155954625</v>
      </c>
      <c r="E177" s="1100">
        <f t="shared" si="87"/>
        <v>1.754739155954625</v>
      </c>
      <c r="F177" s="1100">
        <f>+MAX(D176-D177,0)</f>
        <v>3.6521233009605636E-2</v>
      </c>
      <c r="G177" s="1100">
        <f>+MAX(D177-D176,0)</f>
        <v>0</v>
      </c>
      <c r="H177" s="1083"/>
      <c r="I177" s="1083"/>
      <c r="J177" s="1083"/>
      <c r="K177" s="1083"/>
      <c r="L177" s="1083"/>
      <c r="M177" s="1217"/>
      <c r="N177" s="1217"/>
      <c r="O177" s="1083"/>
      <c r="P177" s="1083"/>
      <c r="Q177" s="1083"/>
      <c r="R177" s="1083"/>
      <c r="S177" s="1083"/>
      <c r="T177" s="1083"/>
      <c r="U177" s="1083"/>
      <c r="V177" s="1083"/>
      <c r="W177" s="1083"/>
      <c r="X177" s="1083"/>
      <c r="Y177" s="1083"/>
      <c r="Z177" s="1083"/>
      <c r="AA177" s="1083"/>
      <c r="AB177" s="1083"/>
      <c r="AC177" s="1083"/>
      <c r="AD177" s="1083"/>
      <c r="AE177" s="1083"/>
      <c r="AF177" s="1083"/>
      <c r="AG177" s="1083"/>
      <c r="AH177" s="1083"/>
      <c r="AI177" s="1083"/>
      <c r="AJ177" s="1083"/>
    </row>
    <row r="178" spans="1:36" x14ac:dyDescent="0.25">
      <c r="A178" s="1083"/>
      <c r="B178" s="1083">
        <v>3</v>
      </c>
      <c r="C178" s="1087" t="str">
        <f ca="1">OFFSET($B$50,0,MATCH($B178,$C$72:$I$72,0))&amp;
IF(OFFSET($F$2,MATCH($B178,$C$72:$I$72,0),0)&lt;1,
"
= "&amp;OFFSET($F$2,MATCH($B178,$C$72:$I$72,0),0)*100-100,
"
= +"&amp;OFFSET($F$2,MATCH($B178,$C$72:$I$72,0),0)*100-100)
&amp;"%"</f>
        <v>Feedstock consumption (% of most likely value)
= -5%</v>
      </c>
      <c r="D178" s="1100">
        <f>+K68</f>
        <v>1.7232893797906057</v>
      </c>
      <c r="E178" s="1100">
        <f t="shared" si="87"/>
        <v>1.7232893797906057</v>
      </c>
      <c r="F178" s="1100">
        <f>+MAX(D177-D178,0)</f>
        <v>3.1449776164019339E-2</v>
      </c>
      <c r="G178" s="1100">
        <f>+MAX(D178-D177,0)</f>
        <v>0</v>
      </c>
      <c r="H178" s="1083"/>
      <c r="I178" s="1083"/>
      <c r="J178" s="1083"/>
      <c r="K178" s="1083"/>
      <c r="L178" s="1083"/>
      <c r="M178" s="1217"/>
      <c r="N178" s="1217"/>
      <c r="O178" s="1083"/>
      <c r="P178" s="1083"/>
      <c r="Q178" s="1083"/>
      <c r="R178" s="1083"/>
      <c r="S178" s="1083"/>
      <c r="T178" s="1083"/>
      <c r="U178" s="1083"/>
      <c r="V178" s="1083"/>
      <c r="W178" s="1083"/>
      <c r="X178" s="1083"/>
      <c r="Y178" s="1083"/>
      <c r="Z178" s="1083"/>
      <c r="AA178" s="1083"/>
      <c r="AB178" s="1083"/>
      <c r="AC178" s="1083"/>
      <c r="AD178" s="1083"/>
      <c r="AE178" s="1083"/>
      <c r="AF178" s="1083"/>
      <c r="AG178" s="1083"/>
      <c r="AH178" s="1083"/>
      <c r="AI178" s="1083"/>
      <c r="AJ178" s="1083"/>
    </row>
    <row r="179" spans="1:36" x14ac:dyDescent="0.25">
      <c r="A179" s="1083"/>
      <c r="B179" s="1083">
        <v>4</v>
      </c>
      <c r="C179" s="1087" t="str">
        <f ca="1">OFFSET($B$50,0,MATCH($B179,$C$72:$I$72,0))&amp;
IF(OFFSET($F$2,MATCH($B179,$C$72:$I$72,0),0)&lt;1,
"
= "&amp;OFFSET($F$2,MATCH($B179,$C$72:$I$72,0),0)*100-100,
"
= +"&amp;OFFSET($F$2,MATCH($B179,$C$72:$I$72,0),0)*100-100)
&amp;"%"</f>
        <v>Total fixed operating cost ($/year)
= -5%</v>
      </c>
      <c r="D179" s="1100">
        <f>+K69</f>
        <v>1.7060215263743672</v>
      </c>
      <c r="E179" s="1100">
        <f t="shared" si="87"/>
        <v>1.7060215263743672</v>
      </c>
      <c r="F179" s="1100">
        <f>+MAX(D178-D179,0)</f>
        <v>1.7267853416238488E-2</v>
      </c>
      <c r="G179" s="1100">
        <f>+MAX(D179-D178,0)</f>
        <v>0</v>
      </c>
      <c r="H179" s="1083"/>
      <c r="I179" s="1083"/>
      <c r="J179" s="1083"/>
      <c r="K179" s="1083"/>
      <c r="L179" s="1083"/>
      <c r="M179" s="1217"/>
      <c r="N179" s="1217"/>
      <c r="O179" s="1083"/>
      <c r="P179" s="1083"/>
      <c r="Q179" s="1083"/>
      <c r="R179" s="1083"/>
      <c r="S179" s="1083"/>
      <c r="T179" s="1083"/>
      <c r="U179" s="1083"/>
      <c r="V179" s="1083"/>
      <c r="W179" s="1083"/>
      <c r="X179" s="1083"/>
      <c r="Y179" s="1083"/>
      <c r="Z179" s="1083"/>
      <c r="AA179" s="1083"/>
      <c r="AB179" s="1083"/>
      <c r="AC179" s="1083"/>
      <c r="AD179" s="1083"/>
      <c r="AE179" s="1083"/>
      <c r="AF179" s="1083"/>
      <c r="AG179" s="1083"/>
      <c r="AH179" s="1083"/>
      <c r="AI179" s="1083"/>
      <c r="AJ179" s="1083"/>
    </row>
    <row r="180" spans="1:36" x14ac:dyDescent="0.25">
      <c r="A180" s="1083"/>
      <c r="B180" s="1083">
        <v>5</v>
      </c>
      <c r="C180" s="1087" t="str">
        <f ca="1">OFFSET($B$50,0,MATCH($B180,$C$72:$I$72,0))&amp;
IF(OFFSET($F$2,MATCH($B180,$C$72:$I$72,0),0)&lt;1,
"
= "&amp;OFFSET($F$2,MATCH($B180,$C$72:$I$72,0),0)*100-100,
"
= +"&amp;OFFSET($F$2,MATCH($B180,$C$72:$I$72,0),0)*100-100)
&amp;"%"</f>
        <v>Utilities consumption (% of most likely value)
= -5%</v>
      </c>
      <c r="D180" s="1100">
        <f>+K70</f>
        <v>1.7060215263743672</v>
      </c>
      <c r="E180" s="1100">
        <f t="shared" si="87"/>
        <v>1.7060215263743672</v>
      </c>
      <c r="F180" s="1100">
        <f>+MAX(D179-D180,0)</f>
        <v>0</v>
      </c>
      <c r="G180" s="1100">
        <f>+MAX(D180-D179,0)</f>
        <v>0</v>
      </c>
      <c r="H180" s="1083"/>
      <c r="I180" s="1083"/>
      <c r="J180" s="1083"/>
      <c r="K180" s="1083"/>
      <c r="L180" s="1083"/>
      <c r="M180" s="1217"/>
      <c r="N180" s="1217"/>
      <c r="O180" s="1083"/>
      <c r="P180" s="1083"/>
      <c r="Q180" s="1083"/>
      <c r="R180" s="1083"/>
      <c r="S180" s="1083"/>
      <c r="T180" s="1083"/>
      <c r="U180" s="1083"/>
      <c r="V180" s="1083"/>
      <c r="W180" s="1083"/>
      <c r="X180" s="1083"/>
      <c r="Y180" s="1083"/>
      <c r="Z180" s="1083"/>
      <c r="AA180" s="1083"/>
      <c r="AB180" s="1083"/>
      <c r="AC180" s="1083"/>
      <c r="AD180" s="1083"/>
      <c r="AE180" s="1083"/>
      <c r="AF180" s="1083"/>
      <c r="AG180" s="1083"/>
      <c r="AH180" s="1083"/>
      <c r="AI180" s="1083"/>
      <c r="AJ180" s="1083"/>
    </row>
    <row r="181" spans="1:36" x14ac:dyDescent="0.25">
      <c r="A181" s="1083"/>
      <c r="B181" s="1083">
        <v>6</v>
      </c>
      <c r="C181" s="1086" t="s">
        <v>1193</v>
      </c>
      <c r="D181" s="1100">
        <f>+K70</f>
        <v>1.7060215263743672</v>
      </c>
      <c r="E181" s="1100">
        <f t="shared" si="87"/>
        <v>1.7060215263743672</v>
      </c>
      <c r="F181" s="1100"/>
      <c r="G181" s="1100"/>
      <c r="H181" s="1083"/>
      <c r="I181" s="1083"/>
      <c r="J181" s="1083"/>
      <c r="K181" s="1083"/>
      <c r="L181" s="1083"/>
      <c r="M181" s="1217"/>
      <c r="N181" s="1217"/>
      <c r="O181" s="1083"/>
      <c r="P181" s="1083"/>
      <c r="Q181" s="1083"/>
      <c r="R181" s="1083"/>
      <c r="S181" s="1083"/>
      <c r="T181" s="1083"/>
      <c r="U181" s="1083"/>
      <c r="V181" s="1083"/>
      <c r="W181" s="1083"/>
      <c r="X181" s="1083"/>
      <c r="Y181" s="1083"/>
      <c r="Z181" s="1083"/>
      <c r="AA181" s="1083"/>
      <c r="AB181" s="1083"/>
      <c r="AC181" s="1083"/>
      <c r="AD181" s="1083"/>
      <c r="AE181" s="1083"/>
      <c r="AF181" s="1083"/>
      <c r="AG181" s="1083"/>
      <c r="AH181" s="1083"/>
      <c r="AI181" s="1083"/>
      <c r="AJ181" s="1083"/>
    </row>
    <row r="182" spans="1:36" x14ac:dyDescent="0.25">
      <c r="A182" s="1083"/>
      <c r="B182" s="1083"/>
      <c r="C182" s="1083"/>
      <c r="D182" s="1083"/>
      <c r="E182" s="1083"/>
      <c r="F182" s="1083"/>
      <c r="G182" s="1083"/>
      <c r="H182" s="1083"/>
      <c r="I182" s="1083"/>
      <c r="J182" s="1083"/>
      <c r="K182" s="1083"/>
      <c r="L182" s="1083"/>
      <c r="M182" s="1083"/>
      <c r="N182" s="1083"/>
      <c r="O182" s="1083"/>
      <c r="P182" s="1083"/>
      <c r="Q182" s="1083"/>
      <c r="R182" s="1083"/>
      <c r="S182" s="1083"/>
      <c r="T182" s="1083"/>
      <c r="U182" s="1083"/>
      <c r="V182" s="1083"/>
      <c r="W182" s="1083"/>
      <c r="X182" s="1083"/>
      <c r="Y182" s="1083"/>
      <c r="Z182" s="1083"/>
      <c r="AA182" s="1083"/>
      <c r="AB182" s="1083"/>
      <c r="AC182" s="1083"/>
      <c r="AD182" s="1083"/>
      <c r="AE182" s="1083"/>
      <c r="AF182" s="1083"/>
      <c r="AG182" s="1083"/>
      <c r="AH182" s="1083"/>
      <c r="AI182" s="1083"/>
      <c r="AJ182" s="1083"/>
    </row>
    <row r="183" spans="1:36" x14ac:dyDescent="0.25">
      <c r="A183" s="1083"/>
      <c r="B183" s="1083"/>
      <c r="C183" s="1083"/>
      <c r="D183" s="1083"/>
      <c r="E183" s="1083"/>
      <c r="F183" s="1083"/>
      <c r="G183" s="1083"/>
      <c r="H183" s="1083"/>
      <c r="I183" s="1083"/>
      <c r="J183" s="1083"/>
      <c r="K183" s="1083"/>
      <c r="L183" s="1083"/>
      <c r="M183" s="1083"/>
      <c r="N183" s="1083"/>
      <c r="O183" s="1083"/>
      <c r="P183" s="1083"/>
      <c r="Q183" s="1083"/>
      <c r="R183" s="1083"/>
      <c r="S183" s="1083"/>
      <c r="T183" s="1083"/>
      <c r="U183" s="1083"/>
      <c r="V183" s="1083"/>
      <c r="W183" s="1083"/>
      <c r="X183" s="1083"/>
      <c r="Y183" s="1083"/>
      <c r="Z183" s="1083"/>
      <c r="AA183" s="1083"/>
      <c r="AB183" s="1083"/>
      <c r="AC183" s="1083"/>
      <c r="AD183" s="1083"/>
      <c r="AE183" s="1083"/>
      <c r="AF183" s="1083"/>
      <c r="AG183" s="1083"/>
      <c r="AH183" s="1083"/>
      <c r="AI183" s="1083"/>
      <c r="AJ183" s="1083"/>
    </row>
    <row r="184" spans="1:36" x14ac:dyDescent="0.25">
      <c r="A184" s="1083"/>
      <c r="B184" s="1083"/>
      <c r="C184" s="1083"/>
      <c r="D184" s="1083"/>
      <c r="E184" s="1083"/>
      <c r="F184" s="1083"/>
      <c r="G184" s="1083"/>
      <c r="H184" s="1083"/>
      <c r="I184" s="1083"/>
      <c r="J184" s="1083"/>
      <c r="K184" s="1083"/>
      <c r="L184" s="1083"/>
      <c r="M184" s="1083"/>
      <c r="N184" s="1083"/>
      <c r="O184" s="1083"/>
      <c r="P184" s="1083"/>
      <c r="Q184" s="1083"/>
      <c r="R184" s="1083"/>
      <c r="S184" s="1083"/>
      <c r="T184" s="1083"/>
      <c r="U184" s="1083"/>
      <c r="V184" s="1083"/>
      <c r="W184" s="1083"/>
      <c r="X184" s="1083"/>
      <c r="Y184" s="1083"/>
      <c r="Z184" s="1083"/>
      <c r="AA184" s="1083"/>
      <c r="AB184" s="1083"/>
      <c r="AC184" s="1083"/>
      <c r="AD184" s="1083"/>
      <c r="AE184" s="1083"/>
      <c r="AF184" s="1083"/>
      <c r="AG184" s="1083"/>
      <c r="AH184" s="1083"/>
      <c r="AI184" s="1083"/>
      <c r="AJ184" s="1083"/>
    </row>
    <row r="185" spans="1:36" x14ac:dyDescent="0.25">
      <c r="A185" s="1083"/>
      <c r="B185" s="1083"/>
      <c r="C185" s="1083"/>
      <c r="D185" s="1083"/>
      <c r="E185" s="1083"/>
      <c r="F185" s="1083"/>
      <c r="G185" s="1083"/>
      <c r="H185" s="1083"/>
      <c r="I185" s="1083"/>
      <c r="J185" s="1083"/>
      <c r="K185" s="1083"/>
      <c r="L185" s="1083"/>
      <c r="M185" s="1083"/>
      <c r="N185" s="1083"/>
      <c r="O185" s="1083"/>
      <c r="P185" s="1083"/>
      <c r="Q185" s="1083"/>
      <c r="R185" s="1083"/>
      <c r="S185" s="1083"/>
      <c r="T185" s="1083"/>
      <c r="U185" s="1083"/>
      <c r="V185" s="1083"/>
      <c r="W185" s="1083"/>
      <c r="X185" s="1083"/>
      <c r="Y185" s="1083"/>
      <c r="Z185" s="1083"/>
      <c r="AA185" s="1083"/>
      <c r="AB185" s="1083"/>
      <c r="AC185" s="1083"/>
      <c r="AD185" s="1083"/>
      <c r="AE185" s="1083"/>
      <c r="AF185" s="1083"/>
      <c r="AG185" s="1083"/>
      <c r="AH185" s="1083"/>
      <c r="AI185" s="1083"/>
      <c r="AJ185" s="1083"/>
    </row>
    <row r="186" spans="1:36" x14ac:dyDescent="0.25">
      <c r="A186" s="1083"/>
      <c r="B186" s="1083"/>
      <c r="C186" s="1083"/>
      <c r="D186" s="1083"/>
      <c r="E186" s="1083"/>
      <c r="F186" s="1083"/>
      <c r="G186" s="1083"/>
      <c r="H186" s="1083"/>
      <c r="I186" s="1083"/>
      <c r="J186" s="1083"/>
      <c r="K186" s="1083"/>
      <c r="L186" s="1083"/>
      <c r="M186" s="1083"/>
      <c r="N186" s="1083"/>
      <c r="O186" s="1083"/>
      <c r="P186" s="1083"/>
      <c r="Q186" s="1083"/>
      <c r="R186" s="1083"/>
      <c r="S186" s="1083"/>
      <c r="T186" s="1083"/>
      <c r="U186" s="1083"/>
      <c r="V186" s="1083"/>
      <c r="W186" s="1083"/>
      <c r="X186" s="1083"/>
      <c r="Y186" s="1083"/>
      <c r="Z186" s="1083"/>
      <c r="AA186" s="1083"/>
      <c r="AB186" s="1083"/>
      <c r="AC186" s="1083"/>
      <c r="AD186" s="1083"/>
      <c r="AE186" s="1083"/>
      <c r="AF186" s="1083"/>
      <c r="AG186" s="1083"/>
      <c r="AH186" s="1083"/>
      <c r="AI186" s="1083"/>
      <c r="AJ186" s="1083"/>
    </row>
    <row r="187" spans="1:36" x14ac:dyDescent="0.25">
      <c r="A187" s="1083"/>
      <c r="B187" s="1083"/>
      <c r="C187" s="1083"/>
      <c r="D187" s="1083"/>
      <c r="E187" s="1083"/>
      <c r="F187" s="1083"/>
      <c r="G187" s="1083"/>
      <c r="H187" s="1083"/>
      <c r="I187" s="1083"/>
      <c r="J187" s="1083"/>
      <c r="K187" s="1083"/>
      <c r="L187" s="1083"/>
      <c r="M187" s="1083"/>
      <c r="N187" s="1083"/>
      <c r="O187" s="1083"/>
      <c r="P187" s="1083"/>
      <c r="Q187" s="1083"/>
      <c r="R187" s="1083"/>
      <c r="S187" s="1083"/>
      <c r="T187" s="1083"/>
      <c r="U187" s="1083"/>
      <c r="V187" s="1083"/>
      <c r="W187" s="1083"/>
      <c r="X187" s="1083"/>
      <c r="Y187" s="1083"/>
      <c r="Z187" s="1083"/>
      <c r="AA187" s="1083"/>
      <c r="AB187" s="1083"/>
      <c r="AC187" s="1083"/>
      <c r="AD187" s="1083"/>
      <c r="AE187" s="1083"/>
      <c r="AF187" s="1083"/>
      <c r="AG187" s="1083"/>
      <c r="AH187" s="1083"/>
      <c r="AI187" s="1083"/>
      <c r="AJ187" s="1083"/>
    </row>
    <row r="188" spans="1:36" x14ac:dyDescent="0.25">
      <c r="A188" s="1083"/>
      <c r="B188" s="1083"/>
      <c r="C188" s="1083"/>
      <c r="D188" s="1083"/>
      <c r="E188" s="1083"/>
      <c r="F188" s="1083"/>
      <c r="G188" s="1083"/>
      <c r="H188" s="1083"/>
      <c r="I188" s="1083"/>
      <c r="J188" s="1083"/>
      <c r="K188" s="1083"/>
      <c r="L188" s="1083"/>
      <c r="M188" s="1083"/>
      <c r="N188" s="1083"/>
      <c r="O188" s="1083"/>
      <c r="P188" s="1083"/>
      <c r="Q188" s="1083"/>
      <c r="R188" s="1083"/>
      <c r="S188" s="1083"/>
      <c r="T188" s="1083"/>
      <c r="U188" s="1083"/>
      <c r="V188" s="1083"/>
      <c r="W188" s="1083"/>
      <c r="X188" s="1083"/>
      <c r="Y188" s="1083"/>
      <c r="Z188" s="1083"/>
      <c r="AA188" s="1083"/>
      <c r="AB188" s="1083"/>
      <c r="AC188" s="1083"/>
      <c r="AD188" s="1083"/>
      <c r="AE188" s="1083"/>
      <c r="AF188" s="1083"/>
      <c r="AG188" s="1083"/>
      <c r="AH188" s="1083"/>
      <c r="AI188" s="1083"/>
      <c r="AJ188" s="1083"/>
    </row>
    <row r="189" spans="1:36" x14ac:dyDescent="0.25">
      <c r="A189" s="1083"/>
      <c r="B189" s="1451" t="s">
        <v>1320</v>
      </c>
      <c r="C189" s="1452">
        <f>+MIN(F3:G3)</f>
        <v>0.95</v>
      </c>
      <c r="D189" s="1452">
        <f>+MIN(F4:G4)</f>
        <v>0.95</v>
      </c>
      <c r="E189" s="1452">
        <f>+MIN(F5:G5)</f>
        <v>0.95</v>
      </c>
      <c r="F189" s="1452">
        <f>+MIN(F6:G6)</f>
        <v>0.95</v>
      </c>
      <c r="G189" s="1452">
        <f>+MIN(F7:G7)</f>
        <v>0.95</v>
      </c>
      <c r="H189" s="1452">
        <f>+MIN(F8:G8)</f>
        <v>0.95</v>
      </c>
      <c r="I189" s="1452">
        <f>+MIN(F9:G9)</f>
        <v>0.95</v>
      </c>
      <c r="J189" s="1083"/>
      <c r="K189" s="1083"/>
      <c r="L189" s="1083"/>
      <c r="M189" s="1083"/>
      <c r="N189" s="1083"/>
      <c r="O189" s="1083"/>
      <c r="P189" s="1083"/>
      <c r="Q189" s="1083"/>
      <c r="R189" s="1083"/>
      <c r="S189" s="1083"/>
      <c r="T189" s="1083"/>
      <c r="U189" s="1083"/>
      <c r="V189" s="1083"/>
      <c r="W189" s="1083"/>
      <c r="X189" s="1083"/>
      <c r="Y189" s="1083"/>
      <c r="Z189" s="1083"/>
      <c r="AA189" s="1083"/>
      <c r="AB189" s="1083"/>
      <c r="AC189" s="1083"/>
      <c r="AD189" s="1083"/>
      <c r="AE189" s="1083"/>
      <c r="AF189" s="1083"/>
      <c r="AG189" s="1083"/>
      <c r="AH189" s="1083"/>
      <c r="AI189" s="1083"/>
      <c r="AJ189" s="1083"/>
    </row>
    <row r="190" spans="1:36" x14ac:dyDescent="0.25">
      <c r="A190" s="1083"/>
      <c r="B190" s="1451" t="s">
        <v>1322</v>
      </c>
      <c r="C190" s="1453">
        <v>1</v>
      </c>
      <c r="D190" s="1453">
        <v>1</v>
      </c>
      <c r="E190" s="1453">
        <v>1</v>
      </c>
      <c r="F190" s="1453">
        <v>1</v>
      </c>
      <c r="G190" s="1453">
        <v>1</v>
      </c>
      <c r="H190" s="1453">
        <v>1</v>
      </c>
      <c r="I190" s="1453">
        <v>1</v>
      </c>
      <c r="J190" s="1083"/>
      <c r="K190" s="1083"/>
      <c r="L190" s="1083"/>
      <c r="M190" s="1083"/>
      <c r="N190" s="1083"/>
      <c r="O190" s="1083"/>
      <c r="P190" s="1083"/>
      <c r="Q190" s="1083"/>
      <c r="R190" s="1083"/>
      <c r="S190" s="1083"/>
      <c r="T190" s="1083"/>
      <c r="U190" s="1083"/>
      <c r="V190" s="1083"/>
      <c r="W190" s="1083"/>
      <c r="X190" s="1083"/>
      <c r="Y190" s="1083"/>
      <c r="Z190" s="1083"/>
      <c r="AA190" s="1083"/>
      <c r="AB190" s="1083"/>
      <c r="AC190" s="1083"/>
      <c r="AD190" s="1083"/>
      <c r="AE190" s="1083"/>
      <c r="AF190" s="1083"/>
      <c r="AG190" s="1083"/>
      <c r="AH190" s="1083"/>
      <c r="AI190" s="1083"/>
      <c r="AJ190" s="1083"/>
    </row>
    <row r="191" spans="1:36" x14ac:dyDescent="0.25">
      <c r="A191" s="1083"/>
      <c r="B191" s="1451" t="s">
        <v>1321</v>
      </c>
      <c r="C191" s="1452">
        <f>+MAX(F3:G3)</f>
        <v>1.05</v>
      </c>
      <c r="D191" s="1452">
        <f>+MAX(F4:G4)</f>
        <v>1.05</v>
      </c>
      <c r="E191" s="1452">
        <f>+MAX(F5:G5)</f>
        <v>1.05</v>
      </c>
      <c r="F191" s="1452">
        <f>+MAX(F6:G6)</f>
        <v>1.05</v>
      </c>
      <c r="G191" s="1452">
        <f>+MAX(F7:G7)</f>
        <v>1.05</v>
      </c>
      <c r="H191" s="1452">
        <f>+MAX(F8:G8)</f>
        <v>1.05</v>
      </c>
      <c r="I191" s="1452">
        <f>+MAX(F9:G9)</f>
        <v>1.05</v>
      </c>
      <c r="J191" s="1083"/>
      <c r="K191" s="1083"/>
      <c r="L191" s="1083"/>
      <c r="M191" s="1083"/>
      <c r="N191" s="1083"/>
      <c r="O191" s="1083"/>
      <c r="P191" s="1083"/>
      <c r="Q191" s="1083"/>
      <c r="R191" s="1083"/>
      <c r="S191" s="1083"/>
      <c r="T191" s="1083"/>
      <c r="U191" s="1083"/>
      <c r="V191" s="1083"/>
      <c r="W191" s="1083"/>
      <c r="X191" s="1083"/>
      <c r="Y191" s="1083"/>
      <c r="Z191" s="1083"/>
      <c r="AA191" s="1083"/>
      <c r="AB191" s="1083"/>
      <c r="AC191" s="1083"/>
      <c r="AD191" s="1083"/>
      <c r="AE191" s="1083"/>
      <c r="AF191" s="1083"/>
      <c r="AG191" s="1083"/>
      <c r="AH191" s="1083"/>
      <c r="AI191" s="1083"/>
      <c r="AJ191" s="1083"/>
    </row>
    <row r="192" spans="1:36" x14ac:dyDescent="0.25">
      <c r="A192" s="1083"/>
      <c r="B192" s="1083"/>
      <c r="C192" s="1083"/>
      <c r="D192" s="1083"/>
      <c r="E192" s="1083"/>
      <c r="F192" s="1083"/>
      <c r="G192" s="1083"/>
      <c r="H192" s="1083"/>
      <c r="I192" s="1083"/>
      <c r="J192" s="1083"/>
      <c r="K192" s="1083"/>
      <c r="L192" s="1083"/>
      <c r="M192" s="1083"/>
      <c r="N192" s="1083"/>
      <c r="O192" s="1083"/>
      <c r="P192" s="1083"/>
      <c r="Q192" s="1083"/>
      <c r="R192" s="1083"/>
      <c r="S192" s="1083"/>
      <c r="T192" s="1083"/>
      <c r="U192" s="1083"/>
      <c r="V192" s="1083"/>
      <c r="W192" s="1083"/>
      <c r="X192" s="1083"/>
      <c r="Y192" s="1083"/>
      <c r="Z192" s="1083"/>
      <c r="AA192" s="1083"/>
      <c r="AB192" s="1083"/>
      <c r="AC192" s="1083"/>
      <c r="AD192" s="1083"/>
      <c r="AE192" s="1083"/>
      <c r="AF192" s="1083"/>
      <c r="AG192" s="1083"/>
      <c r="AH192" s="1083"/>
      <c r="AI192" s="1083"/>
      <c r="AJ192" s="1083"/>
    </row>
    <row r="193" spans="1:36" x14ac:dyDescent="0.25">
      <c r="A193" s="1083"/>
      <c r="B193" s="1083"/>
      <c r="C193" s="1083"/>
      <c r="D193" s="1083"/>
      <c r="E193" s="1083"/>
      <c r="F193" s="1083"/>
      <c r="G193" s="1083"/>
      <c r="H193" s="1083"/>
      <c r="I193" s="1083"/>
      <c r="J193" s="1083"/>
      <c r="K193" s="1083"/>
      <c r="L193" s="1083"/>
      <c r="M193" s="1083"/>
      <c r="N193" s="1083"/>
      <c r="O193" s="1083"/>
      <c r="P193" s="1083"/>
      <c r="Q193" s="1083"/>
      <c r="R193" s="1083"/>
      <c r="S193" s="1083"/>
      <c r="T193" s="1083"/>
      <c r="U193" s="1083"/>
      <c r="V193" s="1083"/>
      <c r="W193" s="1083"/>
      <c r="X193" s="1083"/>
      <c r="Y193" s="1083"/>
      <c r="Z193" s="1083"/>
      <c r="AA193" s="1083"/>
      <c r="AB193" s="1083"/>
      <c r="AC193" s="1083"/>
      <c r="AD193" s="1083"/>
      <c r="AE193" s="1083"/>
      <c r="AF193" s="1083"/>
      <c r="AG193" s="1083"/>
      <c r="AH193" s="1083"/>
      <c r="AI193" s="1083"/>
      <c r="AJ193" s="1083"/>
    </row>
    <row r="194" spans="1:36" x14ac:dyDescent="0.25">
      <c r="A194" s="1083"/>
      <c r="B194" s="1084" t="s">
        <v>1328</v>
      </c>
      <c r="C194" s="1083">
        <f>+MATCH(R12,C50:Y50,0)</f>
        <v>9</v>
      </c>
      <c r="D194" s="1083"/>
      <c r="E194" s="1083"/>
      <c r="F194" s="1083"/>
      <c r="G194" s="1083"/>
      <c r="H194" s="1083"/>
      <c r="I194" s="1083"/>
      <c r="J194" s="1083"/>
      <c r="K194" s="1083"/>
      <c r="L194" s="1083"/>
      <c r="M194" s="1083"/>
      <c r="N194" s="1083"/>
      <c r="O194" s="1083"/>
      <c r="P194" s="1083"/>
      <c r="Q194" s="1083"/>
      <c r="R194" s="1083"/>
      <c r="S194" s="1083"/>
      <c r="T194" s="1083"/>
      <c r="U194" s="1083"/>
      <c r="V194" s="1083"/>
      <c r="W194" s="1083"/>
      <c r="X194" s="1083"/>
      <c r="Y194" s="1083"/>
      <c r="Z194" s="1083"/>
      <c r="AA194" s="1083"/>
      <c r="AB194" s="1083"/>
      <c r="AC194" s="1083"/>
      <c r="AD194" s="1083"/>
      <c r="AE194" s="1083"/>
      <c r="AF194" s="1083"/>
      <c r="AG194" s="1083"/>
      <c r="AH194" s="1083"/>
      <c r="AI194" s="1083"/>
      <c r="AJ194" s="1083"/>
    </row>
    <row r="195" spans="1:36" x14ac:dyDescent="0.25">
      <c r="A195" s="1083"/>
      <c r="B195" s="1084" t="s">
        <v>1324</v>
      </c>
      <c r="C195" s="1083">
        <f ca="1">+MIN(OFFSET($B$251:$B$2250,0,C194))</f>
        <v>1.7275167732033614</v>
      </c>
      <c r="D195" s="1083"/>
      <c r="E195" s="1083"/>
      <c r="F195" s="1083"/>
      <c r="G195" s="1083"/>
      <c r="H195" s="1083"/>
      <c r="I195" s="1083"/>
      <c r="J195" s="1083"/>
      <c r="K195" s="1083"/>
      <c r="L195" s="1083"/>
      <c r="M195" s="1083"/>
      <c r="N195" s="1083"/>
      <c r="O195" s="1083"/>
      <c r="P195" s="1083"/>
      <c r="Q195" s="1083"/>
      <c r="R195" s="1083"/>
      <c r="S195" s="1083"/>
      <c r="T195" s="1083"/>
      <c r="U195" s="1083"/>
      <c r="V195" s="1083"/>
      <c r="W195" s="1083"/>
      <c r="X195" s="1083"/>
      <c r="Y195" s="1083"/>
      <c r="Z195" s="1083"/>
      <c r="AA195" s="1083"/>
      <c r="AB195" s="1083"/>
      <c r="AC195" s="1083"/>
      <c r="AD195" s="1083"/>
      <c r="AE195" s="1083"/>
      <c r="AF195" s="1083"/>
      <c r="AG195" s="1083"/>
      <c r="AH195" s="1083"/>
      <c r="AI195" s="1083"/>
      <c r="AJ195" s="1083"/>
    </row>
    <row r="196" spans="1:36" x14ac:dyDescent="0.25">
      <c r="A196" s="1083"/>
      <c r="B196" s="1084" t="s">
        <v>1329</v>
      </c>
      <c r="C196" s="1083">
        <f ca="1">+MAX(OFFSET($B$251:$B$2250,0,C194))</f>
        <v>1.9879469032568753</v>
      </c>
      <c r="D196" s="1083"/>
      <c r="E196" s="1083"/>
      <c r="F196" s="1083"/>
      <c r="G196" s="1083"/>
      <c r="H196" s="1083"/>
      <c r="I196" s="1083"/>
      <c r="J196" s="1083"/>
      <c r="K196" s="1083"/>
      <c r="L196" s="1083"/>
      <c r="M196" s="1083"/>
      <c r="N196" s="1083"/>
      <c r="O196" s="1083"/>
      <c r="P196" s="1083"/>
      <c r="Q196" s="1083"/>
      <c r="R196" s="1083"/>
      <c r="S196" s="1083"/>
      <c r="T196" s="1083"/>
      <c r="U196" s="1083"/>
      <c r="V196" s="1083"/>
      <c r="W196" s="1083"/>
      <c r="X196" s="1083"/>
      <c r="Y196" s="1083"/>
      <c r="Z196" s="1083"/>
      <c r="AA196" s="1083"/>
      <c r="AB196" s="1083"/>
      <c r="AC196" s="1083"/>
      <c r="AD196" s="1083"/>
      <c r="AE196" s="1083"/>
      <c r="AF196" s="1083"/>
      <c r="AG196" s="1083"/>
      <c r="AH196" s="1083"/>
      <c r="AI196" s="1083"/>
      <c r="AJ196" s="1083"/>
    </row>
    <row r="197" spans="1:36" x14ac:dyDescent="0.25">
      <c r="A197" s="1083"/>
      <c r="B197" s="1084" t="s">
        <v>1331</v>
      </c>
      <c r="C197" s="1083">
        <f ca="1">+C196-C195</f>
        <v>0.2604301300535139</v>
      </c>
      <c r="D197" s="1083"/>
      <c r="E197" s="1083"/>
      <c r="F197" s="1083"/>
      <c r="G197" s="1083"/>
      <c r="H197" s="1083"/>
      <c r="I197" s="1083"/>
      <c r="J197" s="1083"/>
      <c r="K197" s="1083"/>
      <c r="L197" s="1083"/>
      <c r="M197" s="1083"/>
      <c r="N197" s="1083"/>
      <c r="O197" s="1083"/>
      <c r="P197" s="1083"/>
      <c r="Q197" s="1083"/>
      <c r="R197" s="1083"/>
      <c r="S197" s="1083"/>
      <c r="T197" s="1083"/>
      <c r="U197" s="1083"/>
      <c r="V197" s="1083"/>
      <c r="W197" s="1083"/>
      <c r="X197" s="1083"/>
      <c r="Y197" s="1083"/>
      <c r="Z197" s="1083"/>
      <c r="AA197" s="1083"/>
      <c r="AB197" s="1083"/>
      <c r="AC197" s="1083"/>
      <c r="AD197" s="1083"/>
      <c r="AE197" s="1083"/>
      <c r="AF197" s="1083"/>
      <c r="AG197" s="1083"/>
      <c r="AH197" s="1083"/>
      <c r="AI197" s="1083"/>
      <c r="AJ197" s="1083"/>
    </row>
    <row r="198" spans="1:36" x14ac:dyDescent="0.25">
      <c r="A198" s="1083"/>
      <c r="B198" s="1084" t="s">
        <v>1330</v>
      </c>
      <c r="C198" s="1083">
        <f ca="1">+OFFSET(B199,0,C194)</f>
        <v>1</v>
      </c>
      <c r="D198" s="1083"/>
      <c r="E198" s="1083"/>
      <c r="F198" s="1083"/>
      <c r="G198" s="1083"/>
      <c r="H198" s="1083"/>
      <c r="I198" s="1083"/>
      <c r="J198" s="1083"/>
      <c r="K198" s="1083"/>
      <c r="L198" s="1083"/>
      <c r="M198" s="1083"/>
      <c r="N198" s="1083"/>
      <c r="O198" s="1083"/>
      <c r="P198" s="1083"/>
      <c r="Q198" s="1083"/>
      <c r="R198" s="1083"/>
      <c r="S198" s="1083"/>
      <c r="T198" s="1083"/>
      <c r="U198" s="1083"/>
      <c r="V198" s="1083"/>
      <c r="W198" s="1083"/>
      <c r="X198" s="1083"/>
      <c r="Y198" s="1083"/>
      <c r="Z198" s="1083"/>
      <c r="AA198" s="1083"/>
      <c r="AB198" s="1083"/>
      <c r="AC198" s="1083"/>
      <c r="AD198" s="1083"/>
      <c r="AE198" s="1083"/>
      <c r="AF198" s="1083"/>
      <c r="AG198" s="1083"/>
      <c r="AH198" s="1083"/>
      <c r="AI198" s="1083"/>
      <c r="AJ198" s="1083"/>
    </row>
    <row r="199" spans="1:36" x14ac:dyDescent="0.25">
      <c r="A199" s="1083"/>
      <c r="B199" s="1084" t="s">
        <v>1330</v>
      </c>
      <c r="C199" s="1449">
        <f ca="1">+C3</f>
        <v>0.9</v>
      </c>
      <c r="D199" s="1456">
        <f>+C4</f>
        <v>618936</v>
      </c>
      <c r="E199" s="1449">
        <f ca="1">+C5</f>
        <v>0.08</v>
      </c>
      <c r="F199" s="1449">
        <f>+C6</f>
        <v>1</v>
      </c>
      <c r="G199" s="1449">
        <f>+C7</f>
        <v>1</v>
      </c>
      <c r="H199" s="1456">
        <f ca="1">+C8</f>
        <v>1767277323.1692276</v>
      </c>
      <c r="I199" s="1456">
        <f ca="1">+C9</f>
        <v>91669007.478598267</v>
      </c>
      <c r="J199" s="1083"/>
      <c r="K199" s="1083">
        <v>1</v>
      </c>
      <c r="L199" s="1083">
        <v>1</v>
      </c>
      <c r="M199" s="1083">
        <v>1</v>
      </c>
      <c r="N199" s="1083">
        <v>1</v>
      </c>
      <c r="O199" s="1083">
        <v>1</v>
      </c>
      <c r="P199" s="1083">
        <v>1</v>
      </c>
      <c r="Q199" s="1083">
        <v>1</v>
      </c>
      <c r="R199" s="1083">
        <v>1</v>
      </c>
      <c r="S199" s="1083">
        <v>1</v>
      </c>
      <c r="T199" s="1083">
        <v>1</v>
      </c>
      <c r="U199" s="1083">
        <v>1</v>
      </c>
      <c r="V199" s="1083">
        <v>1</v>
      </c>
      <c r="W199" s="1083">
        <v>1</v>
      </c>
      <c r="X199" s="1083">
        <v>1</v>
      </c>
      <c r="Y199" s="1083"/>
      <c r="Z199" s="1083"/>
      <c r="AA199" s="1083"/>
      <c r="AB199" s="1083"/>
      <c r="AC199" s="1083"/>
      <c r="AD199" s="1083"/>
      <c r="AE199" s="1083"/>
      <c r="AF199" s="1083"/>
      <c r="AG199" s="1083"/>
      <c r="AH199" s="1083"/>
      <c r="AI199" s="1083"/>
      <c r="AJ199" s="1083"/>
    </row>
    <row r="200" spans="1:36" x14ac:dyDescent="0.25">
      <c r="A200" s="1083"/>
      <c r="B200" s="1084" t="s">
        <v>1327</v>
      </c>
      <c r="C200" s="1083"/>
      <c r="D200" s="1083"/>
      <c r="E200" s="1083"/>
      <c r="F200" s="1083"/>
      <c r="G200" s="1083"/>
      <c r="H200" s="1083"/>
      <c r="I200" s="1083"/>
      <c r="J200" s="1083"/>
      <c r="K200" s="1083"/>
      <c r="L200" s="1083"/>
      <c r="M200" s="1083"/>
      <c r="N200" s="1083"/>
      <c r="O200" s="1083"/>
      <c r="P200" s="1083"/>
      <c r="Q200" s="1083"/>
      <c r="R200" s="1083"/>
      <c r="S200" s="1083"/>
      <c r="T200" s="1083"/>
      <c r="U200" s="1083"/>
      <c r="V200" s="1083"/>
      <c r="W200" s="1083"/>
      <c r="X200" s="1083"/>
      <c r="Y200" s="1083"/>
      <c r="Z200" s="1083"/>
      <c r="AA200" s="1083"/>
      <c r="AB200" s="1083"/>
      <c r="AC200" s="1083"/>
      <c r="AD200" s="1083"/>
      <c r="AE200" s="1083"/>
      <c r="AF200" s="1083"/>
      <c r="AG200" s="1083"/>
      <c r="AH200" s="1083"/>
      <c r="AI200" s="1083"/>
      <c r="AJ200" s="1083"/>
    </row>
    <row r="201" spans="1:36" x14ac:dyDescent="0.25">
      <c r="A201" s="1083"/>
      <c r="B201" s="1084" t="s">
        <v>1324</v>
      </c>
      <c r="C201" s="1084" t="s">
        <v>1325</v>
      </c>
      <c r="D201" s="1083"/>
      <c r="E201" s="1084" t="s">
        <v>1332</v>
      </c>
      <c r="F201" s="1084" t="s">
        <v>1333</v>
      </c>
      <c r="G201" s="1084" t="s">
        <v>1334</v>
      </c>
      <c r="H201" s="1084" t="s">
        <v>1335</v>
      </c>
      <c r="I201" s="1084" t="s">
        <v>1336</v>
      </c>
      <c r="J201" s="1083"/>
      <c r="K201" s="1083"/>
      <c r="L201" s="1083"/>
      <c r="M201" s="1083"/>
      <c r="N201" s="1083"/>
      <c r="O201" s="1083"/>
      <c r="P201" s="1083"/>
      <c r="Q201" s="1083"/>
      <c r="R201" s="1083"/>
      <c r="S201" s="1083"/>
      <c r="T201" s="1083"/>
      <c r="U201" s="1083"/>
      <c r="V201" s="1083"/>
      <c r="W201" s="1083"/>
      <c r="X201" s="1083"/>
      <c r="Y201" s="1083"/>
      <c r="Z201" s="1083"/>
      <c r="AA201" s="1083"/>
      <c r="AB201" s="1083"/>
      <c r="AC201" s="1083"/>
      <c r="AD201" s="1083"/>
      <c r="AE201" s="1083"/>
      <c r="AF201" s="1083"/>
      <c r="AG201" s="1083"/>
      <c r="AH201" s="1083"/>
      <c r="AI201" s="1083"/>
      <c r="AJ201" s="1083"/>
    </row>
    <row r="202" spans="1:36" x14ac:dyDescent="0.25">
      <c r="A202" s="1083"/>
      <c r="B202" s="1088">
        <f ca="1">+C195</f>
        <v>1.7275167732033614</v>
      </c>
      <c r="C202" s="1454">
        <f ca="1">+B202+($C$197/20)</f>
        <v>1.7405382797060371</v>
      </c>
      <c r="D202" s="1083">
        <f t="shared" ref="D202:D221" ca="1" si="88">+COUNTIFS(OFFSET(B$251:B$2250,0,$C$194),"&gt;="&amp;$B202,
OFFSET(B$251:B$2250,0,$C$194),"&lt;="&amp;$C202)</f>
        <v>2</v>
      </c>
      <c r="E202" s="1457">
        <f ca="1">+B202*$C$198</f>
        <v>1.7275167732033614</v>
      </c>
      <c r="F202" s="1457">
        <f ca="1">+C202*$C$198</f>
        <v>1.7405382797060371</v>
      </c>
      <c r="G202" s="1456">
        <f ca="1">+AVERAGE(E202:F202)</f>
        <v>1.7340275264546992</v>
      </c>
      <c r="H202" s="1083">
        <f ca="1">+D202/$D$223</f>
        <v>1E-3</v>
      </c>
      <c r="I202" s="1083">
        <f ca="1">+H202</f>
        <v>1E-3</v>
      </c>
      <c r="J202" s="1083"/>
      <c r="K202" s="1083"/>
      <c r="L202" s="1083"/>
      <c r="M202" s="1083"/>
      <c r="N202" s="1083"/>
      <c r="O202" s="1083"/>
      <c r="P202" s="1083"/>
      <c r="Q202" s="1083"/>
      <c r="R202" s="1083"/>
      <c r="S202" s="1083"/>
      <c r="T202" s="1083"/>
      <c r="U202" s="1083"/>
      <c r="V202" s="1083"/>
      <c r="W202" s="1083"/>
      <c r="X202" s="1083"/>
      <c r="Y202" s="1083"/>
      <c r="Z202" s="1083"/>
      <c r="AA202" s="1083"/>
      <c r="AB202" s="1083"/>
      <c r="AC202" s="1083"/>
      <c r="AD202" s="1083"/>
      <c r="AE202" s="1083"/>
      <c r="AF202" s="1083"/>
      <c r="AG202" s="1083"/>
      <c r="AH202" s="1083"/>
      <c r="AI202" s="1083"/>
      <c r="AJ202" s="1083"/>
    </row>
    <row r="203" spans="1:36" x14ac:dyDescent="0.25">
      <c r="A203" s="1083"/>
      <c r="B203" s="1088">
        <f ca="1">+C202</f>
        <v>1.7405382797060371</v>
      </c>
      <c r="C203" s="1454">
        <f t="shared" ref="C203:C220" ca="1" si="89">+B203+($C$197/20)</f>
        <v>1.7535597862087129</v>
      </c>
      <c r="D203" s="1083">
        <f t="shared" ca="1" si="88"/>
        <v>2</v>
      </c>
      <c r="E203" s="1457">
        <f t="shared" ref="E203:E221" ca="1" si="90">+B203*$C$198</f>
        <v>1.7405382797060371</v>
      </c>
      <c r="F203" s="1457">
        <f t="shared" ref="F203:F222" ca="1" si="91">+C203*$C$198</f>
        <v>1.7535597862087129</v>
      </c>
      <c r="G203" s="1456">
        <f t="shared" ref="G203:G222" ca="1" si="92">+AVERAGE(E203:F203)</f>
        <v>1.7470490329573751</v>
      </c>
      <c r="H203" s="1083">
        <f t="shared" ref="H203:H221" ca="1" si="93">+D203/$D$223</f>
        <v>1E-3</v>
      </c>
      <c r="I203" s="1083">
        <f ca="1">+I202+H203</f>
        <v>2E-3</v>
      </c>
      <c r="J203" s="1083"/>
      <c r="K203" s="1083"/>
      <c r="L203" s="1083"/>
      <c r="M203" s="1083"/>
      <c r="N203" s="1083"/>
      <c r="O203" s="1083"/>
      <c r="P203" s="1083"/>
      <c r="Q203" s="1083"/>
      <c r="R203" s="1083"/>
      <c r="S203" s="1083"/>
      <c r="T203" s="1083"/>
      <c r="U203" s="1083"/>
      <c r="V203" s="1083"/>
      <c r="W203" s="1083"/>
      <c r="X203" s="1083"/>
      <c r="Y203" s="1083"/>
      <c r="Z203" s="1083"/>
      <c r="AA203" s="1083"/>
      <c r="AB203" s="1083"/>
      <c r="AC203" s="1083"/>
      <c r="AD203" s="1083"/>
      <c r="AE203" s="1083"/>
      <c r="AF203" s="1083"/>
      <c r="AG203" s="1083"/>
      <c r="AH203" s="1083"/>
      <c r="AI203" s="1083"/>
      <c r="AJ203" s="1083"/>
    </row>
    <row r="204" spans="1:36" x14ac:dyDescent="0.25">
      <c r="A204" s="1083"/>
      <c r="B204" s="1088">
        <f t="shared" ref="B204:B221" ca="1" si="94">+C203</f>
        <v>1.7535597862087129</v>
      </c>
      <c r="C204" s="1454">
        <f t="shared" ca="1" si="89"/>
        <v>1.7665812927113886</v>
      </c>
      <c r="D204" s="1083">
        <f t="shared" ca="1" si="88"/>
        <v>20</v>
      </c>
      <c r="E204" s="1457">
        <f t="shared" ca="1" si="90"/>
        <v>1.7535597862087129</v>
      </c>
      <c r="F204" s="1457">
        <f t="shared" ca="1" si="91"/>
        <v>1.7665812927113886</v>
      </c>
      <c r="G204" s="1456">
        <f t="shared" ca="1" si="92"/>
        <v>1.7600705394600507</v>
      </c>
      <c r="H204" s="1083">
        <f t="shared" ca="1" si="93"/>
        <v>0.01</v>
      </c>
      <c r="I204" s="1083">
        <f t="shared" ref="I204:I221" ca="1" si="95">+I203+H204</f>
        <v>1.2E-2</v>
      </c>
      <c r="J204" s="1083"/>
      <c r="K204" s="1083"/>
      <c r="L204" s="1083"/>
      <c r="M204" s="1083"/>
      <c r="N204" s="1083"/>
      <c r="O204" s="1083"/>
      <c r="P204" s="1083"/>
      <c r="Q204" s="1083"/>
      <c r="R204" s="1083"/>
      <c r="S204" s="1083"/>
      <c r="T204" s="1083"/>
      <c r="U204" s="1083"/>
      <c r="V204" s="1083"/>
      <c r="W204" s="1083"/>
      <c r="X204" s="1083"/>
      <c r="Y204" s="1083"/>
      <c r="Z204" s="1083"/>
      <c r="AA204" s="1083"/>
      <c r="AB204" s="1083"/>
      <c r="AC204" s="1083"/>
      <c r="AD204" s="1083"/>
      <c r="AE204" s="1083"/>
      <c r="AF204" s="1083"/>
      <c r="AG204" s="1083"/>
      <c r="AH204" s="1083"/>
      <c r="AI204" s="1083"/>
      <c r="AJ204" s="1083"/>
    </row>
    <row r="205" spans="1:36" x14ac:dyDescent="0.25">
      <c r="A205" s="1083"/>
      <c r="B205" s="1088">
        <f t="shared" ca="1" si="94"/>
        <v>1.7665812927113886</v>
      </c>
      <c r="C205" s="1454">
        <f t="shared" ca="1" si="89"/>
        <v>1.7796027992140644</v>
      </c>
      <c r="D205" s="1083">
        <f t="shared" ca="1" si="88"/>
        <v>35</v>
      </c>
      <c r="E205" s="1457">
        <f t="shared" ca="1" si="90"/>
        <v>1.7665812927113886</v>
      </c>
      <c r="F205" s="1457">
        <f t="shared" ca="1" si="91"/>
        <v>1.7796027992140644</v>
      </c>
      <c r="G205" s="1456">
        <f t="shared" ca="1" si="92"/>
        <v>1.7730920459627266</v>
      </c>
      <c r="H205" s="1083">
        <f t="shared" ca="1" si="93"/>
        <v>1.7500000000000002E-2</v>
      </c>
      <c r="I205" s="1083">
        <f t="shared" ca="1" si="95"/>
        <v>2.9500000000000002E-2</v>
      </c>
      <c r="J205" s="1083"/>
      <c r="K205" s="1083"/>
      <c r="L205" s="1083"/>
      <c r="M205" s="1083"/>
      <c r="N205" s="1083"/>
      <c r="O205" s="1083"/>
      <c r="P205" s="1083"/>
      <c r="Q205" s="1083"/>
      <c r="R205" s="1083"/>
      <c r="S205" s="1083"/>
      <c r="T205" s="1083"/>
      <c r="U205" s="1083"/>
      <c r="V205" s="1083"/>
      <c r="W205" s="1083"/>
      <c r="X205" s="1083"/>
      <c r="Y205" s="1083"/>
      <c r="Z205" s="1083"/>
      <c r="AA205" s="1083"/>
      <c r="AB205" s="1083"/>
      <c r="AC205" s="1083"/>
      <c r="AD205" s="1083"/>
      <c r="AE205" s="1083"/>
      <c r="AF205" s="1083"/>
      <c r="AG205" s="1083"/>
      <c r="AH205" s="1083"/>
      <c r="AI205" s="1083"/>
      <c r="AJ205" s="1083"/>
    </row>
    <row r="206" spans="1:36" x14ac:dyDescent="0.25">
      <c r="A206" s="1083"/>
      <c r="B206" s="1088">
        <f t="shared" ca="1" si="94"/>
        <v>1.7796027992140644</v>
      </c>
      <c r="C206" s="1454">
        <f t="shared" ca="1" si="89"/>
        <v>1.7926243057167401</v>
      </c>
      <c r="D206" s="1083">
        <f t="shared" ca="1" si="88"/>
        <v>66</v>
      </c>
      <c r="E206" s="1457">
        <f t="shared" ca="1" si="90"/>
        <v>1.7796027992140644</v>
      </c>
      <c r="F206" s="1457">
        <f t="shared" ca="1" si="91"/>
        <v>1.7926243057167401</v>
      </c>
      <c r="G206" s="1456">
        <f t="shared" ca="1" si="92"/>
        <v>1.7861135524654022</v>
      </c>
      <c r="H206" s="1083">
        <f t="shared" ca="1" si="93"/>
        <v>3.3000000000000002E-2</v>
      </c>
      <c r="I206" s="1083">
        <f t="shared" ca="1" si="95"/>
        <v>6.25E-2</v>
      </c>
      <c r="J206" s="1083"/>
      <c r="K206" s="1083"/>
      <c r="L206" s="1083"/>
      <c r="M206" s="1083"/>
      <c r="N206" s="1083"/>
      <c r="O206" s="1083"/>
      <c r="P206" s="1083"/>
      <c r="Q206" s="1083"/>
      <c r="R206" s="1083"/>
      <c r="S206" s="1083"/>
      <c r="T206" s="1083"/>
      <c r="U206" s="1083"/>
      <c r="V206" s="1083"/>
      <c r="W206" s="1083"/>
      <c r="X206" s="1083"/>
      <c r="Y206" s="1083"/>
      <c r="Z206" s="1083"/>
      <c r="AA206" s="1083"/>
      <c r="AB206" s="1083"/>
      <c r="AC206" s="1083"/>
      <c r="AD206" s="1083"/>
      <c r="AE206" s="1083"/>
      <c r="AF206" s="1083"/>
      <c r="AG206" s="1083"/>
      <c r="AH206" s="1083"/>
      <c r="AI206" s="1083"/>
      <c r="AJ206" s="1083"/>
    </row>
    <row r="207" spans="1:36" x14ac:dyDescent="0.25">
      <c r="A207" s="1083"/>
      <c r="B207" s="1088">
        <f t="shared" ca="1" si="94"/>
        <v>1.7926243057167401</v>
      </c>
      <c r="C207" s="1454">
        <f t="shared" ca="1" si="89"/>
        <v>1.8056458122194159</v>
      </c>
      <c r="D207" s="1083">
        <f t="shared" ca="1" si="88"/>
        <v>105</v>
      </c>
      <c r="E207" s="1457">
        <f t="shared" ca="1" si="90"/>
        <v>1.7926243057167401</v>
      </c>
      <c r="F207" s="1457">
        <f t="shared" ca="1" si="91"/>
        <v>1.8056458122194159</v>
      </c>
      <c r="G207" s="1456">
        <f t="shared" ca="1" si="92"/>
        <v>1.7991350589680781</v>
      </c>
      <c r="H207" s="1083">
        <f t="shared" ca="1" si="93"/>
        <v>5.2499999999999998E-2</v>
      </c>
      <c r="I207" s="1083">
        <f t="shared" ca="1" si="95"/>
        <v>0.11499999999999999</v>
      </c>
      <c r="J207" s="1083"/>
      <c r="K207" s="1083"/>
      <c r="L207" s="1083"/>
      <c r="M207" s="1083"/>
      <c r="N207" s="1083"/>
      <c r="O207" s="1083"/>
      <c r="P207" s="1083"/>
      <c r="Q207" s="1083"/>
      <c r="R207" s="1083"/>
      <c r="S207" s="1083"/>
      <c r="T207" s="1083"/>
      <c r="U207" s="1083"/>
      <c r="V207" s="1083"/>
      <c r="W207" s="1083"/>
      <c r="X207" s="1083"/>
      <c r="Y207" s="1083"/>
      <c r="Z207" s="1083"/>
      <c r="AA207" s="1083"/>
      <c r="AB207" s="1083"/>
      <c r="AC207" s="1083"/>
      <c r="AD207" s="1083"/>
      <c r="AE207" s="1083"/>
      <c r="AF207" s="1083"/>
      <c r="AG207" s="1083"/>
      <c r="AH207" s="1083"/>
      <c r="AI207" s="1083"/>
      <c r="AJ207" s="1083"/>
    </row>
    <row r="208" spans="1:36" x14ac:dyDescent="0.25">
      <c r="A208" s="1083"/>
      <c r="B208" s="1088">
        <f t="shared" ca="1" si="94"/>
        <v>1.8056458122194159</v>
      </c>
      <c r="C208" s="1454">
        <f t="shared" ca="1" si="89"/>
        <v>1.8186673187220916</v>
      </c>
      <c r="D208" s="1083">
        <f t="shared" ca="1" si="88"/>
        <v>177</v>
      </c>
      <c r="E208" s="1457">
        <f t="shared" ca="1" si="90"/>
        <v>1.8056458122194159</v>
      </c>
      <c r="F208" s="1457">
        <f t="shared" ca="1" si="91"/>
        <v>1.8186673187220916</v>
      </c>
      <c r="G208" s="1456">
        <f t="shared" ca="1" si="92"/>
        <v>1.8121565654707537</v>
      </c>
      <c r="H208" s="1083">
        <f t="shared" ca="1" si="93"/>
        <v>8.8499999999999995E-2</v>
      </c>
      <c r="I208" s="1083">
        <f t="shared" ca="1" si="95"/>
        <v>0.20349999999999999</v>
      </c>
      <c r="J208" s="1083"/>
      <c r="K208" s="1083"/>
      <c r="L208" s="1083"/>
      <c r="M208" s="1083"/>
      <c r="N208" s="1083"/>
      <c r="O208" s="1083"/>
      <c r="P208" s="1083"/>
      <c r="Q208" s="1083"/>
      <c r="R208" s="1083"/>
      <c r="S208" s="1083"/>
      <c r="T208" s="1083"/>
      <c r="U208" s="1083"/>
      <c r="V208" s="1083"/>
      <c r="W208" s="1083"/>
      <c r="X208" s="1083"/>
      <c r="Y208" s="1083"/>
      <c r="Z208" s="1083"/>
      <c r="AA208" s="1083"/>
      <c r="AB208" s="1083"/>
      <c r="AC208" s="1083"/>
      <c r="AD208" s="1083"/>
      <c r="AE208" s="1083"/>
      <c r="AF208" s="1083"/>
      <c r="AG208" s="1083"/>
      <c r="AH208" s="1083"/>
      <c r="AI208" s="1083"/>
      <c r="AJ208" s="1083"/>
    </row>
    <row r="209" spans="1:36" x14ac:dyDescent="0.25">
      <c r="A209" s="1083"/>
      <c r="B209" s="1088">
        <f t="shared" ca="1" si="94"/>
        <v>1.8186673187220916</v>
      </c>
      <c r="C209" s="1454">
        <f t="shared" ca="1" si="89"/>
        <v>1.8316888252247674</v>
      </c>
      <c r="D209" s="1083">
        <f t="shared" ca="1" si="88"/>
        <v>242</v>
      </c>
      <c r="E209" s="1457">
        <f t="shared" ca="1" si="90"/>
        <v>1.8186673187220916</v>
      </c>
      <c r="F209" s="1457">
        <f t="shared" ca="1" si="91"/>
        <v>1.8316888252247674</v>
      </c>
      <c r="G209" s="1456">
        <f t="shared" ca="1" si="92"/>
        <v>1.8251780719734296</v>
      </c>
      <c r="H209" s="1083">
        <f t="shared" ca="1" si="93"/>
        <v>0.121</v>
      </c>
      <c r="I209" s="1083">
        <f t="shared" ca="1" si="95"/>
        <v>0.32450000000000001</v>
      </c>
      <c r="J209" s="1083"/>
      <c r="K209" s="1083"/>
      <c r="L209" s="1083"/>
      <c r="M209" s="1083"/>
      <c r="N209" s="1083"/>
      <c r="O209" s="1083"/>
      <c r="P209" s="1083"/>
      <c r="Q209" s="1083"/>
      <c r="R209" s="1083"/>
      <c r="S209" s="1083"/>
      <c r="T209" s="1083"/>
      <c r="U209" s="1083"/>
      <c r="V209" s="1083"/>
      <c r="W209" s="1083"/>
      <c r="X209" s="1083"/>
      <c r="Y209" s="1083"/>
      <c r="Z209" s="1083"/>
      <c r="AA209" s="1083"/>
      <c r="AB209" s="1083"/>
      <c r="AC209" s="1083"/>
      <c r="AD209" s="1083"/>
      <c r="AE209" s="1083"/>
      <c r="AF209" s="1083"/>
      <c r="AG209" s="1083"/>
      <c r="AH209" s="1083"/>
      <c r="AI209" s="1083"/>
      <c r="AJ209" s="1083"/>
    </row>
    <row r="210" spans="1:36" x14ac:dyDescent="0.25">
      <c r="A210" s="1083"/>
      <c r="B210" s="1088">
        <f t="shared" ca="1" si="94"/>
        <v>1.8316888252247674</v>
      </c>
      <c r="C210" s="1454">
        <f t="shared" ca="1" si="89"/>
        <v>1.8447103317274431</v>
      </c>
      <c r="D210" s="1083">
        <f t="shared" ca="1" si="88"/>
        <v>271</v>
      </c>
      <c r="E210" s="1457">
        <f t="shared" ca="1" si="90"/>
        <v>1.8316888252247674</v>
      </c>
      <c r="F210" s="1457">
        <f t="shared" ca="1" si="91"/>
        <v>1.8447103317274431</v>
      </c>
      <c r="G210" s="1456">
        <f t="shared" ca="1" si="92"/>
        <v>1.8381995784761052</v>
      </c>
      <c r="H210" s="1083">
        <f t="shared" ca="1" si="93"/>
        <v>0.13550000000000001</v>
      </c>
      <c r="I210" s="1083">
        <f t="shared" ca="1" si="95"/>
        <v>0.46</v>
      </c>
      <c r="J210" s="1083"/>
      <c r="K210" s="1083"/>
      <c r="L210" s="1083"/>
      <c r="M210" s="1083"/>
      <c r="N210" s="1083"/>
      <c r="O210" s="1083"/>
      <c r="P210" s="1083"/>
      <c r="Q210" s="1083"/>
      <c r="R210" s="1083"/>
      <c r="S210" s="1083"/>
      <c r="T210" s="1083"/>
      <c r="U210" s="1083"/>
      <c r="V210" s="1083"/>
      <c r="W210" s="1083"/>
      <c r="X210" s="1083"/>
      <c r="Y210" s="1083"/>
      <c r="Z210" s="1083"/>
      <c r="AA210" s="1083"/>
      <c r="AB210" s="1083"/>
      <c r="AC210" s="1083"/>
      <c r="AD210" s="1083"/>
      <c r="AE210" s="1083"/>
      <c r="AF210" s="1083"/>
      <c r="AG210" s="1083"/>
      <c r="AH210" s="1083"/>
      <c r="AI210" s="1083"/>
      <c r="AJ210" s="1083"/>
    </row>
    <row r="211" spans="1:36" x14ac:dyDescent="0.25">
      <c r="A211" s="1083"/>
      <c r="B211" s="1088">
        <f t="shared" ca="1" si="94"/>
        <v>1.8447103317274431</v>
      </c>
      <c r="C211" s="1454">
        <f t="shared" ca="1" si="89"/>
        <v>1.8577318382301189</v>
      </c>
      <c r="D211" s="1083">
        <f t="shared" ca="1" si="88"/>
        <v>280</v>
      </c>
      <c r="E211" s="1457">
        <f t="shared" ca="1" si="90"/>
        <v>1.8447103317274431</v>
      </c>
      <c r="F211" s="1457">
        <f t="shared" ca="1" si="91"/>
        <v>1.8577318382301189</v>
      </c>
      <c r="G211" s="1456">
        <f t="shared" ca="1" si="92"/>
        <v>1.8512210849787811</v>
      </c>
      <c r="H211" s="1083">
        <f t="shared" ca="1" si="93"/>
        <v>0.14000000000000001</v>
      </c>
      <c r="I211" s="1083">
        <f t="shared" ca="1" si="95"/>
        <v>0.60000000000000009</v>
      </c>
      <c r="J211" s="1083"/>
      <c r="K211" s="1083"/>
      <c r="L211" s="1083"/>
      <c r="M211" s="1083"/>
      <c r="N211" s="1083"/>
      <c r="O211" s="1083"/>
      <c r="P211" s="1083"/>
      <c r="Q211" s="1083"/>
      <c r="R211" s="1083"/>
      <c r="S211" s="1083"/>
      <c r="T211" s="1083"/>
      <c r="U211" s="1083"/>
      <c r="V211" s="1083"/>
      <c r="W211" s="1083"/>
      <c r="X211" s="1083"/>
      <c r="Y211" s="1083"/>
      <c r="Z211" s="1083"/>
      <c r="AA211" s="1083"/>
      <c r="AB211" s="1083"/>
      <c r="AC211" s="1083"/>
      <c r="AD211" s="1083"/>
      <c r="AE211" s="1083"/>
      <c r="AF211" s="1083"/>
      <c r="AG211" s="1083"/>
      <c r="AH211" s="1083"/>
      <c r="AI211" s="1083"/>
      <c r="AJ211" s="1083"/>
    </row>
    <row r="212" spans="1:36" x14ac:dyDescent="0.25">
      <c r="A212" s="1083"/>
      <c r="B212" s="1088">
        <f t="shared" ca="1" si="94"/>
        <v>1.8577318382301189</v>
      </c>
      <c r="C212" s="1454">
        <f t="shared" ca="1" si="89"/>
        <v>1.8707533447327946</v>
      </c>
      <c r="D212" s="1083">
        <f t="shared" ca="1" si="88"/>
        <v>260</v>
      </c>
      <c r="E212" s="1457">
        <f t="shared" ca="1" si="90"/>
        <v>1.8577318382301189</v>
      </c>
      <c r="F212" s="1457">
        <f t="shared" ca="1" si="91"/>
        <v>1.8707533447327946</v>
      </c>
      <c r="G212" s="1456">
        <f t="shared" ca="1" si="92"/>
        <v>1.8642425914814567</v>
      </c>
      <c r="H212" s="1083">
        <f t="shared" ca="1" si="93"/>
        <v>0.13</v>
      </c>
      <c r="I212" s="1083">
        <f t="shared" ca="1" si="95"/>
        <v>0.73000000000000009</v>
      </c>
      <c r="J212" s="1083"/>
      <c r="K212" s="1083"/>
      <c r="L212" s="1083"/>
      <c r="M212" s="1083"/>
      <c r="N212" s="1083"/>
      <c r="O212" s="1083"/>
      <c r="P212" s="1083"/>
      <c r="Q212" s="1083"/>
      <c r="R212" s="1083"/>
      <c r="S212" s="1083"/>
      <c r="T212" s="1083"/>
      <c r="U212" s="1083"/>
      <c r="V212" s="1083"/>
      <c r="W212" s="1083"/>
      <c r="X212" s="1083"/>
      <c r="Y212" s="1083"/>
      <c r="Z212" s="1083"/>
      <c r="AA212" s="1083"/>
      <c r="AB212" s="1083"/>
      <c r="AC212" s="1083"/>
      <c r="AD212" s="1083"/>
      <c r="AE212" s="1083"/>
      <c r="AF212" s="1083"/>
      <c r="AG212" s="1083"/>
      <c r="AH212" s="1083"/>
      <c r="AI212" s="1083"/>
      <c r="AJ212" s="1083"/>
    </row>
    <row r="213" spans="1:36" x14ac:dyDescent="0.25">
      <c r="A213" s="1083"/>
      <c r="B213" s="1088">
        <f t="shared" ca="1" si="94"/>
        <v>1.8707533447327946</v>
      </c>
      <c r="C213" s="1454">
        <f t="shared" ca="1" si="89"/>
        <v>1.8837748512354704</v>
      </c>
      <c r="D213" s="1083">
        <f t="shared" ca="1" si="88"/>
        <v>201</v>
      </c>
      <c r="E213" s="1457">
        <f t="shared" ca="1" si="90"/>
        <v>1.8707533447327946</v>
      </c>
      <c r="F213" s="1457">
        <f t="shared" ca="1" si="91"/>
        <v>1.8837748512354704</v>
      </c>
      <c r="G213" s="1456">
        <f t="shared" ca="1" si="92"/>
        <v>1.8772640979841326</v>
      </c>
      <c r="H213" s="1083">
        <f t="shared" ca="1" si="93"/>
        <v>0.10050000000000001</v>
      </c>
      <c r="I213" s="1083">
        <f t="shared" ca="1" si="95"/>
        <v>0.83050000000000013</v>
      </c>
      <c r="J213" s="1083"/>
      <c r="K213" s="1083"/>
      <c r="L213" s="1083"/>
      <c r="M213" s="1083"/>
      <c r="N213" s="1083"/>
      <c r="O213" s="1083"/>
      <c r="P213" s="1083"/>
      <c r="Q213" s="1083"/>
      <c r="R213" s="1083"/>
      <c r="S213" s="1083"/>
      <c r="T213" s="1083"/>
      <c r="U213" s="1083"/>
      <c r="V213" s="1083"/>
      <c r="W213" s="1083"/>
      <c r="X213" s="1083"/>
      <c r="Y213" s="1083"/>
      <c r="Z213" s="1083"/>
      <c r="AA213" s="1083"/>
      <c r="AB213" s="1083"/>
      <c r="AC213" s="1083"/>
      <c r="AD213" s="1083"/>
      <c r="AE213" s="1083"/>
      <c r="AF213" s="1083"/>
      <c r="AG213" s="1083"/>
      <c r="AH213" s="1083"/>
      <c r="AI213" s="1083"/>
      <c r="AJ213" s="1083"/>
    </row>
    <row r="214" spans="1:36" x14ac:dyDescent="0.25">
      <c r="A214" s="1083"/>
      <c r="B214" s="1088">
        <f t="shared" ca="1" si="94"/>
        <v>1.8837748512354704</v>
      </c>
      <c r="C214" s="1454">
        <f t="shared" ca="1" si="89"/>
        <v>1.8967963577381461</v>
      </c>
      <c r="D214" s="1083">
        <f t="shared" ca="1" si="88"/>
        <v>141</v>
      </c>
      <c r="E214" s="1457">
        <f t="shared" ca="1" si="90"/>
        <v>1.8837748512354704</v>
      </c>
      <c r="F214" s="1457">
        <f t="shared" ca="1" si="91"/>
        <v>1.8967963577381461</v>
      </c>
      <c r="G214" s="1456">
        <f t="shared" ca="1" si="92"/>
        <v>1.8902856044868082</v>
      </c>
      <c r="H214" s="1083">
        <f t="shared" ca="1" si="93"/>
        <v>7.0499999999999993E-2</v>
      </c>
      <c r="I214" s="1083">
        <f t="shared" ca="1" si="95"/>
        <v>0.90100000000000013</v>
      </c>
      <c r="J214" s="1083"/>
      <c r="K214" s="1083"/>
      <c r="L214" s="1083"/>
      <c r="M214" s="1083"/>
      <c r="N214" s="1083"/>
      <c r="O214" s="1083"/>
      <c r="P214" s="1083"/>
      <c r="Q214" s="1083"/>
      <c r="R214" s="1083"/>
      <c r="S214" s="1083"/>
      <c r="T214" s="1083"/>
      <c r="U214" s="1083"/>
      <c r="V214" s="1083"/>
      <c r="W214" s="1083"/>
      <c r="X214" s="1083"/>
      <c r="Y214" s="1083"/>
      <c r="Z214" s="1083"/>
      <c r="AA214" s="1083"/>
      <c r="AB214" s="1083"/>
      <c r="AC214" s="1083"/>
      <c r="AD214" s="1083"/>
      <c r="AE214" s="1083"/>
      <c r="AF214" s="1083"/>
      <c r="AG214" s="1083"/>
      <c r="AH214" s="1083"/>
      <c r="AI214" s="1083"/>
      <c r="AJ214" s="1083"/>
    </row>
    <row r="215" spans="1:36" x14ac:dyDescent="0.25">
      <c r="A215" s="1083"/>
      <c r="B215" s="1088">
        <f t="shared" ca="1" si="94"/>
        <v>1.8967963577381461</v>
      </c>
      <c r="C215" s="1454">
        <f t="shared" ca="1" si="89"/>
        <v>1.9098178642408219</v>
      </c>
      <c r="D215" s="1083">
        <f t="shared" ca="1" si="88"/>
        <v>93</v>
      </c>
      <c r="E215" s="1457">
        <f t="shared" ca="1" si="90"/>
        <v>1.8967963577381461</v>
      </c>
      <c r="F215" s="1457">
        <f t="shared" ca="1" si="91"/>
        <v>1.9098178642408219</v>
      </c>
      <c r="G215" s="1456">
        <f t="shared" ca="1" si="92"/>
        <v>1.9033071109894841</v>
      </c>
      <c r="H215" s="1083">
        <f t="shared" ca="1" si="93"/>
        <v>4.65E-2</v>
      </c>
      <c r="I215" s="1083">
        <f t="shared" ca="1" si="95"/>
        <v>0.94750000000000012</v>
      </c>
      <c r="J215" s="1083"/>
      <c r="K215" s="1083"/>
      <c r="L215" s="1083"/>
      <c r="M215" s="1083"/>
      <c r="N215" s="1083"/>
      <c r="O215" s="1083"/>
      <c r="P215" s="1083"/>
      <c r="Q215" s="1083"/>
      <c r="R215" s="1083"/>
      <c r="S215" s="1083"/>
      <c r="T215" s="1083"/>
      <c r="U215" s="1083"/>
      <c r="V215" s="1083"/>
      <c r="W215" s="1083"/>
      <c r="X215" s="1083"/>
      <c r="Y215" s="1083"/>
      <c r="Z215" s="1083"/>
      <c r="AA215" s="1083"/>
      <c r="AB215" s="1083"/>
      <c r="AC215" s="1083"/>
      <c r="AD215" s="1083"/>
      <c r="AE215" s="1083"/>
      <c r="AF215" s="1083"/>
      <c r="AG215" s="1083"/>
      <c r="AH215" s="1083"/>
      <c r="AI215" s="1083"/>
      <c r="AJ215" s="1083"/>
    </row>
    <row r="216" spans="1:36" x14ac:dyDescent="0.25">
      <c r="A216" s="1083"/>
      <c r="B216" s="1088">
        <f t="shared" ca="1" si="94"/>
        <v>1.9098178642408219</v>
      </c>
      <c r="C216" s="1454">
        <f t="shared" ca="1" si="89"/>
        <v>1.9228393707434976</v>
      </c>
      <c r="D216" s="1083">
        <f t="shared" ca="1" si="88"/>
        <v>65</v>
      </c>
      <c r="E216" s="1457">
        <f t="shared" ca="1" si="90"/>
        <v>1.9098178642408219</v>
      </c>
      <c r="F216" s="1457">
        <f t="shared" ca="1" si="91"/>
        <v>1.9228393707434976</v>
      </c>
      <c r="G216" s="1456">
        <f t="shared" ca="1" si="92"/>
        <v>1.9163286174921597</v>
      </c>
      <c r="H216" s="1083">
        <f t="shared" ca="1" si="93"/>
        <v>3.2500000000000001E-2</v>
      </c>
      <c r="I216" s="1083">
        <f t="shared" ca="1" si="95"/>
        <v>0.98000000000000009</v>
      </c>
      <c r="J216" s="1083"/>
      <c r="K216" s="1083"/>
      <c r="L216" s="1083"/>
      <c r="M216" s="1083"/>
      <c r="N216" s="1083"/>
      <c r="O216" s="1083"/>
      <c r="P216" s="1083"/>
      <c r="Q216" s="1083"/>
      <c r="R216" s="1083"/>
      <c r="S216" s="1083"/>
      <c r="T216" s="1083"/>
      <c r="U216" s="1083"/>
      <c r="V216" s="1083"/>
      <c r="W216" s="1083"/>
      <c r="X216" s="1083"/>
      <c r="Y216" s="1083"/>
      <c r="Z216" s="1083"/>
      <c r="AA216" s="1083"/>
      <c r="AB216" s="1083"/>
      <c r="AC216" s="1083"/>
      <c r="AD216" s="1083"/>
      <c r="AE216" s="1083"/>
      <c r="AF216" s="1083"/>
      <c r="AG216" s="1083"/>
      <c r="AH216" s="1083"/>
      <c r="AI216" s="1083"/>
      <c r="AJ216" s="1083"/>
    </row>
    <row r="217" spans="1:36" x14ac:dyDescent="0.25">
      <c r="A217" s="1083"/>
      <c r="B217" s="1088">
        <f t="shared" ca="1" si="94"/>
        <v>1.9228393707434976</v>
      </c>
      <c r="C217" s="1454">
        <f t="shared" ca="1" si="89"/>
        <v>1.9358608772461734</v>
      </c>
      <c r="D217" s="1083">
        <f t="shared" ca="1" si="88"/>
        <v>27</v>
      </c>
      <c r="E217" s="1457">
        <f t="shared" ca="1" si="90"/>
        <v>1.9228393707434976</v>
      </c>
      <c r="F217" s="1457">
        <f t="shared" ca="1" si="91"/>
        <v>1.9358608772461734</v>
      </c>
      <c r="G217" s="1456">
        <f t="shared" ca="1" si="92"/>
        <v>1.9293501239948356</v>
      </c>
      <c r="H217" s="1083">
        <f t="shared" ca="1" si="93"/>
        <v>1.35E-2</v>
      </c>
      <c r="I217" s="1083">
        <f t="shared" ca="1" si="95"/>
        <v>0.99350000000000005</v>
      </c>
      <c r="J217" s="1083"/>
      <c r="K217" s="1083"/>
      <c r="L217" s="1083"/>
      <c r="M217" s="1083"/>
      <c r="N217" s="1083"/>
      <c r="O217" s="1083"/>
      <c r="P217" s="1083"/>
      <c r="Q217" s="1083"/>
      <c r="R217" s="1083"/>
      <c r="S217" s="1083"/>
      <c r="T217" s="1083"/>
      <c r="U217" s="1083"/>
      <c r="V217" s="1083"/>
      <c r="W217" s="1083"/>
      <c r="X217" s="1083"/>
      <c r="Y217" s="1083"/>
      <c r="Z217" s="1083"/>
      <c r="AA217" s="1083"/>
      <c r="AB217" s="1083"/>
      <c r="AC217" s="1083"/>
      <c r="AD217" s="1083"/>
      <c r="AE217" s="1083"/>
      <c r="AF217" s="1083"/>
      <c r="AG217" s="1083"/>
      <c r="AH217" s="1083"/>
      <c r="AI217" s="1083"/>
      <c r="AJ217" s="1083"/>
    </row>
    <row r="218" spans="1:36" x14ac:dyDescent="0.25">
      <c r="A218" s="1083"/>
      <c r="B218" s="1088">
        <f t="shared" ca="1" si="94"/>
        <v>1.9358608772461734</v>
      </c>
      <c r="C218" s="1454">
        <f t="shared" ca="1" si="89"/>
        <v>1.9488823837488491</v>
      </c>
      <c r="D218" s="1083">
        <f t="shared" ca="1" si="88"/>
        <v>7</v>
      </c>
      <c r="E218" s="1457">
        <f t="shared" ca="1" si="90"/>
        <v>1.9358608772461734</v>
      </c>
      <c r="F218" s="1457">
        <f t="shared" ca="1" si="91"/>
        <v>1.9488823837488491</v>
      </c>
      <c r="G218" s="1456">
        <f t="shared" ca="1" si="92"/>
        <v>1.9423716304975112</v>
      </c>
      <c r="H218" s="1083">
        <f t="shared" ca="1" si="93"/>
        <v>3.5000000000000001E-3</v>
      </c>
      <c r="I218" s="1083">
        <f t="shared" ca="1" si="95"/>
        <v>0.997</v>
      </c>
      <c r="J218" s="1083"/>
      <c r="K218" s="1083"/>
      <c r="L218" s="1083"/>
      <c r="M218" s="1083"/>
      <c r="N218" s="1083"/>
      <c r="O218" s="1083"/>
      <c r="P218" s="1083"/>
      <c r="Q218" s="1083"/>
      <c r="R218" s="1083"/>
      <c r="S218" s="1083"/>
      <c r="T218" s="1083"/>
      <c r="U218" s="1083"/>
      <c r="V218" s="1083"/>
      <c r="W218" s="1083"/>
      <c r="X218" s="1083"/>
      <c r="Y218" s="1083"/>
      <c r="Z218" s="1083"/>
      <c r="AA218" s="1083"/>
      <c r="AB218" s="1083"/>
      <c r="AC218" s="1083"/>
      <c r="AD218" s="1083"/>
      <c r="AE218" s="1083"/>
      <c r="AF218" s="1083"/>
      <c r="AG218" s="1083"/>
      <c r="AH218" s="1083"/>
      <c r="AI218" s="1083"/>
      <c r="AJ218" s="1083"/>
    </row>
    <row r="219" spans="1:36" x14ac:dyDescent="0.25">
      <c r="A219" s="1083"/>
      <c r="B219" s="1088">
        <f t="shared" ca="1" si="94"/>
        <v>1.9488823837488491</v>
      </c>
      <c r="C219" s="1454">
        <f t="shared" ca="1" si="89"/>
        <v>1.9619038902515249</v>
      </c>
      <c r="D219" s="1083">
        <f t="shared" ca="1" si="88"/>
        <v>2</v>
      </c>
      <c r="E219" s="1457">
        <f t="shared" ca="1" si="90"/>
        <v>1.9488823837488491</v>
      </c>
      <c r="F219" s="1457">
        <f t="shared" ca="1" si="91"/>
        <v>1.9619038902515249</v>
      </c>
      <c r="G219" s="1456">
        <f t="shared" ca="1" si="92"/>
        <v>1.9553931370001871</v>
      </c>
      <c r="H219" s="1083">
        <f t="shared" ca="1" si="93"/>
        <v>1E-3</v>
      </c>
      <c r="I219" s="1083">
        <f t="shared" ca="1" si="95"/>
        <v>0.998</v>
      </c>
      <c r="J219" s="1083"/>
      <c r="K219" s="1083"/>
      <c r="L219" s="1083"/>
      <c r="M219" s="1083"/>
      <c r="N219" s="1083"/>
      <c r="O219" s="1083"/>
      <c r="P219" s="1083"/>
      <c r="Q219" s="1083"/>
      <c r="R219" s="1083"/>
      <c r="S219" s="1083"/>
      <c r="T219" s="1083"/>
      <c r="U219" s="1083"/>
      <c r="V219" s="1083"/>
      <c r="W219" s="1083"/>
      <c r="X219" s="1083"/>
      <c r="Y219" s="1083"/>
      <c r="Z219" s="1083"/>
      <c r="AA219" s="1083"/>
      <c r="AB219" s="1083"/>
      <c r="AC219" s="1083"/>
      <c r="AD219" s="1083"/>
      <c r="AE219" s="1083"/>
      <c r="AF219" s="1083"/>
      <c r="AG219" s="1083"/>
      <c r="AH219" s="1083"/>
      <c r="AI219" s="1083"/>
      <c r="AJ219" s="1083"/>
    </row>
    <row r="220" spans="1:36" x14ac:dyDescent="0.25">
      <c r="A220" s="1083"/>
      <c r="B220" s="1088">
        <f t="shared" ca="1" si="94"/>
        <v>1.9619038902515249</v>
      </c>
      <c r="C220" s="1454">
        <f t="shared" ca="1" si="89"/>
        <v>1.9749253967542006</v>
      </c>
      <c r="D220" s="1083">
        <f t="shared" ca="1" si="88"/>
        <v>3</v>
      </c>
      <c r="E220" s="1457">
        <f t="shared" ca="1" si="90"/>
        <v>1.9619038902515249</v>
      </c>
      <c r="F220" s="1457">
        <f t="shared" ca="1" si="91"/>
        <v>1.9749253967542006</v>
      </c>
      <c r="G220" s="1456">
        <f t="shared" ca="1" si="92"/>
        <v>1.9684146435028627</v>
      </c>
      <c r="H220" s="1083">
        <f t="shared" ca="1" si="93"/>
        <v>1.5E-3</v>
      </c>
      <c r="I220" s="1083">
        <f t="shared" ca="1" si="95"/>
        <v>0.99949999999999994</v>
      </c>
      <c r="J220" s="1083"/>
      <c r="K220" s="1083"/>
      <c r="L220" s="1083"/>
      <c r="M220" s="1083"/>
      <c r="N220" s="1083"/>
      <c r="O220" s="1083"/>
      <c r="P220" s="1083"/>
      <c r="Q220" s="1083"/>
      <c r="R220" s="1083"/>
      <c r="S220" s="1083"/>
      <c r="T220" s="1083"/>
      <c r="U220" s="1083"/>
      <c r="V220" s="1083"/>
      <c r="W220" s="1083"/>
      <c r="X220" s="1083"/>
      <c r="Y220" s="1083"/>
      <c r="Z220" s="1083"/>
      <c r="AA220" s="1083"/>
      <c r="AB220" s="1083"/>
      <c r="AC220" s="1083"/>
      <c r="AD220" s="1083"/>
      <c r="AE220" s="1083"/>
      <c r="AF220" s="1083"/>
      <c r="AG220" s="1083"/>
      <c r="AH220" s="1083"/>
      <c r="AI220" s="1083"/>
      <c r="AJ220" s="1083"/>
    </row>
    <row r="221" spans="1:36" x14ac:dyDescent="0.25">
      <c r="A221" s="1083"/>
      <c r="B221" s="1088">
        <f t="shared" ca="1" si="94"/>
        <v>1.9749253967542006</v>
      </c>
      <c r="C221" s="1454">
        <f ca="1">+B221+($C$197/20)+0.000001</f>
        <v>1.9879479032568763</v>
      </c>
      <c r="D221" s="1083">
        <f t="shared" ca="1" si="88"/>
        <v>1</v>
      </c>
      <c r="E221" s="1457">
        <f t="shared" ca="1" si="90"/>
        <v>1.9749253967542006</v>
      </c>
      <c r="F221" s="1457">
        <f t="shared" ca="1" si="91"/>
        <v>1.9879479032568763</v>
      </c>
      <c r="G221" s="1456">
        <f t="shared" ca="1" si="92"/>
        <v>1.9814366500055385</v>
      </c>
      <c r="H221" s="1083">
        <f t="shared" ca="1" si="93"/>
        <v>5.0000000000000001E-4</v>
      </c>
      <c r="I221" s="1083">
        <f t="shared" ca="1" si="95"/>
        <v>0.99999999999999989</v>
      </c>
      <c r="J221" s="1083"/>
      <c r="K221" s="1083"/>
      <c r="L221" s="1083"/>
      <c r="M221" s="1083"/>
      <c r="N221" s="1083"/>
      <c r="O221" s="1083"/>
      <c r="P221" s="1083"/>
      <c r="Q221" s="1083"/>
      <c r="R221" s="1083"/>
      <c r="S221" s="1083"/>
      <c r="T221" s="1083"/>
      <c r="U221" s="1083"/>
      <c r="V221" s="1083"/>
      <c r="W221" s="1083"/>
      <c r="X221" s="1083"/>
      <c r="Y221" s="1083"/>
      <c r="Z221" s="1083"/>
      <c r="AA221" s="1083"/>
      <c r="AB221" s="1083"/>
      <c r="AC221" s="1083"/>
      <c r="AD221" s="1083"/>
      <c r="AE221" s="1083"/>
      <c r="AF221" s="1083"/>
      <c r="AG221" s="1083"/>
      <c r="AH221" s="1083"/>
      <c r="AI221" s="1083"/>
      <c r="AJ221" s="1083"/>
    </row>
    <row r="222" spans="1:36" x14ac:dyDescent="0.25">
      <c r="A222" s="1083"/>
      <c r="B222" s="1084"/>
      <c r="C222" s="1458"/>
      <c r="D222" s="1083"/>
      <c r="E222" s="1083"/>
      <c r="F222" s="1083">
        <f t="shared" ca="1" si="91"/>
        <v>0</v>
      </c>
      <c r="G222" s="1456">
        <f t="shared" ca="1" si="92"/>
        <v>0</v>
      </c>
      <c r="H222" s="1083"/>
      <c r="I222" s="1083"/>
      <c r="J222" s="1083"/>
      <c r="K222" s="1083"/>
      <c r="L222" s="1083"/>
      <c r="M222" s="1083"/>
      <c r="N222" s="1083"/>
      <c r="O222" s="1083"/>
      <c r="P222" s="1083"/>
      <c r="Q222" s="1083"/>
      <c r="R222" s="1083"/>
      <c r="S222" s="1083"/>
      <c r="T222" s="1083"/>
      <c r="U222" s="1083"/>
      <c r="V222" s="1083"/>
      <c r="W222" s="1083"/>
      <c r="X222" s="1083"/>
      <c r="Y222" s="1083"/>
      <c r="Z222" s="1083"/>
      <c r="AA222" s="1083"/>
      <c r="AB222" s="1083"/>
      <c r="AC222" s="1083"/>
      <c r="AD222" s="1083"/>
      <c r="AE222" s="1083"/>
      <c r="AF222" s="1083"/>
      <c r="AG222" s="1083"/>
      <c r="AH222" s="1083"/>
      <c r="AI222" s="1083"/>
      <c r="AJ222" s="1083"/>
    </row>
    <row r="223" spans="1:36" x14ac:dyDescent="0.25">
      <c r="A223" s="1083"/>
      <c r="B223" s="1084" t="s">
        <v>1326</v>
      </c>
      <c r="C223" s="1083"/>
      <c r="D223" s="1083">
        <f ca="1">+SUM(D202:D221)</f>
        <v>2000</v>
      </c>
      <c r="E223" s="1083"/>
      <c r="F223" s="1083"/>
      <c r="G223" s="1083"/>
      <c r="H223" s="1083"/>
      <c r="I223" s="1083"/>
      <c r="J223" s="1083"/>
      <c r="K223" s="1083"/>
      <c r="L223" s="1083"/>
      <c r="M223" s="1083"/>
      <c r="N223" s="1083"/>
      <c r="O223" s="1083"/>
      <c r="P223" s="1083"/>
      <c r="Q223" s="1083"/>
      <c r="R223" s="1083"/>
      <c r="S223" s="1083"/>
      <c r="T223" s="1083"/>
      <c r="U223" s="1083"/>
      <c r="V223" s="1083"/>
      <c r="W223" s="1083"/>
      <c r="X223" s="1083"/>
      <c r="Y223" s="1083"/>
      <c r="Z223" s="1083"/>
      <c r="AA223" s="1083"/>
      <c r="AB223" s="1083"/>
      <c r="AC223" s="1083"/>
      <c r="AD223" s="1083"/>
      <c r="AE223" s="1083"/>
      <c r="AF223" s="1083"/>
      <c r="AG223" s="1083"/>
      <c r="AH223" s="1083"/>
      <c r="AI223" s="1083"/>
      <c r="AJ223" s="1083"/>
    </row>
    <row r="224" spans="1:36" x14ac:dyDescent="0.25">
      <c r="A224" s="1083"/>
      <c r="B224" s="1083" t="str">
        <f t="array" ref="B224:B238">+TRANSPOSE(Sensitivity_output)</f>
        <v>Cost of hydrogen ($/kg)</v>
      </c>
      <c r="C224" s="1083"/>
      <c r="D224" s="1083"/>
      <c r="E224" s="1083"/>
      <c r="F224" s="1083"/>
      <c r="G224" s="1083"/>
      <c r="H224" s="1083"/>
      <c r="I224" s="1083"/>
      <c r="J224" s="1083"/>
      <c r="K224" s="1083"/>
      <c r="L224" s="1083"/>
      <c r="M224" s="1083"/>
      <c r="N224" s="1083"/>
      <c r="O224" s="1083"/>
      <c r="P224" s="1083"/>
      <c r="Q224" s="1083"/>
      <c r="R224" s="1083"/>
      <c r="S224" s="1083"/>
      <c r="T224" s="1083"/>
      <c r="U224" s="1083"/>
      <c r="V224" s="1083"/>
      <c r="W224" s="1083"/>
      <c r="X224" s="1083"/>
      <c r="Y224" s="1083"/>
      <c r="Z224" s="1083"/>
      <c r="AA224" s="1083"/>
      <c r="AB224" s="1083"/>
      <c r="AC224" s="1083"/>
      <c r="AD224" s="1083"/>
      <c r="AE224" s="1083"/>
      <c r="AF224" s="1083"/>
      <c r="AG224" s="1083"/>
      <c r="AH224" s="1083"/>
      <c r="AI224" s="1083"/>
      <c r="AJ224" s="1083"/>
    </row>
    <row r="225" spans="1:36" x14ac:dyDescent="0.25">
      <c r="A225" s="1083"/>
      <c r="B225" s="1083" t="str">
        <v>Revenue from byproduct sales ($/kg)</v>
      </c>
      <c r="C225" s="1083"/>
      <c r="D225" s="1083"/>
      <c r="E225" s="1083"/>
      <c r="F225" s="1083"/>
      <c r="G225" s="1083"/>
      <c r="H225" s="1083"/>
      <c r="I225" s="1083"/>
      <c r="J225" s="1083"/>
      <c r="K225" s="1083"/>
      <c r="L225" s="1083"/>
      <c r="M225" s="1083"/>
      <c r="N225" s="1083"/>
      <c r="O225" s="1083"/>
      <c r="P225" s="1083"/>
      <c r="Q225" s="1083"/>
      <c r="R225" s="1083"/>
      <c r="S225" s="1083"/>
      <c r="T225" s="1083"/>
      <c r="U225" s="1083"/>
      <c r="V225" s="1083"/>
      <c r="W225" s="1083"/>
      <c r="X225" s="1083"/>
      <c r="Y225" s="1083"/>
      <c r="Z225" s="1083"/>
      <c r="AA225" s="1083"/>
      <c r="AB225" s="1083"/>
      <c r="AC225" s="1083"/>
      <c r="AD225" s="1083"/>
      <c r="AE225" s="1083"/>
      <c r="AF225" s="1083"/>
      <c r="AG225" s="1083"/>
      <c r="AH225" s="1083"/>
      <c r="AI225" s="1083"/>
      <c r="AJ225" s="1083"/>
    </row>
    <row r="226" spans="1:36" x14ac:dyDescent="0.25">
      <c r="A226" s="1083"/>
      <c r="B226" s="1083" t="str">
        <v>Salvage value ($/kg)</v>
      </c>
      <c r="C226" s="1083"/>
      <c r="D226" s="1083"/>
      <c r="E226" s="1083"/>
      <c r="F226" s="1083"/>
      <c r="G226" s="1083"/>
      <c r="H226" s="1083"/>
      <c r="I226" s="1083"/>
      <c r="J226" s="1083"/>
      <c r="K226" s="1083"/>
      <c r="L226" s="1083"/>
      <c r="M226" s="1083"/>
      <c r="N226" s="1083"/>
      <c r="O226" s="1083"/>
      <c r="P226" s="1083"/>
      <c r="Q226" s="1083"/>
      <c r="R226" s="1083"/>
      <c r="S226" s="1083"/>
      <c r="T226" s="1083"/>
      <c r="U226" s="1083"/>
      <c r="V226" s="1083"/>
      <c r="W226" s="1083"/>
      <c r="X226" s="1083"/>
      <c r="Y226" s="1083"/>
      <c r="Z226" s="1083"/>
      <c r="AA226" s="1083"/>
      <c r="AB226" s="1083"/>
      <c r="AC226" s="1083"/>
      <c r="AD226" s="1083"/>
      <c r="AE226" s="1083"/>
      <c r="AF226" s="1083"/>
      <c r="AG226" s="1083"/>
      <c r="AH226" s="1083"/>
      <c r="AI226" s="1083"/>
      <c r="AJ226" s="1083"/>
    </row>
    <row r="227" spans="1:36" x14ac:dyDescent="0.25">
      <c r="A227" s="1083"/>
      <c r="B227" s="1083" t="str">
        <v>Initial equity depreciable capital ($/kg)</v>
      </c>
      <c r="C227" s="1083"/>
      <c r="D227" s="1083"/>
      <c r="E227" s="1083"/>
      <c r="F227" s="1083"/>
      <c r="G227" s="1083"/>
      <c r="H227" s="1083"/>
      <c r="I227" s="1083"/>
      <c r="J227" s="1083"/>
      <c r="K227" s="1083"/>
      <c r="L227" s="1083"/>
      <c r="M227" s="1083"/>
      <c r="N227" s="1083"/>
      <c r="O227" s="1083"/>
      <c r="P227" s="1083"/>
      <c r="Q227" s="1083"/>
      <c r="R227" s="1083"/>
      <c r="S227" s="1083"/>
      <c r="T227" s="1083"/>
      <c r="U227" s="1083"/>
      <c r="V227" s="1083"/>
      <c r="W227" s="1083"/>
      <c r="X227" s="1083"/>
      <c r="Y227" s="1083"/>
      <c r="Z227" s="1083"/>
      <c r="AA227" s="1083"/>
      <c r="AB227" s="1083"/>
      <c r="AC227" s="1083"/>
      <c r="AD227" s="1083"/>
      <c r="AE227" s="1083"/>
      <c r="AF227" s="1083"/>
      <c r="AG227" s="1083"/>
      <c r="AH227" s="1083"/>
      <c r="AI227" s="1083"/>
      <c r="AJ227" s="1083"/>
    </row>
    <row r="228" spans="1:36" x14ac:dyDescent="0.25">
      <c r="A228" s="1083"/>
      <c r="B228" s="1083" t="str">
        <v>Yearly replacement costs ($/kg)</v>
      </c>
      <c r="C228" s="1083"/>
      <c r="D228" s="1083"/>
      <c r="E228" s="1083"/>
      <c r="F228" s="1083"/>
      <c r="G228" s="1083"/>
      <c r="H228" s="1083"/>
      <c r="I228" s="1083"/>
      <c r="J228" s="1083"/>
      <c r="K228" s="1083"/>
      <c r="L228" s="1083"/>
      <c r="M228" s="1083"/>
      <c r="N228" s="1083"/>
      <c r="O228" s="1083"/>
      <c r="P228" s="1083"/>
      <c r="Q228" s="1083"/>
      <c r="R228" s="1083"/>
      <c r="S228" s="1083"/>
      <c r="T228" s="1083"/>
      <c r="U228" s="1083"/>
      <c r="V228" s="1083"/>
      <c r="W228" s="1083"/>
      <c r="X228" s="1083"/>
      <c r="Y228" s="1083"/>
      <c r="Z228" s="1083"/>
      <c r="AA228" s="1083"/>
      <c r="AB228" s="1083"/>
      <c r="AC228" s="1083"/>
      <c r="AD228" s="1083"/>
      <c r="AE228" s="1083"/>
      <c r="AF228" s="1083"/>
      <c r="AG228" s="1083"/>
      <c r="AH228" s="1083"/>
      <c r="AI228" s="1083"/>
      <c r="AJ228" s="1083"/>
    </row>
    <row r="229" spans="1:36" x14ac:dyDescent="0.25">
      <c r="A229" s="1083"/>
      <c r="B229" s="1083" t="str">
        <v>Cash from working capital reserve ($/kg)</v>
      </c>
      <c r="C229" s="1083"/>
      <c r="D229" s="1083"/>
      <c r="E229" s="1083"/>
      <c r="F229" s="1083"/>
      <c r="G229" s="1083"/>
      <c r="H229" s="1083"/>
      <c r="I229" s="1083"/>
      <c r="J229" s="1083"/>
      <c r="K229" s="1083"/>
      <c r="L229" s="1083"/>
      <c r="M229" s="1083"/>
      <c r="N229" s="1083"/>
      <c r="O229" s="1083"/>
      <c r="P229" s="1083"/>
      <c r="Q229" s="1083"/>
      <c r="R229" s="1083"/>
      <c r="S229" s="1083"/>
      <c r="T229" s="1083"/>
      <c r="U229" s="1083"/>
      <c r="V229" s="1083"/>
      <c r="W229" s="1083"/>
      <c r="X229" s="1083"/>
      <c r="Y229" s="1083"/>
      <c r="Z229" s="1083"/>
      <c r="AA229" s="1083"/>
      <c r="AB229" s="1083"/>
      <c r="AC229" s="1083"/>
      <c r="AD229" s="1083"/>
      <c r="AE229" s="1083"/>
      <c r="AF229" s="1083"/>
      <c r="AG229" s="1083"/>
      <c r="AH229" s="1083"/>
      <c r="AI229" s="1083"/>
      <c r="AJ229" s="1083"/>
    </row>
    <row r="230" spans="1:36" x14ac:dyDescent="0.25">
      <c r="A230" s="1083"/>
      <c r="B230" s="1083" t="str">
        <v>Other non-depreciable capital costs ($/kg)</v>
      </c>
      <c r="C230" s="1083"/>
      <c r="D230" s="1083"/>
      <c r="E230" s="1083"/>
      <c r="F230" s="1083"/>
      <c r="G230" s="1083"/>
      <c r="H230" s="1083"/>
      <c r="I230" s="1083"/>
      <c r="J230" s="1083"/>
      <c r="K230" s="1083"/>
      <c r="L230" s="1083"/>
      <c r="M230" s="1083"/>
      <c r="N230" s="1083"/>
      <c r="O230" s="1083"/>
      <c r="P230" s="1083"/>
      <c r="Q230" s="1083"/>
      <c r="R230" s="1083"/>
      <c r="S230" s="1083"/>
      <c r="T230" s="1083"/>
      <c r="U230" s="1083"/>
      <c r="V230" s="1083"/>
      <c r="W230" s="1083"/>
      <c r="X230" s="1083"/>
      <c r="Y230" s="1083"/>
      <c r="Z230" s="1083"/>
      <c r="AA230" s="1083"/>
      <c r="AB230" s="1083"/>
      <c r="AC230" s="1083"/>
      <c r="AD230" s="1083"/>
      <c r="AE230" s="1083"/>
      <c r="AF230" s="1083"/>
      <c r="AG230" s="1083"/>
      <c r="AH230" s="1083"/>
      <c r="AI230" s="1083"/>
      <c r="AJ230" s="1083"/>
    </row>
    <row r="231" spans="1:36" x14ac:dyDescent="0.25">
      <c r="A231" s="1083"/>
      <c r="B231" s="1083" t="str">
        <v>Decommissioning costs ($/kg)</v>
      </c>
      <c r="C231" s="1083"/>
      <c r="D231" s="1083"/>
      <c r="E231" s="1083"/>
      <c r="F231" s="1083"/>
      <c r="G231" s="1083"/>
      <c r="H231" s="1083"/>
      <c r="I231" s="1083"/>
      <c r="J231" s="1083"/>
      <c r="K231" s="1083"/>
      <c r="L231" s="1083"/>
      <c r="M231" s="1083"/>
      <c r="N231" s="1083"/>
      <c r="O231" s="1083"/>
      <c r="P231" s="1083"/>
      <c r="Q231" s="1083"/>
      <c r="R231" s="1083"/>
      <c r="S231" s="1083"/>
      <c r="T231" s="1083"/>
      <c r="U231" s="1083"/>
      <c r="V231" s="1083"/>
      <c r="W231" s="1083"/>
      <c r="X231" s="1083"/>
      <c r="Y231" s="1083"/>
      <c r="Z231" s="1083"/>
      <c r="AA231" s="1083"/>
      <c r="AB231" s="1083"/>
      <c r="AC231" s="1083"/>
      <c r="AD231" s="1083"/>
      <c r="AE231" s="1083"/>
      <c r="AF231" s="1083"/>
      <c r="AG231" s="1083"/>
      <c r="AH231" s="1083"/>
      <c r="AI231" s="1083"/>
      <c r="AJ231" s="1083"/>
    </row>
    <row r="232" spans="1:36" x14ac:dyDescent="0.25">
      <c r="A232" s="1083"/>
      <c r="B232" s="1083" t="str">
        <v>Fixed operating cost ($/kg)</v>
      </c>
      <c r="C232" s="1083"/>
      <c r="D232" s="1083"/>
      <c r="E232" s="1083"/>
      <c r="F232" s="1083"/>
      <c r="G232" s="1083"/>
      <c r="H232" s="1083"/>
      <c r="I232" s="1083"/>
      <c r="J232" s="1083"/>
      <c r="K232" s="1083"/>
      <c r="L232" s="1083"/>
      <c r="M232" s="1083"/>
      <c r="N232" s="1083"/>
      <c r="O232" s="1083"/>
      <c r="P232" s="1083"/>
      <c r="Q232" s="1083"/>
      <c r="R232" s="1083"/>
      <c r="S232" s="1083"/>
      <c r="T232" s="1083"/>
      <c r="U232" s="1083"/>
      <c r="V232" s="1083"/>
      <c r="W232" s="1083"/>
      <c r="X232" s="1083"/>
      <c r="Y232" s="1083"/>
      <c r="Z232" s="1083"/>
      <c r="AA232" s="1083"/>
      <c r="AB232" s="1083"/>
      <c r="AC232" s="1083"/>
      <c r="AD232" s="1083"/>
      <c r="AE232" s="1083"/>
      <c r="AF232" s="1083"/>
      <c r="AG232" s="1083"/>
      <c r="AH232" s="1083"/>
      <c r="AI232" s="1083"/>
      <c r="AJ232" s="1083"/>
    </row>
    <row r="233" spans="1:36" x14ac:dyDescent="0.25">
      <c r="A233" s="1083"/>
      <c r="B233" s="1083" t="str">
        <v>Feedstock cost ($/kg)</v>
      </c>
      <c r="C233" s="1083"/>
      <c r="D233" s="1083"/>
      <c r="E233" s="1083"/>
      <c r="F233" s="1083"/>
      <c r="G233" s="1083"/>
      <c r="H233" s="1083"/>
      <c r="I233" s="1083"/>
      <c r="J233" s="1083"/>
      <c r="K233" s="1083"/>
      <c r="L233" s="1083"/>
      <c r="M233" s="1083"/>
      <c r="N233" s="1083"/>
      <c r="O233" s="1083"/>
      <c r="P233" s="1083"/>
      <c r="Q233" s="1083"/>
      <c r="R233" s="1083"/>
      <c r="S233" s="1083"/>
      <c r="T233" s="1083"/>
      <c r="U233" s="1083"/>
      <c r="V233" s="1083"/>
      <c r="W233" s="1083"/>
      <c r="X233" s="1083"/>
      <c r="Y233" s="1083"/>
      <c r="Z233" s="1083"/>
      <c r="AA233" s="1083"/>
      <c r="AB233" s="1083"/>
      <c r="AC233" s="1083"/>
      <c r="AD233" s="1083"/>
      <c r="AE233" s="1083"/>
      <c r="AF233" s="1083"/>
      <c r="AG233" s="1083"/>
      <c r="AH233" s="1083"/>
      <c r="AI233" s="1083"/>
      <c r="AJ233" s="1083"/>
    </row>
    <row r="234" spans="1:36" x14ac:dyDescent="0.25">
      <c r="A234" s="1083"/>
      <c r="B234" s="1083" t="str">
        <v>Other raw material cost ($/kg)</v>
      </c>
      <c r="C234" s="1083"/>
      <c r="D234" s="1083"/>
      <c r="E234" s="1083"/>
      <c r="F234" s="1083"/>
      <c r="G234" s="1083"/>
      <c r="H234" s="1083"/>
      <c r="I234" s="1083"/>
      <c r="J234" s="1083"/>
      <c r="K234" s="1083"/>
      <c r="L234" s="1083"/>
      <c r="M234" s="1083"/>
      <c r="N234" s="1083"/>
      <c r="O234" s="1083"/>
      <c r="P234" s="1083"/>
      <c r="Q234" s="1083"/>
      <c r="R234" s="1083"/>
      <c r="S234" s="1083"/>
      <c r="T234" s="1083"/>
      <c r="U234" s="1083"/>
      <c r="V234" s="1083"/>
      <c r="W234" s="1083"/>
      <c r="X234" s="1083"/>
      <c r="Y234" s="1083"/>
      <c r="Z234" s="1083"/>
      <c r="AA234" s="1083"/>
      <c r="AB234" s="1083"/>
      <c r="AC234" s="1083"/>
      <c r="AD234" s="1083"/>
      <c r="AE234" s="1083"/>
      <c r="AF234" s="1083"/>
      <c r="AG234" s="1083"/>
      <c r="AH234" s="1083"/>
      <c r="AI234" s="1083"/>
      <c r="AJ234" s="1083"/>
    </row>
    <row r="235" spans="1:36" x14ac:dyDescent="0.25">
      <c r="A235" s="1083"/>
      <c r="B235" s="1083" t="str">
        <v>Other variable operating costs ($/kg)</v>
      </c>
      <c r="C235" s="1083"/>
      <c r="D235" s="1083"/>
      <c r="E235" s="1083"/>
      <c r="F235" s="1083"/>
      <c r="G235" s="1083"/>
      <c r="H235" s="1083"/>
      <c r="I235" s="1083"/>
      <c r="J235" s="1083"/>
      <c r="K235" s="1083"/>
      <c r="L235" s="1083"/>
      <c r="M235" s="1083"/>
      <c r="N235" s="1083"/>
      <c r="O235" s="1083"/>
      <c r="P235" s="1083"/>
      <c r="Q235" s="1083"/>
      <c r="R235" s="1083"/>
      <c r="S235" s="1083"/>
      <c r="T235" s="1083"/>
      <c r="U235" s="1083"/>
      <c r="V235" s="1083"/>
      <c r="W235" s="1083"/>
      <c r="X235" s="1083"/>
      <c r="Y235" s="1083"/>
      <c r="Z235" s="1083"/>
      <c r="AA235" s="1083"/>
      <c r="AB235" s="1083"/>
      <c r="AC235" s="1083"/>
      <c r="AD235" s="1083"/>
      <c r="AE235" s="1083"/>
      <c r="AF235" s="1083"/>
      <c r="AG235" s="1083"/>
      <c r="AH235" s="1083"/>
      <c r="AI235" s="1083"/>
      <c r="AJ235" s="1083"/>
    </row>
    <row r="236" spans="1:36" x14ac:dyDescent="0.25">
      <c r="A236" s="1083"/>
      <c r="B236" s="1083" t="str">
        <v>Debt interest ($/kg)</v>
      </c>
      <c r="C236" s="1083"/>
      <c r="D236" s="1083"/>
      <c r="E236" s="1083"/>
      <c r="F236" s="1083"/>
      <c r="G236" s="1083"/>
      <c r="H236" s="1083"/>
      <c r="I236" s="1083"/>
      <c r="J236" s="1083"/>
      <c r="K236" s="1083"/>
      <c r="L236" s="1083"/>
      <c r="M236" s="1083"/>
      <c r="N236" s="1083"/>
      <c r="O236" s="1083"/>
      <c r="P236" s="1083"/>
      <c r="Q236" s="1083"/>
      <c r="R236" s="1083"/>
      <c r="S236" s="1083"/>
      <c r="T236" s="1083"/>
      <c r="U236" s="1083"/>
      <c r="V236" s="1083"/>
      <c r="W236" s="1083"/>
      <c r="X236" s="1083"/>
      <c r="Y236" s="1083"/>
      <c r="Z236" s="1083"/>
      <c r="AA236" s="1083"/>
      <c r="AB236" s="1083"/>
      <c r="AC236" s="1083"/>
      <c r="AD236" s="1083"/>
      <c r="AE236" s="1083"/>
      <c r="AF236" s="1083"/>
      <c r="AG236" s="1083"/>
      <c r="AH236" s="1083"/>
      <c r="AI236" s="1083"/>
      <c r="AJ236" s="1083"/>
    </row>
    <row r="237" spans="1:36" x14ac:dyDescent="0.25">
      <c r="A237" s="1083"/>
      <c r="B237" s="1083" t="str">
        <v>Taxes ($/kg)</v>
      </c>
      <c r="C237" s="1083"/>
      <c r="D237" s="1083"/>
      <c r="E237" s="1083"/>
      <c r="F237" s="1083"/>
      <c r="G237" s="1083"/>
      <c r="H237" s="1083"/>
      <c r="I237" s="1083"/>
      <c r="J237" s="1083"/>
      <c r="K237" s="1083"/>
      <c r="L237" s="1083"/>
      <c r="M237" s="1083"/>
      <c r="N237" s="1083"/>
      <c r="O237" s="1083"/>
      <c r="P237" s="1083"/>
      <c r="Q237" s="1083"/>
      <c r="R237" s="1083"/>
      <c r="S237" s="1083"/>
      <c r="T237" s="1083"/>
      <c r="U237" s="1083"/>
      <c r="V237" s="1083"/>
      <c r="W237" s="1083"/>
      <c r="X237" s="1083"/>
      <c r="Y237" s="1083"/>
      <c r="Z237" s="1083"/>
      <c r="AA237" s="1083"/>
      <c r="AB237" s="1083"/>
      <c r="AC237" s="1083"/>
      <c r="AD237" s="1083"/>
      <c r="AE237" s="1083"/>
      <c r="AF237" s="1083"/>
      <c r="AG237" s="1083"/>
      <c r="AH237" s="1083"/>
      <c r="AI237" s="1083"/>
      <c r="AJ237" s="1083"/>
    </row>
    <row r="238" spans="1:36" x14ac:dyDescent="0.25">
      <c r="A238" s="1083"/>
      <c r="B238" s="1083" t="str">
        <v>Principal payment ($/kg)</v>
      </c>
      <c r="C238" s="1083"/>
      <c r="D238" s="1083"/>
      <c r="E238" s="1083"/>
      <c r="F238" s="1083"/>
      <c r="G238" s="1083"/>
      <c r="H238" s="1083"/>
      <c r="I238" s="1083"/>
      <c r="J238" s="1083"/>
      <c r="K238" s="1083"/>
      <c r="L238" s="1083"/>
      <c r="M238" s="1083"/>
      <c r="N238" s="1083"/>
      <c r="O238" s="1083"/>
      <c r="P238" s="1083"/>
      <c r="Q238" s="1083"/>
      <c r="R238" s="1083"/>
      <c r="S238" s="1083"/>
      <c r="T238" s="1083"/>
      <c r="U238" s="1083"/>
      <c r="V238" s="1083"/>
      <c r="W238" s="1083"/>
      <c r="X238" s="1083"/>
      <c r="Y238" s="1083"/>
      <c r="Z238" s="1083"/>
      <c r="AA238" s="1083"/>
      <c r="AB238" s="1083"/>
      <c r="AC238" s="1083"/>
      <c r="AD238" s="1083"/>
      <c r="AE238" s="1083"/>
      <c r="AF238" s="1083"/>
      <c r="AG238" s="1083"/>
      <c r="AH238" s="1083"/>
      <c r="AI238" s="1083"/>
      <c r="AJ238" s="1083"/>
    </row>
    <row r="239" spans="1:36" x14ac:dyDescent="0.25">
      <c r="A239" s="1083"/>
      <c r="B239" s="1083" t="str">
        <f t="array" ref="B239:B245">+TRANSPOSE(C50:I50)</f>
        <v>Operating capacity factor</v>
      </c>
      <c r="C239" s="1083"/>
      <c r="D239" s="1083"/>
      <c r="E239" s="1083"/>
      <c r="F239" s="1083"/>
      <c r="G239" s="1083"/>
      <c r="H239" s="1083"/>
      <c r="I239" s="1083"/>
      <c r="J239" s="1083"/>
      <c r="K239" s="1083"/>
      <c r="L239" s="1083"/>
      <c r="M239" s="1083"/>
      <c r="N239" s="1083"/>
      <c r="O239" s="1083"/>
      <c r="P239" s="1083"/>
      <c r="Q239" s="1083"/>
      <c r="R239" s="1083"/>
      <c r="S239" s="1083"/>
      <c r="T239" s="1083"/>
      <c r="U239" s="1083"/>
      <c r="V239" s="1083"/>
      <c r="W239" s="1083"/>
      <c r="X239" s="1083"/>
      <c r="Y239" s="1083"/>
      <c r="Z239" s="1083"/>
      <c r="AA239" s="1083"/>
      <c r="AB239" s="1083"/>
      <c r="AC239" s="1083"/>
      <c r="AD239" s="1083"/>
      <c r="AE239" s="1083"/>
      <c r="AF239" s="1083"/>
      <c r="AG239" s="1083"/>
      <c r="AH239" s="1083"/>
      <c r="AI239" s="1083"/>
      <c r="AJ239" s="1083"/>
    </row>
    <row r="240" spans="1:36" x14ac:dyDescent="0.25">
      <c r="A240" s="1083"/>
      <c r="B240" s="1083" t="str">
        <v>Plant design capacity (kg of H2/day)</v>
      </c>
      <c r="C240" s="1083"/>
      <c r="D240" s="1083"/>
      <c r="E240" s="1083"/>
      <c r="F240" s="1083"/>
      <c r="G240" s="1083"/>
      <c r="H240" s="1083"/>
      <c r="I240" s="1083"/>
      <c r="J240" s="1083"/>
      <c r="K240" s="1083"/>
      <c r="L240" s="1083"/>
      <c r="M240" s="1083"/>
      <c r="N240" s="1083"/>
      <c r="O240" s="1083"/>
      <c r="P240" s="1083"/>
      <c r="Q240" s="1083"/>
      <c r="R240" s="1083"/>
      <c r="S240" s="1083"/>
      <c r="T240" s="1083"/>
      <c r="U240" s="1083"/>
      <c r="V240" s="1083"/>
      <c r="W240" s="1083"/>
      <c r="X240" s="1083"/>
      <c r="Y240" s="1083"/>
      <c r="Z240" s="1083"/>
      <c r="AA240" s="1083"/>
      <c r="AB240" s="1083"/>
      <c r="AC240" s="1083"/>
      <c r="AD240" s="1083"/>
      <c r="AE240" s="1083"/>
      <c r="AF240" s="1083"/>
      <c r="AG240" s="1083"/>
      <c r="AH240" s="1083"/>
      <c r="AI240" s="1083"/>
      <c r="AJ240" s="1083"/>
    </row>
    <row r="241" spans="1:36" x14ac:dyDescent="0.25">
      <c r="A241" s="1083"/>
      <c r="B241" s="1083" t="str">
        <v>After-tax real IRR (%)</v>
      </c>
      <c r="C241" s="1083"/>
      <c r="D241" s="1083"/>
      <c r="E241" s="1083"/>
      <c r="F241" s="1083"/>
      <c r="G241" s="1083"/>
      <c r="H241" s="1083"/>
      <c r="I241" s="1083"/>
      <c r="J241" s="1083"/>
      <c r="K241" s="1083"/>
      <c r="L241" s="1083"/>
      <c r="M241" s="1083"/>
      <c r="N241" s="1083"/>
      <c r="O241" s="1083"/>
      <c r="P241" s="1083"/>
      <c r="Q241" s="1083"/>
      <c r="R241" s="1083"/>
      <c r="S241" s="1083"/>
      <c r="T241" s="1083"/>
      <c r="U241" s="1083"/>
      <c r="V241" s="1083"/>
      <c r="W241" s="1083"/>
      <c r="X241" s="1083"/>
      <c r="Y241" s="1083"/>
      <c r="Z241" s="1083"/>
      <c r="AA241" s="1083"/>
      <c r="AB241" s="1083"/>
      <c r="AC241" s="1083"/>
      <c r="AD241" s="1083"/>
      <c r="AE241" s="1083"/>
      <c r="AF241" s="1083"/>
      <c r="AG241" s="1083"/>
      <c r="AH241" s="1083"/>
      <c r="AI241" s="1083"/>
      <c r="AJ241" s="1083"/>
    </row>
    <row r="242" spans="1:36" x14ac:dyDescent="0.25">
      <c r="A242" s="1083"/>
      <c r="B242" s="1083" t="str">
        <v>Feedstock consumption (% of most likely value)</v>
      </c>
      <c r="C242" s="1083"/>
      <c r="D242" s="1083"/>
      <c r="E242" s="1083"/>
      <c r="F242" s="1083"/>
      <c r="G242" s="1083"/>
      <c r="H242" s="1083"/>
      <c r="I242" s="1083"/>
      <c r="J242" s="1083"/>
      <c r="K242" s="1083"/>
      <c r="L242" s="1083"/>
      <c r="M242" s="1083"/>
      <c r="N242" s="1083"/>
      <c r="O242" s="1083"/>
      <c r="P242" s="1083"/>
      <c r="Q242" s="1083"/>
      <c r="R242" s="1083"/>
      <c r="S242" s="1083"/>
      <c r="T242" s="1083"/>
      <c r="U242" s="1083"/>
      <c r="V242" s="1083"/>
      <c r="W242" s="1083"/>
      <c r="X242" s="1083"/>
      <c r="Y242" s="1083"/>
      <c r="Z242" s="1083"/>
      <c r="AA242" s="1083"/>
      <c r="AB242" s="1083"/>
      <c r="AC242" s="1083"/>
      <c r="AD242" s="1083"/>
      <c r="AE242" s="1083"/>
      <c r="AF242" s="1083"/>
      <c r="AG242" s="1083"/>
      <c r="AH242" s="1083"/>
      <c r="AI242" s="1083"/>
      <c r="AJ242" s="1083"/>
    </row>
    <row r="243" spans="1:36" x14ac:dyDescent="0.25">
      <c r="A243" s="1083"/>
      <c r="B243" s="1083" t="str">
        <v>Utilities consumption (% of most likely value)</v>
      </c>
      <c r="C243" s="1083"/>
      <c r="D243" s="1083"/>
      <c r="E243" s="1083"/>
      <c r="F243" s="1083"/>
      <c r="G243" s="1083"/>
      <c r="H243" s="1083"/>
      <c r="I243" s="1083"/>
      <c r="J243" s="1083"/>
      <c r="K243" s="1083"/>
      <c r="L243" s="1083"/>
      <c r="M243" s="1083"/>
      <c r="N243" s="1083"/>
      <c r="O243" s="1083"/>
      <c r="P243" s="1083"/>
      <c r="Q243" s="1083"/>
      <c r="R243" s="1083"/>
      <c r="S243" s="1083"/>
      <c r="T243" s="1083"/>
      <c r="U243" s="1083"/>
      <c r="V243" s="1083"/>
      <c r="W243" s="1083"/>
      <c r="X243" s="1083"/>
      <c r="Y243" s="1083"/>
      <c r="Z243" s="1083"/>
      <c r="AA243" s="1083"/>
      <c r="AB243" s="1083"/>
      <c r="AC243" s="1083"/>
      <c r="AD243" s="1083"/>
      <c r="AE243" s="1083"/>
      <c r="AF243" s="1083"/>
      <c r="AG243" s="1083"/>
      <c r="AH243" s="1083"/>
      <c r="AI243" s="1083"/>
      <c r="AJ243" s="1083"/>
    </row>
    <row r="244" spans="1:36" x14ac:dyDescent="0.25">
      <c r="A244" s="1083"/>
      <c r="B244" s="1083" t="str">
        <v>Total capital investment ($)</v>
      </c>
      <c r="C244" s="1083"/>
      <c r="D244" s="1083"/>
      <c r="E244" s="1083"/>
      <c r="F244" s="1083"/>
      <c r="G244" s="1083"/>
      <c r="H244" s="1083"/>
      <c r="I244" s="1083"/>
      <c r="J244" s="1083"/>
      <c r="K244" s="1083"/>
      <c r="L244" s="1083"/>
      <c r="M244" s="1083"/>
      <c r="N244" s="1083"/>
      <c r="O244" s="1083"/>
      <c r="P244" s="1083"/>
      <c r="Q244" s="1083"/>
      <c r="R244" s="1083"/>
      <c r="S244" s="1083"/>
      <c r="T244" s="1083"/>
      <c r="U244" s="1083"/>
      <c r="V244" s="1083"/>
      <c r="W244" s="1083"/>
      <c r="X244" s="1083"/>
      <c r="Y244" s="1083"/>
      <c r="Z244" s="1083"/>
      <c r="AA244" s="1083"/>
      <c r="AB244" s="1083"/>
      <c r="AC244" s="1083"/>
      <c r="AD244" s="1083"/>
      <c r="AE244" s="1083"/>
      <c r="AF244" s="1083"/>
      <c r="AG244" s="1083"/>
      <c r="AH244" s="1083"/>
      <c r="AI244" s="1083"/>
      <c r="AJ244" s="1083"/>
    </row>
    <row r="245" spans="1:36" x14ac:dyDescent="0.25">
      <c r="A245" s="1083"/>
      <c r="B245" s="1083" t="str">
        <v>Total fixed operating cost ($/year)</v>
      </c>
      <c r="C245" s="1083"/>
      <c r="D245" s="1083"/>
      <c r="E245" s="1083"/>
      <c r="F245" s="1083"/>
      <c r="G245" s="1083"/>
      <c r="H245" s="1083"/>
      <c r="I245" s="1083"/>
      <c r="J245" s="1083"/>
      <c r="K245" s="1083"/>
      <c r="L245" s="1083"/>
      <c r="M245" s="1083"/>
      <c r="N245" s="1083"/>
      <c r="O245" s="1083"/>
      <c r="P245" s="1083"/>
      <c r="Q245" s="1083"/>
      <c r="R245" s="1083"/>
      <c r="S245" s="1083"/>
      <c r="T245" s="1083"/>
      <c r="U245" s="1083"/>
      <c r="V245" s="1083"/>
      <c r="W245" s="1083"/>
      <c r="X245" s="1083"/>
      <c r="Y245" s="1083"/>
      <c r="Z245" s="1083"/>
      <c r="AA245" s="1083"/>
      <c r="AB245" s="1083"/>
      <c r="AC245" s="1083"/>
      <c r="AD245" s="1083"/>
      <c r="AE245" s="1083"/>
      <c r="AF245" s="1083"/>
      <c r="AG245" s="1083"/>
      <c r="AH245" s="1083"/>
      <c r="AI245" s="1083"/>
      <c r="AJ245" s="1083"/>
    </row>
    <row r="246" spans="1:36" x14ac:dyDescent="0.25">
      <c r="A246" s="1083"/>
      <c r="B246" s="1083"/>
      <c r="C246" s="1083"/>
      <c r="D246" s="1083"/>
      <c r="E246" s="1083"/>
      <c r="F246" s="1083"/>
      <c r="G246" s="1083"/>
      <c r="H246" s="1083"/>
      <c r="I246" s="1083"/>
      <c r="J246" s="1083"/>
      <c r="K246" s="1083"/>
      <c r="L246" s="1083"/>
      <c r="M246" s="1083"/>
      <c r="N246" s="1083"/>
      <c r="O246" s="1083"/>
      <c r="P246" s="1083"/>
      <c r="Q246" s="1083"/>
      <c r="R246" s="1083"/>
      <c r="S246" s="1083"/>
      <c r="T246" s="1083"/>
      <c r="U246" s="1083"/>
      <c r="V246" s="1083"/>
      <c r="W246" s="1083"/>
      <c r="X246" s="1083"/>
      <c r="Y246" s="1083"/>
      <c r="Z246" s="1083"/>
      <c r="AA246" s="1083"/>
      <c r="AB246" s="1083"/>
      <c r="AC246" s="1083"/>
      <c r="AD246" s="1083"/>
      <c r="AE246" s="1083"/>
      <c r="AF246" s="1083"/>
      <c r="AG246" s="1083"/>
      <c r="AH246" s="1083"/>
      <c r="AI246" s="1083"/>
      <c r="AJ246" s="1083"/>
    </row>
    <row r="247" spans="1:36" x14ac:dyDescent="0.25">
      <c r="A247" s="1083"/>
      <c r="B247" s="1083"/>
      <c r="C247" s="1083"/>
      <c r="D247" s="1083"/>
      <c r="E247" s="1083"/>
      <c r="F247" s="1083"/>
      <c r="G247" s="1083"/>
      <c r="H247" s="1083"/>
      <c r="I247" s="1083"/>
      <c r="J247" s="1083"/>
      <c r="K247" s="1083"/>
      <c r="L247" s="1083"/>
      <c r="M247" s="1083"/>
      <c r="N247" s="1083"/>
      <c r="O247" s="1083"/>
      <c r="P247" s="1083"/>
      <c r="Q247" s="1083"/>
      <c r="R247" s="1083"/>
      <c r="S247" s="1083"/>
      <c r="T247" s="1083"/>
      <c r="U247" s="1083"/>
      <c r="V247" s="1083"/>
      <c r="W247" s="1083"/>
      <c r="X247" s="1083"/>
      <c r="Y247" s="1083"/>
      <c r="Z247" s="1083"/>
      <c r="AA247" s="1083"/>
      <c r="AB247" s="1083"/>
      <c r="AC247" s="1083"/>
      <c r="AD247" s="1083"/>
      <c r="AE247" s="1083"/>
      <c r="AF247" s="1083"/>
      <c r="AG247" s="1083"/>
      <c r="AH247" s="1083"/>
      <c r="AI247" s="1083"/>
      <c r="AJ247" s="1083"/>
    </row>
    <row r="248" spans="1:36" x14ac:dyDescent="0.25">
      <c r="A248" s="1083"/>
      <c r="B248" s="1084"/>
      <c r="C248">
        <f ca="1">+RAND()</f>
        <v>0.60390568618903717</v>
      </c>
      <c r="D248">
        <f t="shared" ref="D248:I248" ca="1" si="96">+RAND()</f>
        <v>0.9378341539037367</v>
      </c>
      <c r="E248">
        <f t="shared" ca="1" si="96"/>
        <v>0.83619105817969297</v>
      </c>
      <c r="F248">
        <f t="shared" ca="1" si="96"/>
        <v>9.3813787799121973E-2</v>
      </c>
      <c r="G248">
        <f t="shared" ca="1" si="96"/>
        <v>0.72854052335817066</v>
      </c>
      <c r="H248">
        <f t="shared" ca="1" si="96"/>
        <v>0.93372016503055111</v>
      </c>
      <c r="I248">
        <f t="shared" ca="1" si="96"/>
        <v>0.31406981601811301</v>
      </c>
      <c r="J248" s="1083"/>
      <c r="K248" s="1083"/>
      <c r="L248" s="1083"/>
      <c r="M248" s="1083"/>
      <c r="N248" s="1083"/>
      <c r="O248" s="1083"/>
      <c r="P248" s="1083"/>
      <c r="Q248" s="1083"/>
      <c r="R248" s="1083"/>
      <c r="S248" s="1083"/>
      <c r="T248" s="1083"/>
      <c r="U248" s="1083"/>
      <c r="V248" s="1083"/>
      <c r="W248" s="1083"/>
      <c r="X248" s="1083"/>
      <c r="Y248" s="1083"/>
      <c r="Z248" s="1083"/>
      <c r="AA248" s="1083"/>
      <c r="AB248" s="1083"/>
      <c r="AC248" s="1083"/>
      <c r="AD248" s="1083"/>
      <c r="AE248" s="1083"/>
      <c r="AF248" s="1083"/>
      <c r="AG248" s="1083"/>
      <c r="AH248" s="1083"/>
      <c r="AI248" s="1083"/>
      <c r="AJ248" s="1083"/>
    </row>
    <row r="249" spans="1:36" x14ac:dyDescent="0.25">
      <c r="A249" s="1083"/>
      <c r="B249" s="305"/>
      <c r="C249" s="1088">
        <f ca="1">IFERROR(IF(C$248&lt;=(C$190-C$189)/(C$191-C$189),C$189+SQRT(C$248*(C$191-C$189)*(C$190-C$189)),C$191-SQRT((1-C$248)*(C$191-C$189)*(C$191-C$190))),1)</f>
        <v>1.0054975105296926</v>
      </c>
      <c r="D249" s="1088">
        <f t="shared" ref="D249:I249" ca="1" si="97">IFERROR(IF(D$248&lt;=(D$190-D$189)/(D$191-D$189),D$189+SQRT(D$248*(D$191-D$189)*(D$190-D$189)),D$191-SQRT((1-D$248)*(D$191-D$189)*(D$191-D$190))),1)</f>
        <v>1.0323696503017861</v>
      </c>
      <c r="E249" s="1088">
        <f t="shared" ca="1" si="97"/>
        <v>1.0213810428369319</v>
      </c>
      <c r="F249" s="1088">
        <f t="shared" ca="1" si="97"/>
        <v>0.97165799942274467</v>
      </c>
      <c r="G249" s="1088">
        <f t="shared" ca="1" si="97"/>
        <v>1.013158482886706</v>
      </c>
      <c r="H249" s="1088">
        <f t="shared" ca="1" si="97"/>
        <v>1.0317956275898552</v>
      </c>
      <c r="I249" s="1088">
        <f t="shared" ca="1" si="97"/>
        <v>0.9896276302608491</v>
      </c>
    </row>
    <row r="250" spans="1:36" x14ac:dyDescent="0.25">
      <c r="A250" s="1083"/>
      <c r="B250" s="305"/>
    </row>
    <row r="251" spans="1:36" x14ac:dyDescent="0.25">
      <c r="A251" s="1083"/>
      <c r="B251" s="1455">
        <v>1</v>
      </c>
      <c r="C251" s="1088">
        <v>0.9928816814760596</v>
      </c>
      <c r="D251" s="1088">
        <v>0.99106386537705338</v>
      </c>
      <c r="E251" s="1088">
        <v>0.98893419126469373</v>
      </c>
      <c r="F251" s="1088">
        <v>1.0072141194526611</v>
      </c>
      <c r="G251" s="1088">
        <v>1.0020641916583664</v>
      </c>
      <c r="H251" s="1088">
        <v>1.0014351956251639</v>
      </c>
      <c r="I251" s="1088">
        <v>0.98672634159810058</v>
      </c>
      <c r="K251">
        <v>1.8586049149020161</v>
      </c>
      <c r="L251">
        <v>0</v>
      </c>
      <c r="M251">
        <v>3.7706393636749878E-3</v>
      </c>
      <c r="N251">
        <v>0.34613703249113886</v>
      </c>
      <c r="O251">
        <v>0.2411944164411958</v>
      </c>
      <c r="P251">
        <v>1.3152309828561661E-2</v>
      </c>
      <c r="Q251">
        <v>1.5819761370597838E-3</v>
      </c>
      <c r="R251">
        <v>3.7641774705943439E-3</v>
      </c>
      <c r="S251">
        <v>0.3648568057253157</v>
      </c>
      <c r="T251">
        <v>0.40553154071579495</v>
      </c>
      <c r="U251">
        <v>0</v>
      </c>
      <c r="V251">
        <v>0.20156508013458191</v>
      </c>
      <c r="W251">
        <v>0.22201756042569767</v>
      </c>
      <c r="X251">
        <v>5.2329804681561794E-2</v>
      </c>
      <c r="Y251">
        <v>1.0244850214188115E-2</v>
      </c>
    </row>
    <row r="252" spans="1:36" x14ac:dyDescent="0.25">
      <c r="A252" s="1083"/>
      <c r="B252" s="1455">
        <v>2</v>
      </c>
      <c r="C252" s="1088">
        <v>1.0335829289700864</v>
      </c>
      <c r="D252" s="1088">
        <v>0.99867365372082806</v>
      </c>
      <c r="E252" s="1088">
        <v>1.0210522139042393</v>
      </c>
      <c r="F252" s="1088">
        <v>1.0431256790567156</v>
      </c>
      <c r="G252" s="1088">
        <v>1.007383556138991</v>
      </c>
      <c r="H252" s="1088">
        <v>1.0220217294038634</v>
      </c>
      <c r="I252" s="1088">
        <v>1.0103449642964484</v>
      </c>
      <c r="K252">
        <v>1.8691144969719673</v>
      </c>
      <c r="L252">
        <v>0</v>
      </c>
      <c r="M252">
        <v>3.4449961496810727E-3</v>
      </c>
      <c r="N252">
        <v>0.34880860884809789</v>
      </c>
      <c r="O252">
        <v>0.24003464506871303</v>
      </c>
      <c r="P252">
        <v>1.3601858717555985E-2</v>
      </c>
      <c r="Q252">
        <v>1.5676484037290179E-3</v>
      </c>
      <c r="R252">
        <v>3.4392014806579924E-3</v>
      </c>
      <c r="S252">
        <v>0.36126563737651224</v>
      </c>
      <c r="T252">
        <v>0.42019421462096063</v>
      </c>
      <c r="U252">
        <v>0</v>
      </c>
      <c r="V252">
        <v>0.2000404924498394</v>
      </c>
      <c r="W252">
        <v>0.21930239888131642</v>
      </c>
      <c r="X252">
        <v>5.4944414576378942E-2</v>
      </c>
      <c r="Y252">
        <v>9.3603726978876544E-3</v>
      </c>
    </row>
    <row r="253" spans="1:36" x14ac:dyDescent="0.25">
      <c r="A253" s="1083"/>
      <c r="B253" s="1455">
        <v>3</v>
      </c>
      <c r="C253" s="1088">
        <v>1.0026794352378177</v>
      </c>
      <c r="D253" s="1088">
        <v>0.97561606133096468</v>
      </c>
      <c r="E253" s="1088">
        <v>0.99104871163470942</v>
      </c>
      <c r="F253" s="1088">
        <v>1.0075644096804992</v>
      </c>
      <c r="G253" s="1088">
        <v>1.0262493118830638</v>
      </c>
      <c r="H253" s="1088">
        <v>1.0301624755274452</v>
      </c>
      <c r="I253" s="1088">
        <v>0.9753069193872872</v>
      </c>
      <c r="K253">
        <v>1.876752730676416</v>
      </c>
      <c r="L253">
        <v>0</v>
      </c>
      <c r="M253">
        <v>3.8569081466358081E-3</v>
      </c>
      <c r="N253">
        <v>0.35636843928999268</v>
      </c>
      <c r="O253">
        <v>0.24164335383558075</v>
      </c>
      <c r="P253">
        <v>1.3180274376811379E-2</v>
      </c>
      <c r="Q253">
        <v>1.5799670368201377E-3</v>
      </c>
      <c r="R253">
        <v>3.850496807698659E-3</v>
      </c>
      <c r="S253">
        <v>0.36539411928702675</v>
      </c>
      <c r="T253">
        <v>0.40568539373488988</v>
      </c>
      <c r="U253">
        <v>0</v>
      </c>
      <c r="V253">
        <v>0.2013924887394565</v>
      </c>
      <c r="W253">
        <v>0.22827605789382946</v>
      </c>
      <c r="X253">
        <v>5.2759264826323156E-2</v>
      </c>
      <c r="Y253">
        <v>1.0479782994624227E-2</v>
      </c>
    </row>
    <row r="254" spans="1:36" x14ac:dyDescent="0.25">
      <c r="A254" s="1083"/>
      <c r="B254" s="1455">
        <v>4</v>
      </c>
      <c r="C254" s="1088">
        <v>1.0143815269387046</v>
      </c>
      <c r="D254" s="1088">
        <v>0.96904446834972591</v>
      </c>
      <c r="E254" s="1088">
        <v>1.0011679151126767</v>
      </c>
      <c r="F254" s="1088">
        <v>1.000423079203858</v>
      </c>
      <c r="G254" s="1088">
        <v>1.0041083992011925</v>
      </c>
      <c r="H254" s="1088">
        <v>1.0081573306292162</v>
      </c>
      <c r="I254" s="1088">
        <v>0.99943148262147252</v>
      </c>
      <c r="K254">
        <v>1.8606986894636666</v>
      </c>
      <c r="L254">
        <v>0</v>
      </c>
      <c r="M254">
        <v>3.6678812462985107E-3</v>
      </c>
      <c r="N254">
        <v>0.34952257639697171</v>
      </c>
      <c r="O254">
        <v>0.24020630259455417</v>
      </c>
      <c r="P254">
        <v>1.3252729024115157E-2</v>
      </c>
      <c r="Q254">
        <v>1.5829793221521251E-3</v>
      </c>
      <c r="R254">
        <v>3.661656816620772E-3</v>
      </c>
      <c r="S254">
        <v>0.36761833048534326</v>
      </c>
      <c r="T254">
        <v>0.40287118041849973</v>
      </c>
      <c r="U254">
        <v>0</v>
      </c>
      <c r="V254">
        <v>0.19995392059005615</v>
      </c>
      <c r="W254">
        <v>0.2224755981543679</v>
      </c>
      <c r="X254">
        <v>5.325547411728692E-2</v>
      </c>
      <c r="Y254">
        <v>9.9658227899965483E-3</v>
      </c>
    </row>
    <row r="255" spans="1:36" x14ac:dyDescent="0.25">
      <c r="A255" s="1083"/>
      <c r="B255" s="1455">
        <v>5</v>
      </c>
      <c r="C255" s="1088">
        <v>0.97274883031687231</v>
      </c>
      <c r="D255" s="1088">
        <v>1.0093851453943261</v>
      </c>
      <c r="E255" s="1088">
        <v>1.0025751004802999</v>
      </c>
      <c r="F255" s="1088">
        <v>1.0094182335687298</v>
      </c>
      <c r="G255" s="1088">
        <v>0.96991953855989532</v>
      </c>
      <c r="H255" s="1088">
        <v>1.0122443761119957</v>
      </c>
      <c r="I255" s="1088">
        <v>0.96958442457233829</v>
      </c>
      <c r="K255">
        <v>1.8818437702898276</v>
      </c>
      <c r="L255">
        <v>0</v>
      </c>
      <c r="M255">
        <v>3.7461461981642651E-3</v>
      </c>
      <c r="N255">
        <v>0.35851575119012735</v>
      </c>
      <c r="O255">
        <v>0.24232883422207377</v>
      </c>
      <c r="P255">
        <v>1.3314453883871574E-2</v>
      </c>
      <c r="Q255">
        <v>1.6264516379987065E-3</v>
      </c>
      <c r="R255">
        <v>3.7397787643644494E-3</v>
      </c>
      <c r="S255">
        <v>0.36435355975878581</v>
      </c>
      <c r="T255">
        <v>0.40650215445447929</v>
      </c>
      <c r="U255">
        <v>0</v>
      </c>
      <c r="V255">
        <v>0.20308762649959383</v>
      </c>
      <c r="W255">
        <v>0.22799959654732438</v>
      </c>
      <c r="X255">
        <v>5.3943264550512016E-2</v>
      </c>
      <c r="Y255">
        <v>1.0178444978861686E-2</v>
      </c>
    </row>
    <row r="256" spans="1:36" x14ac:dyDescent="0.25">
      <c r="A256" s="1083"/>
      <c r="B256" s="1455">
        <v>6</v>
      </c>
      <c r="C256" s="1088">
        <v>1.0088058644130229</v>
      </c>
      <c r="D256" s="1088">
        <v>1.0075597237208513</v>
      </c>
      <c r="E256" s="1088">
        <v>0.97549222656439472</v>
      </c>
      <c r="F256" s="1088">
        <v>1.0136681126965019</v>
      </c>
      <c r="G256" s="1088">
        <v>0.97638146816761739</v>
      </c>
      <c r="H256" s="1088">
        <v>1.0250321569701952</v>
      </c>
      <c r="I256" s="1088">
        <v>0.99030774837666447</v>
      </c>
      <c r="K256">
        <v>1.8437392213883612</v>
      </c>
      <c r="L256">
        <v>0</v>
      </c>
      <c r="M256">
        <v>3.8690272393178166E-3</v>
      </c>
      <c r="N256">
        <v>0.34088822999360818</v>
      </c>
      <c r="O256">
        <v>0.23815881003947667</v>
      </c>
      <c r="P256">
        <v>1.2974387172250816E-2</v>
      </c>
      <c r="Q256">
        <v>1.5245580259330602E-3</v>
      </c>
      <c r="R256">
        <v>3.8625335767878913E-3</v>
      </c>
      <c r="S256">
        <v>0.36113133885547588</v>
      </c>
      <c r="T256">
        <v>0.40804858771634489</v>
      </c>
      <c r="U256">
        <v>0</v>
      </c>
      <c r="V256">
        <v>0.19943909085820574</v>
      </c>
      <c r="W256">
        <v>0.22052005487665421</v>
      </c>
      <c r="X256">
        <v>5.0548114400773898E-2</v>
      </c>
      <c r="Y256">
        <v>1.0512543112165255E-2</v>
      </c>
    </row>
    <row r="257" spans="1:25" x14ac:dyDescent="0.25">
      <c r="A257" s="1083"/>
      <c r="B257" s="1455">
        <v>7</v>
      </c>
      <c r="C257" s="1088">
        <v>0.97116269811981437</v>
      </c>
      <c r="D257" s="1088">
        <v>1.0130316706289937</v>
      </c>
      <c r="E257" s="1088">
        <v>0.98931831192154573</v>
      </c>
      <c r="F257" s="1088">
        <v>0.99706512438676531</v>
      </c>
      <c r="G257" s="1088">
        <v>1.0161325184713443</v>
      </c>
      <c r="H257" s="1088">
        <v>0.97202396036972905</v>
      </c>
      <c r="I257" s="1088">
        <v>0.99091277710712056</v>
      </c>
      <c r="K257">
        <v>1.8427225073215994</v>
      </c>
      <c r="L257">
        <v>0</v>
      </c>
      <c r="M257">
        <v>3.6948535026066066E-3</v>
      </c>
      <c r="N257">
        <v>0.33955870841761615</v>
      </c>
      <c r="O257">
        <v>0.24050147226429802</v>
      </c>
      <c r="P257">
        <v>1.310331992131312E-2</v>
      </c>
      <c r="Q257">
        <v>1.6038939355761412E-3</v>
      </c>
      <c r="R257">
        <v>3.6883099128120537E-3</v>
      </c>
      <c r="S257">
        <v>0.36468423255375865</v>
      </c>
      <c r="T257">
        <v>0.40144758443198914</v>
      </c>
      <c r="U257">
        <v>0</v>
      </c>
      <c r="V257">
        <v>0.20192069559443623</v>
      </c>
      <c r="W257">
        <v>0.2177454266365228</v>
      </c>
      <c r="X257">
        <v>5.2125353424242925E-2</v>
      </c>
      <c r="Y257">
        <v>1.0038363731638418E-2</v>
      </c>
    </row>
    <row r="258" spans="1:25" x14ac:dyDescent="0.25">
      <c r="A258" s="1083"/>
      <c r="B258" s="1455">
        <v>8</v>
      </c>
      <c r="C258" s="1088">
        <v>1.0368028732773391</v>
      </c>
      <c r="D258" s="1088">
        <v>1.028318730841137</v>
      </c>
      <c r="E258" s="1088">
        <v>1.007207802214517</v>
      </c>
      <c r="F258" s="1088">
        <v>0.99828268915078022</v>
      </c>
      <c r="G258" s="1088">
        <v>0.98622171346038601</v>
      </c>
      <c r="H258" s="1088">
        <v>0.98275174296607803</v>
      </c>
      <c r="I258" s="1088">
        <v>1.0204901861145543</v>
      </c>
      <c r="K258">
        <v>1.7845172912296425</v>
      </c>
      <c r="L258">
        <v>0</v>
      </c>
      <c r="M258">
        <v>3.3446358945819505E-3</v>
      </c>
      <c r="N258">
        <v>0.3246276308554113</v>
      </c>
      <c r="O258">
        <v>0.23150965656047362</v>
      </c>
      <c r="P258">
        <v>1.2994628486523711E-2</v>
      </c>
      <c r="Q258">
        <v>1.5221443055639054E-3</v>
      </c>
      <c r="R258">
        <v>3.3387620566776993E-3</v>
      </c>
      <c r="S258">
        <v>0.35089364069875706</v>
      </c>
      <c r="T258">
        <v>0.40204588596300095</v>
      </c>
      <c r="U258">
        <v>0</v>
      </c>
      <c r="V258">
        <v>0.19434767138279699</v>
      </c>
      <c r="W258">
        <v>0.20585376634781444</v>
      </c>
      <c r="X258">
        <v>5.1641130771544995E-2</v>
      </c>
      <c r="Y258">
        <v>9.0870096956605119E-3</v>
      </c>
    </row>
    <row r="259" spans="1:25" x14ac:dyDescent="0.25">
      <c r="A259" s="1083"/>
      <c r="B259" s="1455">
        <v>9</v>
      </c>
      <c r="C259" s="1088">
        <v>0.99689849606347125</v>
      </c>
      <c r="D259" s="1088">
        <v>0.99971019617017576</v>
      </c>
      <c r="E259" s="1088">
        <v>1.013867861068344</v>
      </c>
      <c r="F259" s="1088">
        <v>0.96552137033583518</v>
      </c>
      <c r="G259" s="1088">
        <v>1.0168161696867315</v>
      </c>
      <c r="H259" s="1088">
        <v>0.98296894193923057</v>
      </c>
      <c r="I259" s="1088">
        <v>1.0027750511587419</v>
      </c>
      <c r="K259">
        <v>1.826522107628664</v>
      </c>
      <c r="L259">
        <v>0</v>
      </c>
      <c r="M259">
        <v>3.4859396362409549E-3</v>
      </c>
      <c r="N259">
        <v>0.34528677010947617</v>
      </c>
      <c r="O259">
        <v>0.23521181116322332</v>
      </c>
      <c r="P259">
        <v>1.3103039736399764E-2</v>
      </c>
      <c r="Q259">
        <v>1.6123818873224943E-3</v>
      </c>
      <c r="R259">
        <v>3.4798450756599966E-3</v>
      </c>
      <c r="S259">
        <v>0.36441320141762351</v>
      </c>
      <c r="T259">
        <v>0.38889092709274309</v>
      </c>
      <c r="U259">
        <v>0</v>
      </c>
      <c r="V259">
        <v>0.19719631362809861</v>
      </c>
      <c r="W259">
        <v>0.21805209749994198</v>
      </c>
      <c r="X259">
        <v>5.3290668489089948E-2</v>
      </c>
      <c r="Y259">
        <v>9.4709911653256141E-3</v>
      </c>
    </row>
    <row r="260" spans="1:25" x14ac:dyDescent="0.25">
      <c r="A260" s="1083"/>
      <c r="B260" s="1455">
        <v>10</v>
      </c>
      <c r="C260" s="1088">
        <v>0.9667368968765202</v>
      </c>
      <c r="D260" s="1088">
        <v>1.0078310022500692</v>
      </c>
      <c r="E260" s="1088">
        <v>0.99230750240209609</v>
      </c>
      <c r="F260" s="1088">
        <v>0.9837091405366265</v>
      </c>
      <c r="G260" s="1088">
        <v>1.0385098831834556</v>
      </c>
      <c r="H260" s="1088">
        <v>0.97314002302348024</v>
      </c>
      <c r="I260" s="1088">
        <v>1.0226099188204831</v>
      </c>
      <c r="K260">
        <v>1.8576003645921531</v>
      </c>
      <c r="L260">
        <v>0</v>
      </c>
      <c r="M260">
        <v>3.7032623533049254E-3</v>
      </c>
      <c r="N260">
        <v>0.3434533919138496</v>
      </c>
      <c r="O260">
        <v>0.23998707993857565</v>
      </c>
      <c r="P260">
        <v>1.325422314291457E-2</v>
      </c>
      <c r="Q260">
        <v>1.6197328130843399E-3</v>
      </c>
      <c r="R260">
        <v>3.6967153548103288E-3</v>
      </c>
      <c r="S260">
        <v>0.37937745832509379</v>
      </c>
      <c r="T260">
        <v>0.39608777457671096</v>
      </c>
      <c r="U260">
        <v>0</v>
      </c>
      <c r="V260">
        <v>0.20153595633177124</v>
      </c>
      <c r="W260">
        <v>0.21982911428901472</v>
      </c>
      <c r="X260">
        <v>5.240093968572871E-2</v>
      </c>
      <c r="Y260">
        <v>1.0061240573904513E-2</v>
      </c>
    </row>
    <row r="261" spans="1:25" x14ac:dyDescent="0.25">
      <c r="A261" s="1083"/>
      <c r="B261" s="1455">
        <v>11</v>
      </c>
      <c r="C261" s="1088">
        <v>1.0178863561628755</v>
      </c>
      <c r="D261" s="1088">
        <v>0.96690868674992803</v>
      </c>
      <c r="E261" s="1088">
        <v>1.0000931381528864</v>
      </c>
      <c r="F261" s="1088">
        <v>1.0087092401912894</v>
      </c>
      <c r="G261" s="1088">
        <v>1.0400203727400792</v>
      </c>
      <c r="H261" s="1088">
        <v>1.0057302929770302</v>
      </c>
      <c r="I261" s="1088">
        <v>0.97313717868454053</v>
      </c>
      <c r="K261">
        <v>1.8510606605809177</v>
      </c>
      <c r="L261">
        <v>0</v>
      </c>
      <c r="M261">
        <v>3.658910295355857E-3</v>
      </c>
      <c r="N261">
        <v>0.34752481344488251</v>
      </c>
      <c r="O261">
        <v>0.24097387262220263</v>
      </c>
      <c r="P261">
        <v>1.3144997723394098E-2</v>
      </c>
      <c r="Q261">
        <v>1.5771149980610885E-3</v>
      </c>
      <c r="R261">
        <v>3.6526881552036202E-3</v>
      </c>
      <c r="S261">
        <v>0.35671472790962244</v>
      </c>
      <c r="T261">
        <v>0.4062014522079293</v>
      </c>
      <c r="U261">
        <v>0</v>
      </c>
      <c r="V261">
        <v>0.20041110897399037</v>
      </c>
      <c r="W261">
        <v>0.22135252425758586</v>
      </c>
      <c r="X261">
        <v>5.3224857533263087E-2</v>
      </c>
      <c r="Y261">
        <v>9.9414130501375032E-3</v>
      </c>
    </row>
    <row r="262" spans="1:25" x14ac:dyDescent="0.25">
      <c r="A262" s="1083"/>
      <c r="B262" s="1455">
        <v>12</v>
      </c>
      <c r="C262" s="1088">
        <v>1.0138150813252571</v>
      </c>
      <c r="D262" s="1088">
        <v>0.99037633789223989</v>
      </c>
      <c r="E262" s="1088">
        <v>0.98398411295654342</v>
      </c>
      <c r="F262" s="1088">
        <v>0.99061277859105679</v>
      </c>
      <c r="G262" s="1088">
        <v>1.023166216175533</v>
      </c>
      <c r="H262" s="1088">
        <v>0.9727424497510212</v>
      </c>
      <c r="I262" s="1088">
        <v>1.0181567172516781</v>
      </c>
      <c r="K262">
        <v>1.8106588333699041</v>
      </c>
      <c r="L262">
        <v>0</v>
      </c>
      <c r="M262">
        <v>3.6245780755558101E-3</v>
      </c>
      <c r="N262">
        <v>0.32771896890444435</v>
      </c>
      <c r="O262">
        <v>0.23671029784557771</v>
      </c>
      <c r="P262">
        <v>1.29455820745979E-2</v>
      </c>
      <c r="Q262">
        <v>1.5415312925589665E-3</v>
      </c>
      <c r="R262">
        <v>3.6181835674688615E-3</v>
      </c>
      <c r="S262">
        <v>0.36352874023110843</v>
      </c>
      <c r="T262">
        <v>0.3988179702165584</v>
      </c>
      <c r="U262">
        <v>0</v>
      </c>
      <c r="V262">
        <v>0.19790933152917789</v>
      </c>
      <c r="W262">
        <v>0.21086177247157212</v>
      </c>
      <c r="X262">
        <v>5.0783530375635329E-2</v>
      </c>
      <c r="Y262">
        <v>9.8475029367577818E-3</v>
      </c>
    </row>
    <row r="263" spans="1:25" x14ac:dyDescent="0.25">
      <c r="A263" s="1083"/>
      <c r="B263" s="1455">
        <v>13</v>
      </c>
      <c r="C263" s="1088">
        <v>0.98742616942428107</v>
      </c>
      <c r="D263" s="1088">
        <v>1.0023480855458984</v>
      </c>
      <c r="E263" s="1088">
        <v>0.98128575085628722</v>
      </c>
      <c r="F263" s="1088">
        <v>1.0154778254900974</v>
      </c>
      <c r="G263" s="1088">
        <v>0.99983083642805126</v>
      </c>
      <c r="H263" s="1088">
        <v>0.96991147546360135</v>
      </c>
      <c r="I263" s="1088">
        <v>1.0062706881822518</v>
      </c>
      <c r="K263">
        <v>1.841562754683399</v>
      </c>
      <c r="L263">
        <v>0</v>
      </c>
      <c r="M263">
        <v>3.7071926997133109E-3</v>
      </c>
      <c r="N263">
        <v>0.3324336872375282</v>
      </c>
      <c r="O263">
        <v>0.2415978860995163</v>
      </c>
      <c r="P263">
        <v>1.3143488111349345E-2</v>
      </c>
      <c r="Q263">
        <v>1.570576583047698E-3</v>
      </c>
      <c r="R263">
        <v>3.7006227133212703E-3</v>
      </c>
      <c r="S263">
        <v>0.3658971518127328</v>
      </c>
      <c r="T263">
        <v>0.4088121737058813</v>
      </c>
      <c r="U263">
        <v>0</v>
      </c>
      <c r="V263">
        <v>0.20222152995034795</v>
      </c>
      <c r="W263">
        <v>0.21426101905259476</v>
      </c>
      <c r="X263">
        <v>5.1559937001078512E-2</v>
      </c>
      <c r="Y263">
        <v>1.0071875115710907E-2</v>
      </c>
    </row>
    <row r="264" spans="1:25" x14ac:dyDescent="0.25">
      <c r="A264" s="1083"/>
      <c r="B264" s="1455">
        <v>14</v>
      </c>
      <c r="C264" s="1088">
        <v>0.97540352523503548</v>
      </c>
      <c r="D264" s="1088">
        <v>1.0158976721013975</v>
      </c>
      <c r="E264" s="1088">
        <v>0.97395955563830383</v>
      </c>
      <c r="F264" s="1088">
        <v>0.97384916335775762</v>
      </c>
      <c r="G264" s="1088">
        <v>0.98138008803537891</v>
      </c>
      <c r="H264" s="1088">
        <v>0.99583841479773594</v>
      </c>
      <c r="I264" s="1088">
        <v>0.99635699658623</v>
      </c>
      <c r="K264">
        <v>1.8325948406882848</v>
      </c>
      <c r="L264">
        <v>0</v>
      </c>
      <c r="M264">
        <v>3.8825525075786801E-3</v>
      </c>
      <c r="N264">
        <v>0.34046326674371191</v>
      </c>
      <c r="O264">
        <v>0.2366861265532049</v>
      </c>
      <c r="P264">
        <v>1.284257569897353E-2</v>
      </c>
      <c r="Q264">
        <v>1.5689782742338032E-3</v>
      </c>
      <c r="R264">
        <v>3.8758376404873273E-3</v>
      </c>
      <c r="S264">
        <v>0.36870317787678286</v>
      </c>
      <c r="T264">
        <v>0.39201072871382947</v>
      </c>
      <c r="U264">
        <v>0</v>
      </c>
      <c r="V264">
        <v>0.19918288076832369</v>
      </c>
      <c r="W264">
        <v>0.22046022929329021</v>
      </c>
      <c r="X264">
        <v>5.0134839245152663E-2</v>
      </c>
      <c r="Y264">
        <v>1.05487523878717E-2</v>
      </c>
    </row>
    <row r="265" spans="1:25" x14ac:dyDescent="0.25">
      <c r="A265" s="1083"/>
      <c r="B265" s="1455">
        <v>15</v>
      </c>
      <c r="C265" s="1088">
        <v>1.0173763001276177</v>
      </c>
      <c r="D265" s="1088">
        <v>0.98736111777881441</v>
      </c>
      <c r="E265" s="1088">
        <v>0.97793111336314331</v>
      </c>
      <c r="F265" s="1088">
        <v>0.97365850765165596</v>
      </c>
      <c r="G265" s="1088">
        <v>0.994822312357172</v>
      </c>
      <c r="H265" s="1088">
        <v>1.0270540776331467</v>
      </c>
      <c r="I265" s="1088">
        <v>1.0299491047866876</v>
      </c>
      <c r="K265">
        <v>1.8397788132360742</v>
      </c>
      <c r="L265">
        <v>0</v>
      </c>
      <c r="M265">
        <v>3.8670932284608594E-3</v>
      </c>
      <c r="N265">
        <v>0.34327029177167562</v>
      </c>
      <c r="O265">
        <v>0.23448649410803751</v>
      </c>
      <c r="P265">
        <v>1.2952395786111634E-2</v>
      </c>
      <c r="Q265">
        <v>1.5280241462270843E-3</v>
      </c>
      <c r="R265">
        <v>3.8606340838851713E-3</v>
      </c>
      <c r="S265">
        <v>0.37702834288983844</v>
      </c>
      <c r="T265">
        <v>0.39195700656505422</v>
      </c>
      <c r="U265">
        <v>0</v>
      </c>
      <c r="V265">
        <v>0.19619438886393506</v>
      </c>
      <c r="W265">
        <v>0.22171688470082007</v>
      </c>
      <c r="X265">
        <v>5.0144070230298245E-2</v>
      </c>
      <c r="Y265">
        <v>1.0507373318651718E-2</v>
      </c>
    </row>
    <row r="266" spans="1:25" x14ac:dyDescent="0.25">
      <c r="A266" s="1083"/>
      <c r="B266" s="1455">
        <v>16</v>
      </c>
      <c r="C266" s="1088">
        <v>0.97962944880394298</v>
      </c>
      <c r="D266" s="1088">
        <v>0.95491621356908352</v>
      </c>
      <c r="E266" s="1088">
        <v>1.0037378634888141</v>
      </c>
      <c r="F266" s="1088">
        <v>0.99770984540604302</v>
      </c>
      <c r="G266" s="1088">
        <v>1.0056984149741026</v>
      </c>
      <c r="H266" s="1088">
        <v>0.99508907871593277</v>
      </c>
      <c r="I266" s="1088">
        <v>1.0071568866492446</v>
      </c>
      <c r="K266">
        <v>1.9062855908777607</v>
      </c>
      <c r="L266">
        <v>0</v>
      </c>
      <c r="M266">
        <v>3.7578627246349066E-3</v>
      </c>
      <c r="N266">
        <v>0.36090920759326506</v>
      </c>
      <c r="O266">
        <v>0.24558321920155862</v>
      </c>
      <c r="P266">
        <v>1.3549656716820306E-2</v>
      </c>
      <c r="Q266">
        <v>1.6533085642882177E-3</v>
      </c>
      <c r="R266">
        <v>3.7514135147172383E-3</v>
      </c>
      <c r="S266">
        <v>0.3842332455312078</v>
      </c>
      <c r="T266">
        <v>0.40179412213421717</v>
      </c>
      <c r="U266">
        <v>0</v>
      </c>
      <c r="V266">
        <v>0.20426182046241981</v>
      </c>
      <c r="W266">
        <v>0.229355428523566</v>
      </c>
      <c r="X266">
        <v>5.4741920426405834E-2</v>
      </c>
      <c r="Y266">
        <v>1.0210110933927553E-2</v>
      </c>
    </row>
    <row r="267" spans="1:25" x14ac:dyDescent="0.25">
      <c r="A267" s="1083"/>
      <c r="B267" s="1455">
        <v>17</v>
      </c>
      <c r="C267" s="1088">
        <v>1.0158677916821302</v>
      </c>
      <c r="D267" s="1088">
        <v>1.0264924016507657</v>
      </c>
      <c r="E267" s="1088">
        <v>1.0012162834315455</v>
      </c>
      <c r="F267" s="1088">
        <v>1.0107499496476584</v>
      </c>
      <c r="G267" s="1088">
        <v>0.98440238868790109</v>
      </c>
      <c r="H267" s="1088">
        <v>0.95269952097638788</v>
      </c>
      <c r="I267" s="1088">
        <v>0.99674149437652448</v>
      </c>
      <c r="K267">
        <v>1.7833433256391904</v>
      </c>
      <c r="L267">
        <v>0</v>
      </c>
      <c r="M267">
        <v>3.3537690644102531E-3</v>
      </c>
      <c r="N267">
        <v>0.31960067811011683</v>
      </c>
      <c r="O267">
        <v>0.23546959647724958</v>
      </c>
      <c r="P267">
        <v>1.2966565529876094E-2</v>
      </c>
      <c r="Q267">
        <v>1.5447455018912481E-3</v>
      </c>
      <c r="R267">
        <v>3.3476958877320107E-3</v>
      </c>
      <c r="S267">
        <v>0.34482345636145978</v>
      </c>
      <c r="T267">
        <v>0.40703011594393579</v>
      </c>
      <c r="U267">
        <v>0</v>
      </c>
      <c r="V267">
        <v>0.19760417574614525</v>
      </c>
      <c r="W267">
        <v>0.20342378414032131</v>
      </c>
      <c r="X267">
        <v>5.1774956366118619E-2</v>
      </c>
      <c r="Y267">
        <v>9.1113246387537327E-3</v>
      </c>
    </row>
    <row r="268" spans="1:25" x14ac:dyDescent="0.25">
      <c r="A268" s="1083"/>
      <c r="B268" s="1455">
        <v>18</v>
      </c>
      <c r="C268" s="1088">
        <v>0.99275658503829911</v>
      </c>
      <c r="D268" s="1088">
        <v>0.9920208142367587</v>
      </c>
      <c r="E268" s="1088">
        <v>1.0022082050682224</v>
      </c>
      <c r="F268" s="1088">
        <v>0.98301323365141069</v>
      </c>
      <c r="G268" s="1088">
        <v>0.99003054195133755</v>
      </c>
      <c r="H268" s="1088">
        <v>0.99792731018865899</v>
      </c>
      <c r="I268" s="1088">
        <v>0.99462885528926226</v>
      </c>
      <c r="K268">
        <v>1.8502356527414829</v>
      </c>
      <c r="L268">
        <v>0</v>
      </c>
      <c r="M268">
        <v>3.6550632075590755E-3</v>
      </c>
      <c r="N268">
        <v>0.34940036127774377</v>
      </c>
      <c r="O268">
        <v>0.23840657308459282</v>
      </c>
      <c r="P268">
        <v>1.3154350962561609E-2</v>
      </c>
      <c r="Q268">
        <v>1.604146267207758E-3</v>
      </c>
      <c r="R268">
        <v>3.6487759263122187E-3</v>
      </c>
      <c r="S268">
        <v>0.36712423169955849</v>
      </c>
      <c r="T268">
        <v>0.39586642523417065</v>
      </c>
      <c r="U268">
        <v>0</v>
      </c>
      <c r="V268">
        <v>0.19950249870721237</v>
      </c>
      <c r="W268">
        <v>0.22225347909841009</v>
      </c>
      <c r="X268">
        <v>5.2999108438509364E-2</v>
      </c>
      <c r="Y268">
        <v>9.9307652527610146E-3</v>
      </c>
    </row>
    <row r="269" spans="1:25" x14ac:dyDescent="0.25">
      <c r="A269" s="1083"/>
      <c r="B269" s="1455">
        <v>19</v>
      </c>
      <c r="C269" s="1088">
        <v>1.0381500057885888</v>
      </c>
      <c r="D269" s="1088">
        <v>0.99226218183234283</v>
      </c>
      <c r="E269" s="1088">
        <v>1.0183250750001231</v>
      </c>
      <c r="F269" s="1088">
        <v>1.0313668048111431</v>
      </c>
      <c r="G269" s="1088">
        <v>0.98593766797469373</v>
      </c>
      <c r="H269" s="1088">
        <v>0.98265601536720459</v>
      </c>
      <c r="I269" s="1088">
        <v>0.95709078464135999</v>
      </c>
      <c r="K269">
        <v>1.8109203680721573</v>
      </c>
      <c r="L269">
        <v>0</v>
      </c>
      <c r="M269">
        <v>3.3283505808671399E-3</v>
      </c>
      <c r="N269">
        <v>0.33418721848321586</v>
      </c>
      <c r="O269">
        <v>0.23880874369006141</v>
      </c>
      <c r="P269">
        <v>1.3134830971739378E-2</v>
      </c>
      <c r="Q269">
        <v>1.5602832298786801E-3</v>
      </c>
      <c r="R269">
        <v>3.3225340667392138E-3</v>
      </c>
      <c r="S269">
        <v>0.33532313244846118</v>
      </c>
      <c r="T269">
        <v>0.41544020033830115</v>
      </c>
      <c r="U269">
        <v>0</v>
      </c>
      <c r="V269">
        <v>0.19893394351565863</v>
      </c>
      <c r="W269">
        <v>0.21046272899767524</v>
      </c>
      <c r="X269">
        <v>5.4032260454689583E-2</v>
      </c>
      <c r="Y269">
        <v>9.0428424566034032E-3</v>
      </c>
    </row>
    <row r="270" spans="1:25" x14ac:dyDescent="0.25">
      <c r="A270" s="1083"/>
      <c r="B270" s="1455">
        <v>20</v>
      </c>
      <c r="C270" s="1088">
        <v>1.0080828430423641</v>
      </c>
      <c r="D270" s="1088">
        <v>1.0156395188779117</v>
      </c>
      <c r="E270" s="1088">
        <v>0.99915021222317912</v>
      </c>
      <c r="F270" s="1088">
        <v>1.0294170475416702</v>
      </c>
      <c r="G270" s="1088">
        <v>0.97299166977014073</v>
      </c>
      <c r="H270" s="1088">
        <v>0.98793712229314912</v>
      </c>
      <c r="I270" s="1088">
        <v>1.0390093048824547</v>
      </c>
      <c r="K270">
        <v>1.851789269961355</v>
      </c>
      <c r="L270">
        <v>0</v>
      </c>
      <c r="M270">
        <v>3.5398414763308851E-3</v>
      </c>
      <c r="N270">
        <v>0.33523503468539262</v>
      </c>
      <c r="O270">
        <v>0.23956206592210638</v>
      </c>
      <c r="P270">
        <v>1.3444198698592183E-2</v>
      </c>
      <c r="Q270">
        <v>1.5598697395680483E-3</v>
      </c>
      <c r="R270">
        <v>3.5336692929662152E-3</v>
      </c>
      <c r="S270">
        <v>0.37086552902164305</v>
      </c>
      <c r="T270">
        <v>0.41453448816719324</v>
      </c>
      <c r="U270">
        <v>0</v>
      </c>
      <c r="V270">
        <v>0.20054685642562484</v>
      </c>
      <c r="W270">
        <v>0.21365054349433338</v>
      </c>
      <c r="X270">
        <v>5.2779373048578847E-2</v>
      </c>
      <c r="Y270">
        <v>9.61748294168468E-3</v>
      </c>
    </row>
    <row r="271" spans="1:25" x14ac:dyDescent="0.25">
      <c r="A271" s="1083"/>
      <c r="B271" s="1455">
        <v>21</v>
      </c>
      <c r="C271" s="1088">
        <v>0.99487912953486834</v>
      </c>
      <c r="D271" s="1088">
        <v>0.98626623784627132</v>
      </c>
      <c r="E271" s="1088">
        <v>0.97633335936386378</v>
      </c>
      <c r="F271" s="1088">
        <v>0.98425048158752859</v>
      </c>
      <c r="G271" s="1088">
        <v>0.97782343126695515</v>
      </c>
      <c r="H271" s="1088">
        <v>0.99115508747368841</v>
      </c>
      <c r="I271" s="1088">
        <v>1.0114387942835366</v>
      </c>
      <c r="K271">
        <v>1.8391890699886397</v>
      </c>
      <c r="L271">
        <v>0</v>
      </c>
      <c r="M271">
        <v>3.8310455896744056E-3</v>
      </c>
      <c r="N271">
        <v>0.33839317693167192</v>
      </c>
      <c r="O271">
        <v>0.23849931944322716</v>
      </c>
      <c r="P271">
        <v>1.2973363191972646E-2</v>
      </c>
      <c r="Q271">
        <v>1.5605799991441633E-3</v>
      </c>
      <c r="R271">
        <v>3.8244158988629301E-3</v>
      </c>
      <c r="S271">
        <v>0.3721737684342003</v>
      </c>
      <c r="T271">
        <v>0.39621155135030039</v>
      </c>
      <c r="U271">
        <v>0</v>
      </c>
      <c r="V271">
        <v>0.19953385758004957</v>
      </c>
      <c r="W271">
        <v>0.21878888287630915</v>
      </c>
      <c r="X271">
        <v>5.0652400514231734E-2</v>
      </c>
      <c r="Y271">
        <v>1.0408799358342661E-2</v>
      </c>
    </row>
    <row r="272" spans="1:25" x14ac:dyDescent="0.25">
      <c r="A272" s="1083"/>
      <c r="B272" s="1455">
        <v>22</v>
      </c>
      <c r="C272" s="1088">
        <v>0.99943802757310329</v>
      </c>
      <c r="D272" s="1088">
        <v>0.99840085471039552</v>
      </c>
      <c r="E272" s="1088">
        <v>1.0122445830974212</v>
      </c>
      <c r="F272" s="1088">
        <v>0.97468423522121361</v>
      </c>
      <c r="G272" s="1088">
        <v>1.00888555073511</v>
      </c>
      <c r="H272" s="1088">
        <v>1.0163386526829217</v>
      </c>
      <c r="I272" s="1088">
        <v>1.0157754952388247</v>
      </c>
      <c r="K272">
        <v>1.8601342210098988</v>
      </c>
      <c r="L272">
        <v>0</v>
      </c>
      <c r="M272">
        <v>3.6098661381473657E-3</v>
      </c>
      <c r="N272">
        <v>0.35581724053038194</v>
      </c>
      <c r="O272">
        <v>0.23612262382633958</v>
      </c>
      <c r="P272">
        <v>1.3286698795579288E-2</v>
      </c>
      <c r="Q272">
        <v>1.6063659378865297E-3</v>
      </c>
      <c r="R272">
        <v>3.603763605265967E-3</v>
      </c>
      <c r="S272">
        <v>0.37461802355988288</v>
      </c>
      <c r="T272">
        <v>0.39257185397819921</v>
      </c>
      <c r="U272">
        <v>0</v>
      </c>
      <c r="V272">
        <v>0.19778621458851586</v>
      </c>
      <c r="W272">
        <v>0.22492799248920378</v>
      </c>
      <c r="X272">
        <v>5.3595053283609403E-2</v>
      </c>
      <c r="Y272">
        <v>9.8082565531807664E-3</v>
      </c>
    </row>
    <row r="273" spans="1:25" x14ac:dyDescent="0.25">
      <c r="A273" s="1083"/>
      <c r="B273" s="1455">
        <v>23</v>
      </c>
      <c r="C273" s="1088">
        <v>1.0160881734870364</v>
      </c>
      <c r="D273" s="1088">
        <v>0.95636215452944562</v>
      </c>
      <c r="E273" s="1088">
        <v>1.0121000744362139</v>
      </c>
      <c r="F273" s="1088">
        <v>0.96216573622772383</v>
      </c>
      <c r="G273" s="1088">
        <v>0.98805067366702426</v>
      </c>
      <c r="H273" s="1088">
        <v>1.0014500916048954</v>
      </c>
      <c r="I273" s="1088">
        <v>0.97091661007849683</v>
      </c>
      <c r="K273">
        <v>1.8331826463132135</v>
      </c>
      <c r="L273">
        <v>0</v>
      </c>
      <c r="M273">
        <v>3.5810448610411366E-3</v>
      </c>
      <c r="N273">
        <v>0.35281549671473139</v>
      </c>
      <c r="O273">
        <v>0.23676861081104719</v>
      </c>
      <c r="P273">
        <v>1.2978721830507653E-2</v>
      </c>
      <c r="Q273">
        <v>1.6072207431153806E-3</v>
      </c>
      <c r="R273">
        <v>3.5749363375868317E-3</v>
      </c>
      <c r="S273">
        <v>0.35802447739418952</v>
      </c>
      <c r="T273">
        <v>0.38752895045693875</v>
      </c>
      <c r="U273">
        <v>0</v>
      </c>
      <c r="V273">
        <v>0.19715654932062357</v>
      </c>
      <c r="W273">
        <v>0.22305041150207017</v>
      </c>
      <c r="X273">
        <v>5.3528517829980971E-2</v>
      </c>
      <c r="Y273">
        <v>9.729798233464395E-3</v>
      </c>
    </row>
    <row r="274" spans="1:25" x14ac:dyDescent="0.25">
      <c r="A274" s="1083"/>
      <c r="B274" s="1455">
        <v>24</v>
      </c>
      <c r="C274" s="1088">
        <v>0.97308108509915048</v>
      </c>
      <c r="D274" s="1088">
        <v>1.0115136302774232</v>
      </c>
      <c r="E274" s="1088">
        <v>1.0169316601317064</v>
      </c>
      <c r="F274" s="1088">
        <v>1.010016718307553</v>
      </c>
      <c r="G274" s="1088">
        <v>1.0200014076545323</v>
      </c>
      <c r="H274" s="1088">
        <v>0.98812980105026227</v>
      </c>
      <c r="I274" s="1088">
        <v>1.0291686785685115</v>
      </c>
      <c r="K274">
        <v>1.8921305810275191</v>
      </c>
      <c r="L274">
        <v>0</v>
      </c>
      <c r="M274">
        <v>3.5456775812858681E-3</v>
      </c>
      <c r="N274">
        <v>0.35450159199977599</v>
      </c>
      <c r="O274">
        <v>0.24235717418089092</v>
      </c>
      <c r="P274">
        <v>1.3701068587182438E-2</v>
      </c>
      <c r="Q274">
        <v>1.6494433358643147E-3</v>
      </c>
      <c r="R274">
        <v>3.5395020121457167E-3</v>
      </c>
      <c r="S274">
        <v>0.38173653705455846</v>
      </c>
      <c r="T274">
        <v>0.40683163522612065</v>
      </c>
      <c r="U274">
        <v>0</v>
      </c>
      <c r="V274">
        <v>0.20307736705681204</v>
      </c>
      <c r="W274">
        <v>0.22344811442289766</v>
      </c>
      <c r="X274">
        <v>5.5200467052019427E-2</v>
      </c>
      <c r="Y274">
        <v>9.6333576805359197E-3</v>
      </c>
    </row>
    <row r="275" spans="1:25" x14ac:dyDescent="0.25">
      <c r="A275" s="1083"/>
      <c r="B275" s="1455">
        <v>25</v>
      </c>
      <c r="C275" s="1088">
        <v>1.0181717685124596</v>
      </c>
      <c r="D275" s="1088">
        <v>1.0131593124682161</v>
      </c>
      <c r="E275" s="1088">
        <v>1.0133406014589459</v>
      </c>
      <c r="F275" s="1088">
        <v>0.9852397712891755</v>
      </c>
      <c r="G275" s="1088">
        <v>1.0174982312666432</v>
      </c>
      <c r="H275" s="1088">
        <v>1.0370815838959757</v>
      </c>
      <c r="I275" s="1088">
        <v>0.96663523336158996</v>
      </c>
      <c r="K275">
        <v>1.8322337772728798</v>
      </c>
      <c r="L275">
        <v>0</v>
      </c>
      <c r="M275">
        <v>3.5791651056384052E-3</v>
      </c>
      <c r="N275">
        <v>0.35398273588476054</v>
      </c>
      <c r="O275">
        <v>0.2337504338271513</v>
      </c>
      <c r="P275">
        <v>1.3001077674000135E-2</v>
      </c>
      <c r="Q275">
        <v>1.5694014809126508E-3</v>
      </c>
      <c r="R275">
        <v>3.5732232755435944E-3</v>
      </c>
      <c r="S275">
        <v>0.35066715726188147</v>
      </c>
      <c r="T275">
        <v>0.39682989066830798</v>
      </c>
      <c r="U275">
        <v>0</v>
      </c>
      <c r="V275">
        <v>0.19597585055237166</v>
      </c>
      <c r="W275">
        <v>0.22361659645554935</v>
      </c>
      <c r="X275">
        <v>5.3121439454743548E-2</v>
      </c>
      <c r="Y275">
        <v>9.7251358432934518E-3</v>
      </c>
    </row>
    <row r="276" spans="1:25" x14ac:dyDescent="0.25">
      <c r="A276" s="1083"/>
      <c r="B276" s="1455">
        <v>26</v>
      </c>
      <c r="C276" s="1088">
        <v>1.0304965233922641</v>
      </c>
      <c r="D276" s="1088">
        <v>1.0340956828874335</v>
      </c>
      <c r="E276" s="1088">
        <v>1.0101632507412908</v>
      </c>
      <c r="F276" s="1088">
        <v>1.008670322650006</v>
      </c>
      <c r="G276" s="1088">
        <v>1.0269765437139138</v>
      </c>
      <c r="H276" s="1088">
        <v>0.99985652447102147</v>
      </c>
      <c r="I276" s="1088">
        <v>0.97403148355310654</v>
      </c>
      <c r="K276">
        <v>1.7919859065452823</v>
      </c>
      <c r="L276">
        <v>0</v>
      </c>
      <c r="M276">
        <v>3.3923845778822004E-3</v>
      </c>
      <c r="N276">
        <v>0.33225275762295037</v>
      </c>
      <c r="O276">
        <v>0.23287719152900752</v>
      </c>
      <c r="P276">
        <v>1.2931633539922638E-2</v>
      </c>
      <c r="Q276">
        <v>1.5328296101966637E-3</v>
      </c>
      <c r="R276">
        <v>3.3865236097648686E-3</v>
      </c>
      <c r="S276">
        <v>0.3388228519153681</v>
      </c>
      <c r="T276">
        <v>0.40624754943900188</v>
      </c>
      <c r="U276">
        <v>0</v>
      </c>
      <c r="V276">
        <v>0.1955676499629305</v>
      </c>
      <c r="W276">
        <v>0.2103028530982487</v>
      </c>
      <c r="X276">
        <v>5.2239449897198906E-2</v>
      </c>
      <c r="Y276">
        <v>9.2170008985720409E-3</v>
      </c>
    </row>
    <row r="277" spans="1:25" x14ac:dyDescent="0.25">
      <c r="A277" s="1083"/>
      <c r="B277" s="1455">
        <v>27</v>
      </c>
      <c r="C277" s="1088">
        <v>0.99294273986438675</v>
      </c>
      <c r="D277" s="1088">
        <v>1.0363515235597498</v>
      </c>
      <c r="E277" s="1088">
        <v>1.0374482647740662</v>
      </c>
      <c r="F277" s="1088">
        <v>0.9633125465892215</v>
      </c>
      <c r="G277" s="1088">
        <v>0.98897744323073833</v>
      </c>
      <c r="H277" s="1088">
        <v>1.0103774283907143</v>
      </c>
      <c r="I277" s="1088">
        <v>0.97806291311576443</v>
      </c>
      <c r="K277">
        <v>1.830509120945556</v>
      </c>
      <c r="L277">
        <v>0</v>
      </c>
      <c r="M277">
        <v>3.3618614549046858E-3</v>
      </c>
      <c r="N277">
        <v>0.35780828309483198</v>
      </c>
      <c r="O277">
        <v>0.23228908566654652</v>
      </c>
      <c r="P277">
        <v>1.3165679010606186E-2</v>
      </c>
      <c r="Q277">
        <v>1.6357264037865154E-3</v>
      </c>
      <c r="R277">
        <v>3.3561151959469026E-3</v>
      </c>
      <c r="S277">
        <v>0.35491712315139673</v>
      </c>
      <c r="T277">
        <v>0.38814136710208236</v>
      </c>
      <c r="U277">
        <v>0</v>
      </c>
      <c r="V277">
        <v>0.19571706115989215</v>
      </c>
      <c r="W277">
        <v>0.22271724569420553</v>
      </c>
      <c r="X277">
        <v>5.4989056700875075E-2</v>
      </c>
      <c r="Y277">
        <v>9.1342392202904618E-3</v>
      </c>
    </row>
    <row r="278" spans="1:25" x14ac:dyDescent="0.25">
      <c r="A278" s="1083"/>
      <c r="B278" s="1455">
        <v>28</v>
      </c>
      <c r="C278" s="1088">
        <v>0.98893574834515097</v>
      </c>
      <c r="D278" s="1088">
        <v>0.98547634507059467</v>
      </c>
      <c r="E278" s="1088">
        <v>1.013834143105095</v>
      </c>
      <c r="F278" s="1088">
        <v>0.99173840825213977</v>
      </c>
      <c r="G278" s="1088">
        <v>0.97237030869206365</v>
      </c>
      <c r="H278" s="1088">
        <v>0.96784464432264883</v>
      </c>
      <c r="I278" s="1088">
        <v>1.0136371931505044</v>
      </c>
      <c r="K278">
        <v>1.855130821449648</v>
      </c>
      <c r="L278">
        <v>0</v>
      </c>
      <c r="M278">
        <v>3.4873309646896518E-3</v>
      </c>
      <c r="N278">
        <v>0.34538090141003158</v>
      </c>
      <c r="O278">
        <v>0.24074650678785925</v>
      </c>
      <c r="P278">
        <v>1.3399331724553466E-2</v>
      </c>
      <c r="Q278">
        <v>1.6346562895009269E-3</v>
      </c>
      <c r="R278">
        <v>3.4811515627017706E-3</v>
      </c>
      <c r="S278">
        <v>0.37146683482343967</v>
      </c>
      <c r="T278">
        <v>0.39945037295699592</v>
      </c>
      <c r="U278">
        <v>0</v>
      </c>
      <c r="V278">
        <v>0.20110093445737867</v>
      </c>
      <c r="W278">
        <v>0.21811608998712206</v>
      </c>
      <c r="X278">
        <v>5.4366825422381526E-2</v>
      </c>
      <c r="Y278">
        <v>9.4745469923699886E-3</v>
      </c>
    </row>
    <row r="279" spans="1:25" x14ac:dyDescent="0.25">
      <c r="A279" s="1083"/>
      <c r="B279" s="1455">
        <v>29</v>
      </c>
      <c r="C279" s="1088">
        <v>1.0114462923388692</v>
      </c>
      <c r="D279" s="1088">
        <v>0.99889127869574978</v>
      </c>
      <c r="E279" s="1088">
        <v>1.0387557853541611</v>
      </c>
      <c r="F279" s="1088">
        <v>0.97579065808896459</v>
      </c>
      <c r="G279" s="1088">
        <v>0.98600710485995346</v>
      </c>
      <c r="H279" s="1088">
        <v>1.0105840346510662</v>
      </c>
      <c r="I279" s="1088">
        <v>0.99655285362205659</v>
      </c>
      <c r="K279">
        <v>1.849262281105448</v>
      </c>
      <c r="L279">
        <v>0</v>
      </c>
      <c r="M279">
        <v>3.3580548768465603E-3</v>
      </c>
      <c r="N279">
        <v>0.35883135902926672</v>
      </c>
      <c r="O279">
        <v>0.23516819963911401</v>
      </c>
      <c r="P279">
        <v>1.336753332460246E-2</v>
      </c>
      <c r="Q279">
        <v>1.6318526263919002E-3</v>
      </c>
      <c r="R279">
        <v>3.3523454331398092E-3</v>
      </c>
      <c r="S279">
        <v>0.36234294486516289</v>
      </c>
      <c r="T279">
        <v>0.39317702820773626</v>
      </c>
      <c r="U279">
        <v>0</v>
      </c>
      <c r="V279">
        <v>0.19675079729669356</v>
      </c>
      <c r="W279">
        <v>0.22317678741442643</v>
      </c>
      <c r="X279">
        <v>5.5697508977128163E-2</v>
      </c>
      <c r="Y279">
        <v>9.1239791686315262E-3</v>
      </c>
    </row>
    <row r="280" spans="1:25" x14ac:dyDescent="0.25">
      <c r="A280" s="1083"/>
      <c r="B280" s="1455">
        <v>30</v>
      </c>
      <c r="C280" s="1088">
        <v>1.0212458032520468</v>
      </c>
      <c r="D280" s="1088">
        <v>0.96025985078855858</v>
      </c>
      <c r="E280" s="1088">
        <v>1.0167547843673244</v>
      </c>
      <c r="F280" s="1088">
        <v>0.99693053215270955</v>
      </c>
      <c r="G280" s="1088">
        <v>0.99999544114408101</v>
      </c>
      <c r="H280" s="1088">
        <v>0.99633544924311646</v>
      </c>
      <c r="I280" s="1088">
        <v>1.0041267773660436</v>
      </c>
      <c r="K280">
        <v>1.8579458889229004</v>
      </c>
      <c r="L280">
        <v>0</v>
      </c>
      <c r="M280">
        <v>3.5045236538400822E-3</v>
      </c>
      <c r="N280">
        <v>0.35020750376407284</v>
      </c>
      <c r="O280">
        <v>0.24009803146326789</v>
      </c>
      <c r="P280">
        <v>1.3370058342729859E-2</v>
      </c>
      <c r="Q280">
        <v>1.6043835054195407E-3</v>
      </c>
      <c r="R280">
        <v>3.4985134879145776E-3</v>
      </c>
      <c r="S280">
        <v>0.3667475440658246</v>
      </c>
      <c r="T280">
        <v>0.40155947849459889</v>
      </c>
      <c r="U280">
        <v>0</v>
      </c>
      <c r="V280">
        <v>0.19950766284003665</v>
      </c>
      <c r="W280">
        <v>0.22076557107708999</v>
      </c>
      <c r="X280">
        <v>5.4569865106343374E-2</v>
      </c>
      <c r="Y280">
        <v>9.5218004294421437E-3</v>
      </c>
    </row>
    <row r="281" spans="1:25" x14ac:dyDescent="0.25">
      <c r="A281" s="1083"/>
      <c r="B281" s="1455">
        <v>31</v>
      </c>
      <c r="C281" s="1088">
        <v>0.9751563845942397</v>
      </c>
      <c r="D281" s="1088">
        <v>0.96380176914909976</v>
      </c>
      <c r="E281" s="1088">
        <v>0.9828598138038086</v>
      </c>
      <c r="F281" s="1088">
        <v>1.0185610850492823</v>
      </c>
      <c r="G281" s="1088">
        <v>0.98676879686391572</v>
      </c>
      <c r="H281" s="1088">
        <v>1.041311187651343</v>
      </c>
      <c r="I281" s="1088">
        <v>1.0376673946233266</v>
      </c>
      <c r="K281">
        <v>1.9558674924390702</v>
      </c>
      <c r="L281">
        <v>0</v>
      </c>
      <c r="M281">
        <v>4.1029927762052517E-3</v>
      </c>
      <c r="N281">
        <v>0.36974836504992359</v>
      </c>
      <c r="O281">
        <v>0.24747831641240417</v>
      </c>
      <c r="P281">
        <v>1.3747081784096869E-2</v>
      </c>
      <c r="Q281">
        <v>1.6182180995172977E-3</v>
      </c>
      <c r="R281">
        <v>4.0962566098852026E-3</v>
      </c>
      <c r="S281">
        <v>0.4045262063021427</v>
      </c>
      <c r="T281">
        <v>0.41006302509046672</v>
      </c>
      <c r="U281">
        <v>0</v>
      </c>
      <c r="V281">
        <v>0.20598357349105434</v>
      </c>
      <c r="W281">
        <v>0.23807371975361602</v>
      </c>
      <c r="X281">
        <v>5.3487062460686435E-2</v>
      </c>
      <c r="Y281">
        <v>1.1148660161478984E-2</v>
      </c>
    </row>
    <row r="282" spans="1:25" x14ac:dyDescent="0.25">
      <c r="A282" s="1083"/>
      <c r="B282" s="1455">
        <v>32</v>
      </c>
      <c r="C282" s="1087">
        <v>0.98439198786611259</v>
      </c>
      <c r="D282" s="1087">
        <v>0.9964353469699806</v>
      </c>
      <c r="E282" s="1087">
        <v>0.98866092492109847</v>
      </c>
      <c r="F282" s="1087">
        <v>1.0020113673874125</v>
      </c>
      <c r="G282" s="1087">
        <v>0.98773585413686127</v>
      </c>
      <c r="H282" s="1087">
        <v>0.99660220925772403</v>
      </c>
      <c r="I282" s="1087">
        <v>0.97554949694074611</v>
      </c>
      <c r="K282">
        <v>1.8538447174494022</v>
      </c>
      <c r="L282">
        <v>0</v>
      </c>
      <c r="M282">
        <v>3.7758553718575151E-3</v>
      </c>
      <c r="N282">
        <v>0.34632334485229599</v>
      </c>
      <c r="O282">
        <v>0.24108272802934547</v>
      </c>
      <c r="P282">
        <v>1.3083469509782885E-2</v>
      </c>
      <c r="Q282">
        <v>1.5917071483591001E-3</v>
      </c>
      <c r="R282">
        <v>3.7693481961519918E-3</v>
      </c>
      <c r="S282">
        <v>0.36187273177233847</v>
      </c>
      <c r="T282">
        <v>0.40343512676886162</v>
      </c>
      <c r="U282">
        <v>0</v>
      </c>
      <c r="V282">
        <v>0.20175724128163447</v>
      </c>
      <c r="W282">
        <v>0.22217531702556492</v>
      </c>
      <c r="X282">
        <v>5.2270635012295834E-2</v>
      </c>
      <c r="Y282">
        <v>1.0258923224626808E-2</v>
      </c>
    </row>
    <row r="283" spans="1:25" x14ac:dyDescent="0.25">
      <c r="A283" s="1083"/>
      <c r="B283" s="1455">
        <v>33</v>
      </c>
      <c r="C283" s="1087">
        <v>1.0041564978597362</v>
      </c>
      <c r="D283" s="1087">
        <v>0.97964821364393273</v>
      </c>
      <c r="E283" s="1087">
        <v>0.96767346348498506</v>
      </c>
      <c r="F283" s="1087">
        <v>0.99941851425317296</v>
      </c>
      <c r="G283" s="1087">
        <v>0.95608970029536144</v>
      </c>
      <c r="H283" s="1087">
        <v>0.98857963722747166</v>
      </c>
      <c r="I283" s="1087">
        <v>0.97442760337308965</v>
      </c>
      <c r="K283">
        <v>1.8219852672720844</v>
      </c>
      <c r="L283">
        <v>0</v>
      </c>
      <c r="M283">
        <v>3.8674668484774827E-3</v>
      </c>
      <c r="N283">
        <v>0.33268172172805177</v>
      </c>
      <c r="O283">
        <v>0.23974449986398752</v>
      </c>
      <c r="P283">
        <v>1.2761812701677843E-2</v>
      </c>
      <c r="Q283">
        <v>1.535883731038024E-3</v>
      </c>
      <c r="R283">
        <v>3.8607635182901952E-3</v>
      </c>
      <c r="S283">
        <v>0.35603048451793462</v>
      </c>
      <c r="T283">
        <v>0.40226608665933411</v>
      </c>
      <c r="U283">
        <v>0</v>
      </c>
      <c r="V283">
        <v>0.20016716090910097</v>
      </c>
      <c r="W283">
        <v>0.21628813750247267</v>
      </c>
      <c r="X283">
        <v>5.0008457392237395E-2</v>
      </c>
      <c r="Y283">
        <v>1.0507725596434151E-2</v>
      </c>
    </row>
    <row r="284" spans="1:25" x14ac:dyDescent="0.25">
      <c r="A284" s="1083"/>
      <c r="B284" s="1455">
        <v>34</v>
      </c>
      <c r="C284" s="1087">
        <v>1.0265449252947256</v>
      </c>
      <c r="D284" s="1087">
        <v>0.99725236303971687</v>
      </c>
      <c r="E284" s="1087">
        <v>0.99116192869550734</v>
      </c>
      <c r="F284" s="1087">
        <v>0.96707358874984473</v>
      </c>
      <c r="G284" s="1087">
        <v>1.0015355112317503</v>
      </c>
      <c r="H284" s="1087">
        <v>1.0000823952470619</v>
      </c>
      <c r="I284" s="1087">
        <v>0.97382789253114099</v>
      </c>
      <c r="K284">
        <v>1.7846138540322563</v>
      </c>
      <c r="L284">
        <v>0</v>
      </c>
      <c r="M284">
        <v>3.6129921181386904E-3</v>
      </c>
      <c r="N284">
        <v>0.33392811589882948</v>
      </c>
      <c r="O284">
        <v>0.23186973306375275</v>
      </c>
      <c r="P284">
        <v>1.2612252940192567E-2</v>
      </c>
      <c r="Q284">
        <v>1.5299398479680256E-3</v>
      </c>
      <c r="R284">
        <v>3.6067859720595764E-3</v>
      </c>
      <c r="S284">
        <v>0.3468537171864462</v>
      </c>
      <c r="T284">
        <v>0.3893828424619093</v>
      </c>
      <c r="U284">
        <v>0</v>
      </c>
      <c r="V284">
        <v>0.19424660185522349</v>
      </c>
      <c r="W284">
        <v>0.21388640819947446</v>
      </c>
      <c r="X284">
        <v>5.0493966285268387E-2</v>
      </c>
      <c r="Y284">
        <v>9.8164824392700228E-3</v>
      </c>
    </row>
    <row r="285" spans="1:25" x14ac:dyDescent="0.25">
      <c r="A285" s="1083"/>
      <c r="B285" s="1455">
        <v>35</v>
      </c>
      <c r="C285" s="1087">
        <v>1.0051408390038454</v>
      </c>
      <c r="D285" s="1087">
        <v>1.0145207517151378</v>
      </c>
      <c r="E285" s="1087">
        <v>1.0179636758370594</v>
      </c>
      <c r="F285" s="1087">
        <v>0.97765790320267398</v>
      </c>
      <c r="G285" s="1087">
        <v>1.0270494321055976</v>
      </c>
      <c r="H285" s="1087">
        <v>0.98750529662671727</v>
      </c>
      <c r="I285" s="1087">
        <v>0.98994120529708485</v>
      </c>
      <c r="K285">
        <v>1.8155496629161172</v>
      </c>
      <c r="L285">
        <v>0</v>
      </c>
      <c r="M285">
        <v>3.4173784838686578E-3</v>
      </c>
      <c r="N285">
        <v>0.34274978708824805</v>
      </c>
      <c r="O285">
        <v>0.23433118339876394</v>
      </c>
      <c r="P285">
        <v>1.3069605013769577E-2</v>
      </c>
      <c r="Q285">
        <v>1.5966772815662741E-3</v>
      </c>
      <c r="R285">
        <v>3.4114196107596618E-3</v>
      </c>
      <c r="S285">
        <v>0.35477726927182879</v>
      </c>
      <c r="T285">
        <v>0.3938037922949888</v>
      </c>
      <c r="U285">
        <v>0</v>
      </c>
      <c r="V285">
        <v>0.19664606697147777</v>
      </c>
      <c r="W285">
        <v>0.21590330834191321</v>
      </c>
      <c r="X285">
        <v>5.3393172520352979E-2</v>
      </c>
      <c r="Y285">
        <v>9.2847596063153487E-3</v>
      </c>
    </row>
    <row r="286" spans="1:25" x14ac:dyDescent="0.25">
      <c r="A286" s="1083"/>
      <c r="B286" s="1455">
        <v>36</v>
      </c>
      <c r="C286" s="1087">
        <v>0.98114610230409149</v>
      </c>
      <c r="D286" s="1087">
        <v>0.99556247780482732</v>
      </c>
      <c r="E286" s="1087">
        <v>0.98910274581909574</v>
      </c>
      <c r="F286" s="1087">
        <v>0.9828553482800978</v>
      </c>
      <c r="G286" s="1087">
        <v>0.98060456934375828</v>
      </c>
      <c r="H286" s="1087">
        <v>1.0320852432882013</v>
      </c>
      <c r="I286" s="1087">
        <v>1.0173414944101835</v>
      </c>
      <c r="K286">
        <v>1.8899039780673439</v>
      </c>
      <c r="L286">
        <v>0</v>
      </c>
      <c r="M286">
        <v>3.9210945680501728E-3</v>
      </c>
      <c r="N286">
        <v>0.36015176652255754</v>
      </c>
      <c r="O286">
        <v>0.23925984677382089</v>
      </c>
      <c r="P286">
        <v>1.3285785073097701E-2</v>
      </c>
      <c r="Q286">
        <v>1.5982894748091333E-3</v>
      </c>
      <c r="R286">
        <v>3.9145694653245468E-3</v>
      </c>
      <c r="S286">
        <v>0.38547816649513417</v>
      </c>
      <c r="T286">
        <v>0.39572503907250328</v>
      </c>
      <c r="U286">
        <v>0</v>
      </c>
      <c r="V286">
        <v>0.20048601954428436</v>
      </c>
      <c r="W286">
        <v>0.23098229449036184</v>
      </c>
      <c r="X286">
        <v>5.2289128076363579E-2</v>
      </c>
      <c r="Y286">
        <v>1.0654167647135986E-2</v>
      </c>
    </row>
    <row r="287" spans="1:25" x14ac:dyDescent="0.25">
      <c r="A287" s="1083"/>
      <c r="B287" s="1455">
        <v>37</v>
      </c>
      <c r="C287" s="1087">
        <v>1.0350564528855675</v>
      </c>
      <c r="D287" s="1087">
        <v>0.98045972357581912</v>
      </c>
      <c r="E287" s="1087">
        <v>0.9805980841055747</v>
      </c>
      <c r="F287" s="1087">
        <v>1.0016806615241822</v>
      </c>
      <c r="G287" s="1087">
        <v>1.0053430521661855</v>
      </c>
      <c r="H287" s="1087">
        <v>0.99577620884778817</v>
      </c>
      <c r="I287" s="1087">
        <v>0.96105913732839865</v>
      </c>
      <c r="K287">
        <v>1.7948613490168783</v>
      </c>
      <c r="L287">
        <v>0</v>
      </c>
      <c r="M287">
        <v>3.6791953812336264E-3</v>
      </c>
      <c r="N287">
        <v>0.32924737338926935</v>
      </c>
      <c r="O287">
        <v>0.23646418432878483</v>
      </c>
      <c r="P287">
        <v>1.2670761271423959E-2</v>
      </c>
      <c r="Q287">
        <v>1.5104760503593878E-3</v>
      </c>
      <c r="R287">
        <v>3.6728632538616229E-3</v>
      </c>
      <c r="S287">
        <v>0.34185586428381154</v>
      </c>
      <c r="T287">
        <v>0.40325357985708393</v>
      </c>
      <c r="U287">
        <v>0</v>
      </c>
      <c r="V287">
        <v>0.19717804187133606</v>
      </c>
      <c r="W287">
        <v>0.21229988655127174</v>
      </c>
      <c r="X287">
        <v>5.0391190522943392E-2</v>
      </c>
      <c r="Y287">
        <v>9.996323017965103E-3</v>
      </c>
    </row>
    <row r="288" spans="1:25" x14ac:dyDescent="0.25">
      <c r="A288" s="1083"/>
      <c r="B288" s="1455">
        <v>38</v>
      </c>
      <c r="C288" s="1087">
        <v>0.99554619245273956</v>
      </c>
      <c r="D288" s="1087">
        <v>0.97355013739420859</v>
      </c>
      <c r="E288" s="1087">
        <v>1.0004377666160873</v>
      </c>
      <c r="F288" s="1087">
        <v>1.0253616169655326</v>
      </c>
      <c r="G288" s="1087">
        <v>0.99707020702976235</v>
      </c>
      <c r="H288" s="1087">
        <v>0.97285499157567445</v>
      </c>
      <c r="I288" s="1087">
        <v>0.99848396372150972</v>
      </c>
      <c r="K288">
        <v>1.8679836653498993</v>
      </c>
      <c r="L288">
        <v>0</v>
      </c>
      <c r="M288">
        <v>3.6029913319314088E-3</v>
      </c>
      <c r="N288">
        <v>0.34255342312163917</v>
      </c>
      <c r="O288">
        <v>0.24498363606830148</v>
      </c>
      <c r="P288">
        <v>1.3424076996798177E-2</v>
      </c>
      <c r="Q288">
        <v>1.6086870218737449E-3</v>
      </c>
      <c r="R288">
        <v>3.5966514327160711E-3</v>
      </c>
      <c r="S288">
        <v>0.36674174945683302</v>
      </c>
      <c r="T288">
        <v>0.4129094107914506</v>
      </c>
      <c r="U288">
        <v>0</v>
      </c>
      <c r="V288">
        <v>0.20387528989514753</v>
      </c>
      <c r="W288">
        <v>0.21813907798997945</v>
      </c>
      <c r="X288">
        <v>5.3965754343063638E-2</v>
      </c>
      <c r="Y288">
        <v>9.7888995640269972E-3</v>
      </c>
    </row>
    <row r="289" spans="1:25" x14ac:dyDescent="0.25">
      <c r="A289" s="1083"/>
      <c r="B289" s="1455">
        <v>39</v>
      </c>
      <c r="C289" s="1087">
        <v>0.99276298288272569</v>
      </c>
      <c r="D289" s="1087">
        <v>0.96517423286427317</v>
      </c>
      <c r="E289" s="1087">
        <v>0.9919545250495031</v>
      </c>
      <c r="F289" s="1087">
        <v>1.0000864388057868</v>
      </c>
      <c r="G289" s="1087">
        <v>0.96998274207928548</v>
      </c>
      <c r="H289" s="1087">
        <v>0.98828941541433657</v>
      </c>
      <c r="I289" s="1087">
        <v>1.0057036176872884</v>
      </c>
      <c r="K289">
        <v>1.8712253035862807</v>
      </c>
      <c r="L289">
        <v>0</v>
      </c>
      <c r="M289">
        <v>3.7515937690420207E-3</v>
      </c>
      <c r="N289">
        <v>0.3475741129820506</v>
      </c>
      <c r="O289">
        <v>0.24302955957321196</v>
      </c>
      <c r="P289">
        <v>1.3292021289325754E-2</v>
      </c>
      <c r="Q289">
        <v>1.604186591927295E-3</v>
      </c>
      <c r="R289">
        <v>3.7451024800817805E-3</v>
      </c>
      <c r="S289">
        <v>0.37497985010928181</v>
      </c>
      <c r="T289">
        <v>0.4026799216821475</v>
      </c>
      <c r="U289">
        <v>0</v>
      </c>
      <c r="V289">
        <v>0.20238859692486763</v>
      </c>
      <c r="W289">
        <v>0.22251596468988485</v>
      </c>
      <c r="X289">
        <v>5.2974646654461797E-2</v>
      </c>
      <c r="Y289">
        <v>1.0192934378081851E-2</v>
      </c>
    </row>
    <row r="290" spans="1:25" x14ac:dyDescent="0.25">
      <c r="A290" s="1083"/>
      <c r="B290" s="1455">
        <v>40</v>
      </c>
      <c r="C290" s="1087">
        <v>1.0246388142448619</v>
      </c>
      <c r="D290" s="1087">
        <v>1.0199959972608454</v>
      </c>
      <c r="E290" s="1087">
        <v>1.0117495995484878</v>
      </c>
      <c r="F290" s="1087">
        <v>1.014642217965575</v>
      </c>
      <c r="G290" s="1087">
        <v>0.98178725770237518</v>
      </c>
      <c r="H290" s="1087">
        <v>1.0035563867242987</v>
      </c>
      <c r="I290" s="1087">
        <v>0.97422474383308444</v>
      </c>
      <c r="K290">
        <v>1.8153328297753202</v>
      </c>
      <c r="L290">
        <v>0</v>
      </c>
      <c r="M290">
        <v>3.4392836123419224E-3</v>
      </c>
      <c r="N290">
        <v>0.33848279926928987</v>
      </c>
      <c r="O290">
        <v>0.23564509502167136</v>
      </c>
      <c r="P290">
        <v>1.3077995115004758E-2</v>
      </c>
      <c r="Q290">
        <v>1.5526890575475161E-3</v>
      </c>
      <c r="R290">
        <v>3.4333759137271163E-3</v>
      </c>
      <c r="S290">
        <v>0.34409635130863098</v>
      </c>
      <c r="T290">
        <v>0.40866259148219941</v>
      </c>
      <c r="U290">
        <v>0</v>
      </c>
      <c r="V290">
        <v>0.1974116075732196</v>
      </c>
      <c r="W290">
        <v>0.21403570924311202</v>
      </c>
      <c r="X290">
        <v>5.3029381978160789E-2</v>
      </c>
      <c r="Y290">
        <v>9.3445174250994332E-3</v>
      </c>
    </row>
    <row r="291" spans="1:25" x14ac:dyDescent="0.25">
      <c r="A291" s="1083"/>
      <c r="B291" s="1455">
        <v>41</v>
      </c>
      <c r="C291" s="1087">
        <v>0.97039514749155242</v>
      </c>
      <c r="D291" s="1087">
        <v>1.0124427914165535</v>
      </c>
      <c r="E291" s="1087">
        <v>0.97210421214004483</v>
      </c>
      <c r="F291" s="1087">
        <v>0.99120210427684452</v>
      </c>
      <c r="G291" s="1087">
        <v>0.993476441734502</v>
      </c>
      <c r="H291" s="1087">
        <v>0.96636848489650828</v>
      </c>
      <c r="I291" s="1087">
        <v>0.99741174091286056</v>
      </c>
      <c r="K291">
        <v>1.8289529973937193</v>
      </c>
      <c r="L291">
        <v>0</v>
      </c>
      <c r="M291">
        <v>3.808690553851894E-3</v>
      </c>
      <c r="N291">
        <v>0.33207967180698739</v>
      </c>
      <c r="O291">
        <v>0.23969945705182186</v>
      </c>
      <c r="P291">
        <v>1.2914466760079759E-2</v>
      </c>
      <c r="Q291">
        <v>1.5760635382180747E-3</v>
      </c>
      <c r="R291">
        <v>3.8019062380353491E-3</v>
      </c>
      <c r="S291">
        <v>0.36623480058434732</v>
      </c>
      <c r="T291">
        <v>0.39898501095470906</v>
      </c>
      <c r="U291">
        <v>0</v>
      </c>
      <c r="V291">
        <v>0.20142044059399403</v>
      </c>
      <c r="W291">
        <v>0.21528615176726784</v>
      </c>
      <c r="X291">
        <v>5.0416183170232338E-2</v>
      </c>
      <c r="Y291">
        <v>1.0347535481877683E-2</v>
      </c>
    </row>
    <row r="292" spans="1:25" x14ac:dyDescent="0.25">
      <c r="A292" s="1083"/>
      <c r="B292" s="1455">
        <v>42</v>
      </c>
      <c r="C292" s="1087">
        <v>0.99718043015617364</v>
      </c>
      <c r="D292" s="1087">
        <v>0.98614469852244235</v>
      </c>
      <c r="E292" s="1087">
        <v>1.0131273736460142</v>
      </c>
      <c r="F292" s="1087">
        <v>1.0103111485093899</v>
      </c>
      <c r="G292" s="1087">
        <v>0.99265772242367467</v>
      </c>
      <c r="H292" s="1087">
        <v>1.0107443904418378</v>
      </c>
      <c r="I292" s="1087">
        <v>1.020831340768654</v>
      </c>
      <c r="K292">
        <v>1.892547367189245</v>
      </c>
      <c r="L292">
        <v>0</v>
      </c>
      <c r="M292">
        <v>3.6160050050006876E-3</v>
      </c>
      <c r="N292">
        <v>0.35738070469503413</v>
      </c>
      <c r="O292">
        <v>0.2418896856895299</v>
      </c>
      <c r="P292">
        <v>1.3607268694052904E-2</v>
      </c>
      <c r="Q292">
        <v>1.6194897216672451E-3</v>
      </c>
      <c r="R292">
        <v>3.6098694735703981E-3</v>
      </c>
      <c r="S292">
        <v>0.37890749116894568</v>
      </c>
      <c r="T292">
        <v>0.40692669565443074</v>
      </c>
      <c r="U292">
        <v>0</v>
      </c>
      <c r="V292">
        <v>0.20178240893720453</v>
      </c>
      <c r="W292">
        <v>0.22579293090551886</v>
      </c>
      <c r="X292">
        <v>5.4821952540383904E-2</v>
      </c>
      <c r="Y292">
        <v>9.8248747139064781E-3</v>
      </c>
    </row>
    <row r="293" spans="1:25" x14ac:dyDescent="0.25">
      <c r="A293" s="1083"/>
      <c r="B293" s="1455">
        <v>43</v>
      </c>
      <c r="C293" s="1087">
        <v>0.98596164605423564</v>
      </c>
      <c r="D293" s="1087">
        <v>0.97542959764294834</v>
      </c>
      <c r="E293" s="1087">
        <v>1.0362459440436667</v>
      </c>
      <c r="F293" s="1087">
        <v>0.99440243044109666</v>
      </c>
      <c r="G293" s="1087">
        <v>0.99816979498852321</v>
      </c>
      <c r="H293" s="1087">
        <v>1.0263887718695612</v>
      </c>
      <c r="I293" s="1087">
        <v>0.97423148952199412</v>
      </c>
      <c r="K293">
        <v>1.9122785776534608</v>
      </c>
      <c r="L293">
        <v>0</v>
      </c>
      <c r="M293">
        <v>3.5620954570952244E-3</v>
      </c>
      <c r="N293">
        <v>0.37775013549319425</v>
      </c>
      <c r="O293">
        <v>0.24276946809584016</v>
      </c>
      <c r="P293">
        <v>1.3648340295664606E-2</v>
      </c>
      <c r="Q293">
        <v>1.6855954699071911E-3</v>
      </c>
      <c r="R293">
        <v>3.5561518791167278E-3</v>
      </c>
      <c r="S293">
        <v>0.37103871710186903</v>
      </c>
      <c r="T293">
        <v>0.40066078534632787</v>
      </c>
      <c r="U293">
        <v>0</v>
      </c>
      <c r="V293">
        <v>0.20233625350313608</v>
      </c>
      <c r="W293">
        <v>0.23530191630830435</v>
      </c>
      <c r="X293">
        <v>5.741463648739089E-2</v>
      </c>
      <c r="Y293">
        <v>9.6786731298038383E-3</v>
      </c>
    </row>
    <row r="294" spans="1:25" x14ac:dyDescent="0.25">
      <c r="A294" s="1083"/>
      <c r="B294" s="1455">
        <v>44</v>
      </c>
      <c r="C294" s="1087">
        <v>1.0177787875677495</v>
      </c>
      <c r="D294" s="1087">
        <v>0.98524962112060022</v>
      </c>
      <c r="E294" s="1087">
        <v>0.98592281740107846</v>
      </c>
      <c r="F294" s="1087">
        <v>1.030713611888022</v>
      </c>
      <c r="G294" s="1087">
        <v>0.98736510818581458</v>
      </c>
      <c r="H294" s="1087">
        <v>1.0209856492459952</v>
      </c>
      <c r="I294" s="1087">
        <v>1.0392348903835227</v>
      </c>
      <c r="K294">
        <v>1.8802602392955186</v>
      </c>
      <c r="L294">
        <v>0</v>
      </c>
      <c r="M294">
        <v>3.7848227734363126E-3</v>
      </c>
      <c r="N294">
        <v>0.34426958468924329</v>
      </c>
      <c r="O294">
        <v>0.24144466000472406</v>
      </c>
      <c r="P294">
        <v>1.3445221320301688E-2</v>
      </c>
      <c r="Q294">
        <v>1.5419258548490147E-3</v>
      </c>
      <c r="R294">
        <v>3.7784651338283112E-3</v>
      </c>
      <c r="S294">
        <v>0.3796841898259905</v>
      </c>
      <c r="T294">
        <v>0.41497443203353129</v>
      </c>
      <c r="U294">
        <v>0</v>
      </c>
      <c r="V294">
        <v>0.2011992205842317</v>
      </c>
      <c r="W294">
        <v>0.22123959199487739</v>
      </c>
      <c r="X294">
        <v>5.2184034103795171E-2</v>
      </c>
      <c r="Y294">
        <v>1.0283736523584051E-2</v>
      </c>
    </row>
    <row r="295" spans="1:25" x14ac:dyDescent="0.25">
      <c r="A295" s="1083"/>
      <c r="B295" s="1455">
        <v>45</v>
      </c>
      <c r="C295" s="1087">
        <v>1.0171511682250323</v>
      </c>
      <c r="D295" s="1087">
        <v>1.0120156110135365</v>
      </c>
      <c r="E295" s="1087">
        <v>1.0011278384569338</v>
      </c>
      <c r="F295" s="1087">
        <v>0.97684275705742762</v>
      </c>
      <c r="G295" s="1087">
        <v>1.042335137195439</v>
      </c>
      <c r="H295" s="1087">
        <v>0.99934624622373902</v>
      </c>
      <c r="I295" s="1087">
        <v>0.99943712743942126</v>
      </c>
      <c r="K295">
        <v>1.8058894100465157</v>
      </c>
      <c r="L295">
        <v>0</v>
      </c>
      <c r="M295">
        <v>3.5420594605130602E-3</v>
      </c>
      <c r="N295">
        <v>0.33748277922551723</v>
      </c>
      <c r="O295">
        <v>0.23282889596503537</v>
      </c>
      <c r="P295">
        <v>1.2905776555922515E-2</v>
      </c>
      <c r="Q295">
        <v>1.551440533554676E-3</v>
      </c>
      <c r="R295">
        <v>3.5359582838394329E-3</v>
      </c>
      <c r="S295">
        <v>0.35633914727909088</v>
      </c>
      <c r="T295">
        <v>0.39337512828091287</v>
      </c>
      <c r="U295">
        <v>0</v>
      </c>
      <c r="V295">
        <v>0.19535169319888185</v>
      </c>
      <c r="W295">
        <v>0.21481748748601862</v>
      </c>
      <c r="X295">
        <v>5.1619449877980256E-2</v>
      </c>
      <c r="Y295">
        <v>9.623712820275937E-3</v>
      </c>
    </row>
    <row r="296" spans="1:25" x14ac:dyDescent="0.25">
      <c r="A296" s="1083"/>
      <c r="B296" s="1455">
        <v>46</v>
      </c>
      <c r="C296" s="1087">
        <v>1.0000897686512427</v>
      </c>
      <c r="D296" s="1087">
        <v>0.9811270869738915</v>
      </c>
      <c r="E296" s="1087">
        <v>0.98642479348987222</v>
      </c>
      <c r="F296" s="1087">
        <v>0.97562302668209677</v>
      </c>
      <c r="G296" s="1087">
        <v>1.0127232909223194</v>
      </c>
      <c r="H296" s="1087">
        <v>1.0148578307264975</v>
      </c>
      <c r="I296" s="1087">
        <v>1.0104628062833085</v>
      </c>
      <c r="K296">
        <v>1.854359706566177</v>
      </c>
      <c r="L296">
        <v>0</v>
      </c>
      <c r="M296">
        <v>3.8332839390943806E-3</v>
      </c>
      <c r="N296">
        <v>0.34920950143477736</v>
      </c>
      <c r="O296">
        <v>0.23747976038348678</v>
      </c>
      <c r="P296">
        <v>1.3057780525824925E-2</v>
      </c>
      <c r="Q296">
        <v>1.5726796840088515E-3</v>
      </c>
      <c r="R296">
        <v>3.826809625117355E-3</v>
      </c>
      <c r="S296">
        <v>0.37544292090982551</v>
      </c>
      <c r="T296">
        <v>0.39279741233981008</v>
      </c>
      <c r="U296">
        <v>0</v>
      </c>
      <c r="V296">
        <v>0.19855175407042136</v>
      </c>
      <c r="W296">
        <v>0.22434304168190583</v>
      </c>
      <c r="X296">
        <v>5.1496015557978267E-2</v>
      </c>
      <c r="Y296">
        <v>1.0415314292115558E-2</v>
      </c>
    </row>
    <row r="297" spans="1:25" x14ac:dyDescent="0.25">
      <c r="A297" s="1083"/>
      <c r="B297" s="1455">
        <v>47</v>
      </c>
      <c r="C297" s="1087">
        <v>1.0035271188421377</v>
      </c>
      <c r="D297" s="1087">
        <v>1.0122678405881904</v>
      </c>
      <c r="E297" s="1087">
        <v>1.0017064947658427</v>
      </c>
      <c r="F297" s="1087">
        <v>0.98933073130015503</v>
      </c>
      <c r="G297" s="1087">
        <v>0.99635396469635684</v>
      </c>
      <c r="H297" s="1087">
        <v>1.0152334499395694</v>
      </c>
      <c r="I297" s="1087">
        <v>1.0292291024623184</v>
      </c>
      <c r="K297">
        <v>1.8531294549282429</v>
      </c>
      <c r="L297">
        <v>0</v>
      </c>
      <c r="M297">
        <v>3.6425526512371235E-3</v>
      </c>
      <c r="N297">
        <v>0.3476803683258935</v>
      </c>
      <c r="O297">
        <v>0.23588400835148474</v>
      </c>
      <c r="P297">
        <v>1.3266875213603478E-2</v>
      </c>
      <c r="Q297">
        <v>1.5733155049701131E-3</v>
      </c>
      <c r="R297">
        <v>3.6363765767199936E-3</v>
      </c>
      <c r="S297">
        <v>0.37484195362869299</v>
      </c>
      <c r="T297">
        <v>0.39840751480234876</v>
      </c>
      <c r="U297">
        <v>0</v>
      </c>
      <c r="V297">
        <v>0.19783923787634777</v>
      </c>
      <c r="W297">
        <v>0.22122862991084385</v>
      </c>
      <c r="X297">
        <v>5.2516709077957788E-2</v>
      </c>
      <c r="Y297">
        <v>9.8970183106154748E-3</v>
      </c>
    </row>
    <row r="298" spans="1:25" x14ac:dyDescent="0.25">
      <c r="A298" s="1083"/>
      <c r="B298" s="1455">
        <v>48</v>
      </c>
      <c r="C298" s="1087">
        <v>1.0069547037697637</v>
      </c>
      <c r="D298" s="1087">
        <v>1.0221801995846722</v>
      </c>
      <c r="E298" s="1087">
        <v>1.0120211897502061</v>
      </c>
      <c r="F298" s="1087">
        <v>1.0327587503615416</v>
      </c>
      <c r="G298" s="1087">
        <v>1.0183673739670924</v>
      </c>
      <c r="H298" s="1087">
        <v>0.99554004643062433</v>
      </c>
      <c r="I298" s="1087">
        <v>1.0223218128672189</v>
      </c>
      <c r="K298">
        <v>1.8574615285012903</v>
      </c>
      <c r="L298">
        <v>0</v>
      </c>
      <c r="M298">
        <v>3.4658740725616029E-3</v>
      </c>
      <c r="N298">
        <v>0.34137742915240166</v>
      </c>
      <c r="O298">
        <v>0.23960373062541601</v>
      </c>
      <c r="P298">
        <v>1.3521250755655426E-2</v>
      </c>
      <c r="Q298">
        <v>1.5790601670104395E-3</v>
      </c>
      <c r="R298">
        <v>3.4598711065539985E-3</v>
      </c>
      <c r="S298">
        <v>0.36554048886895074</v>
      </c>
      <c r="T298">
        <v>0.41596101433673632</v>
      </c>
      <c r="U298">
        <v>0</v>
      </c>
      <c r="V298">
        <v>0.20067510665775373</v>
      </c>
      <c r="W298">
        <v>0.21582979228134785</v>
      </c>
      <c r="X298">
        <v>5.3963030016188671E-2</v>
      </c>
      <c r="Y298">
        <v>9.4166286058362351E-3</v>
      </c>
    </row>
    <row r="299" spans="1:25" x14ac:dyDescent="0.25">
      <c r="A299" s="1083"/>
      <c r="B299" s="1455">
        <v>49</v>
      </c>
      <c r="C299" s="1087">
        <v>0.99703597036280422</v>
      </c>
      <c r="D299" s="1087">
        <v>0.99455166992461486</v>
      </c>
      <c r="E299" s="1087">
        <v>0.97043076844335663</v>
      </c>
      <c r="F299" s="1087">
        <v>0.99116907127838139</v>
      </c>
      <c r="G299" s="1087">
        <v>0.99363437202103877</v>
      </c>
      <c r="H299" s="1087">
        <v>0.99811739591880899</v>
      </c>
      <c r="I299" s="1087">
        <v>1.0039374047323617</v>
      </c>
      <c r="K299">
        <v>1.8345842213405197</v>
      </c>
      <c r="L299">
        <v>0</v>
      </c>
      <c r="M299">
        <v>3.8788612991928063E-3</v>
      </c>
      <c r="N299">
        <v>0.33649206498375261</v>
      </c>
      <c r="O299">
        <v>0.23816517420277761</v>
      </c>
      <c r="P299">
        <v>1.2896312707737664E-2</v>
      </c>
      <c r="Q299">
        <v>1.5421361176998776E-3</v>
      </c>
      <c r="R299">
        <v>3.8721883023411278E-3</v>
      </c>
      <c r="S299">
        <v>0.36812729828443075</v>
      </c>
      <c r="T299">
        <v>0.3989618730278916</v>
      </c>
      <c r="U299">
        <v>0</v>
      </c>
      <c r="V299">
        <v>0.19942899392707877</v>
      </c>
      <c r="W299">
        <v>0.21837991203581994</v>
      </c>
      <c r="X299">
        <v>5.0058308957742131E-2</v>
      </c>
      <c r="Y299">
        <v>1.0538820092441739E-2</v>
      </c>
    </row>
    <row r="300" spans="1:25" x14ac:dyDescent="0.25">
      <c r="A300" s="1083"/>
      <c r="B300" s="1455">
        <v>50</v>
      </c>
      <c r="C300" s="1087">
        <v>1.0102855742241752</v>
      </c>
      <c r="D300" s="1087">
        <v>1.0127447789688102</v>
      </c>
      <c r="E300" s="1087">
        <v>0.97562125591952342</v>
      </c>
      <c r="F300" s="1087">
        <v>1.0355473707211076</v>
      </c>
      <c r="G300" s="1087">
        <v>1.0129233542345111</v>
      </c>
      <c r="H300" s="1087">
        <v>1.0286462219821306</v>
      </c>
      <c r="I300" s="1087">
        <v>0.96992400588935457</v>
      </c>
      <c r="K300">
        <v>1.8472100862856979</v>
      </c>
      <c r="L300">
        <v>0</v>
      </c>
      <c r="M300">
        <v>3.8643478465613338E-3</v>
      </c>
      <c r="N300">
        <v>0.34061174476472816</v>
      </c>
      <c r="O300">
        <v>0.23993585832698361</v>
      </c>
      <c r="P300">
        <v>1.3000293137699752E-2</v>
      </c>
      <c r="Q300">
        <v>1.5194142408092948E-3</v>
      </c>
      <c r="R300">
        <v>3.8578786954454988E-3</v>
      </c>
      <c r="S300">
        <v>0.35276478504245184</v>
      </c>
      <c r="T300">
        <v>0.41685680257562685</v>
      </c>
      <c r="U300">
        <v>0</v>
      </c>
      <c r="V300">
        <v>0.20083806224492834</v>
      </c>
      <c r="W300">
        <v>0.22032310316460049</v>
      </c>
      <c r="X300">
        <v>5.0866617879352101E-2</v>
      </c>
      <c r="Y300">
        <v>1.0499874059632484E-2</v>
      </c>
    </row>
    <row r="301" spans="1:25" x14ac:dyDescent="0.25">
      <c r="A301" s="1083"/>
      <c r="B301" s="1455">
        <v>51</v>
      </c>
      <c r="C301" s="1087">
        <v>0.99487279381222093</v>
      </c>
      <c r="D301" s="1087">
        <v>0.98249823958902849</v>
      </c>
      <c r="E301" s="1087">
        <v>0.97005535876803206</v>
      </c>
      <c r="F301" s="1087">
        <v>0.95583526770926441</v>
      </c>
      <c r="G301" s="1087">
        <v>0.991550112253758</v>
      </c>
      <c r="H301" s="1087">
        <v>1.0280449715085396</v>
      </c>
      <c r="I301" s="1087">
        <v>0.97916117818723891</v>
      </c>
      <c r="K301">
        <v>1.8357844122404887</v>
      </c>
      <c r="L301">
        <v>0</v>
      </c>
      <c r="M301">
        <v>4.0319736229553352E-3</v>
      </c>
      <c r="N301">
        <v>0.34939155718678638</v>
      </c>
      <c r="O301">
        <v>0.23529164917795845</v>
      </c>
      <c r="P301">
        <v>1.2665658948842697E-2</v>
      </c>
      <c r="Q301">
        <v>1.55241480277121E-3</v>
      </c>
      <c r="R301">
        <v>4.0252482815245662E-3</v>
      </c>
      <c r="S301">
        <v>0.36758354469706728</v>
      </c>
      <c r="T301">
        <v>0.38473730785361671</v>
      </c>
      <c r="U301">
        <v>0</v>
      </c>
      <c r="V301">
        <v>0.19718200728555507</v>
      </c>
      <c r="W301">
        <v>0.22680595324797681</v>
      </c>
      <c r="X301">
        <v>4.962564548177259E-2</v>
      </c>
      <c r="Y301">
        <v>1.0955398899570484E-2</v>
      </c>
    </row>
    <row r="302" spans="1:25" x14ac:dyDescent="0.25">
      <c r="A302" s="1083"/>
      <c r="B302" s="1455">
        <v>52</v>
      </c>
      <c r="C302" s="1087">
        <v>1.0450307614365033</v>
      </c>
      <c r="D302" s="1087">
        <v>0.99933770152031753</v>
      </c>
      <c r="E302" s="1087">
        <v>1.0258054529913612</v>
      </c>
      <c r="F302" s="1087">
        <v>0.97841710769566448</v>
      </c>
      <c r="G302" s="1087">
        <v>1.0236975748921517</v>
      </c>
      <c r="H302" s="1087">
        <v>0.98580073025602022</v>
      </c>
      <c r="I302" s="1087">
        <v>1.0274568426488864</v>
      </c>
      <c r="K302">
        <v>1.7966743911876404</v>
      </c>
      <c r="L302">
        <v>0</v>
      </c>
      <c r="M302">
        <v>3.2548412712810251E-3</v>
      </c>
      <c r="N302">
        <v>0.33434167755198774</v>
      </c>
      <c r="O302">
        <v>0.23138406521382024</v>
      </c>
      <c r="P302">
        <v>1.3134764368578212E-2</v>
      </c>
      <c r="Q302">
        <v>1.5578395450138169E-3</v>
      </c>
      <c r="R302">
        <v>3.2491672424641454E-3</v>
      </c>
      <c r="S302">
        <v>0.35689361912240047</v>
      </c>
      <c r="T302">
        <v>0.39415680542780301</v>
      </c>
      <c r="U302">
        <v>0</v>
      </c>
      <c r="V302">
        <v>0.19345896562809056</v>
      </c>
      <c r="W302">
        <v>0.20959424248667807</v>
      </c>
      <c r="X302">
        <v>5.3314923725791268E-2</v>
      </c>
      <c r="Y302">
        <v>8.8431621462937877E-3</v>
      </c>
    </row>
    <row r="303" spans="1:25" x14ac:dyDescent="0.25">
      <c r="A303" s="1083"/>
      <c r="B303" s="1455">
        <v>53</v>
      </c>
      <c r="C303" s="1087">
        <v>0.99977538441526925</v>
      </c>
      <c r="D303" s="1087">
        <v>1.0213007084708337</v>
      </c>
      <c r="E303" s="1087">
        <v>1.0049526443671448</v>
      </c>
      <c r="F303" s="1087">
        <v>0.9966064407333991</v>
      </c>
      <c r="G303" s="1087">
        <v>1.0254414377650081</v>
      </c>
      <c r="H303" s="1087">
        <v>1.0029816933727407</v>
      </c>
      <c r="I303" s="1087">
        <v>0.98631355108759844</v>
      </c>
      <c r="K303">
        <v>1.8327261503669339</v>
      </c>
      <c r="L303">
        <v>0</v>
      </c>
      <c r="M303">
        <v>3.5709707409708855E-3</v>
      </c>
      <c r="N303">
        <v>0.34423249181509125</v>
      </c>
      <c r="O303">
        <v>0.23635476768598687</v>
      </c>
      <c r="P303">
        <v>1.309819289607014E-2</v>
      </c>
      <c r="Q303">
        <v>1.5790608623219426E-3</v>
      </c>
      <c r="R303">
        <v>3.5648343834014601E-3</v>
      </c>
      <c r="S303">
        <v>0.35666227319854377</v>
      </c>
      <c r="T303">
        <v>0.40135712116592243</v>
      </c>
      <c r="U303">
        <v>0</v>
      </c>
      <c r="V303">
        <v>0.1984142030072521</v>
      </c>
      <c r="W303">
        <v>0.21859204757961842</v>
      </c>
      <c r="X303">
        <v>5.2739824469414255E-2</v>
      </c>
      <c r="Y303">
        <v>9.7023040442801127E-3</v>
      </c>
    </row>
    <row r="304" spans="1:25" x14ac:dyDescent="0.25">
      <c r="A304" s="1083"/>
      <c r="B304" s="1455">
        <v>54</v>
      </c>
      <c r="C304" s="1087">
        <v>1.0126571411254752</v>
      </c>
      <c r="D304" s="1087">
        <v>0.96158495929350252</v>
      </c>
      <c r="E304" s="1087">
        <v>0.98113913882650439</v>
      </c>
      <c r="F304" s="1087">
        <v>0.99994696207734002</v>
      </c>
      <c r="G304" s="1087">
        <v>1.0158989909452532</v>
      </c>
      <c r="H304" s="1087">
        <v>1.0200154151899996</v>
      </c>
      <c r="I304" s="1087">
        <v>0.99977483952222335</v>
      </c>
      <c r="K304">
        <v>1.8658134167470559</v>
      </c>
      <c r="L304">
        <v>0</v>
      </c>
      <c r="M304">
        <v>3.8887362461638938E-3</v>
      </c>
      <c r="N304">
        <v>0.34859075439330833</v>
      </c>
      <c r="O304">
        <v>0.24082586195557118</v>
      </c>
      <c r="P304">
        <v>1.3113802569634585E-2</v>
      </c>
      <c r="Q304">
        <v>1.556844263138636E-3</v>
      </c>
      <c r="R304">
        <v>3.8822207290181549E-3</v>
      </c>
      <c r="S304">
        <v>0.37189055868267329</v>
      </c>
      <c r="T304">
        <v>0.4025588654257814</v>
      </c>
      <c r="U304">
        <v>0</v>
      </c>
      <c r="V304">
        <v>0.20038197661580393</v>
      </c>
      <c r="W304">
        <v>0.22469548992783162</v>
      </c>
      <c r="X304">
        <v>5.1639653379789929E-2</v>
      </c>
      <c r="Y304">
        <v>1.0566125050668042E-2</v>
      </c>
    </row>
    <row r="305" spans="1:25" x14ac:dyDescent="0.25">
      <c r="A305" s="1083"/>
      <c r="B305" s="1455">
        <v>55</v>
      </c>
      <c r="C305" s="1087">
        <v>1.0230033683440705</v>
      </c>
      <c r="D305" s="1087">
        <v>1.0059451797473011</v>
      </c>
      <c r="E305" s="1087">
        <v>0.95738372331935995</v>
      </c>
      <c r="F305" s="1087">
        <v>1.0098193668608964</v>
      </c>
      <c r="G305" s="1087">
        <v>0.99277069208306457</v>
      </c>
      <c r="H305" s="1087">
        <v>0.99829559511621457</v>
      </c>
      <c r="I305" s="1087">
        <v>0.98901004706272333</v>
      </c>
      <c r="K305">
        <v>1.7959905947680723</v>
      </c>
      <c r="L305">
        <v>0</v>
      </c>
      <c r="M305">
        <v>3.8582574712981901E-3</v>
      </c>
      <c r="N305">
        <v>0.32160533569304978</v>
      </c>
      <c r="O305">
        <v>0.23592519279392524</v>
      </c>
      <c r="P305">
        <v>1.2616189479154209E-2</v>
      </c>
      <c r="Q305">
        <v>1.4751139699160176E-3</v>
      </c>
      <c r="R305">
        <v>3.8516093427473481E-3</v>
      </c>
      <c r="S305">
        <v>0.35108409001046714</v>
      </c>
      <c r="T305">
        <v>0.40639118716911876</v>
      </c>
      <c r="U305">
        <v>0</v>
      </c>
      <c r="V305">
        <v>0.19760297284850756</v>
      </c>
      <c r="W305">
        <v>0.21047445070294402</v>
      </c>
      <c r="X305">
        <v>4.833989928125882E-2</v>
      </c>
      <c r="Y305">
        <v>1.0482810948279679E-2</v>
      </c>
    </row>
    <row r="306" spans="1:25" x14ac:dyDescent="0.25">
      <c r="A306" s="1083"/>
      <c r="B306" s="1455">
        <v>56</v>
      </c>
      <c r="C306" s="1087">
        <v>0.9557986795544704</v>
      </c>
      <c r="D306" s="1087">
        <v>0.99540459894313127</v>
      </c>
      <c r="E306" s="1087">
        <v>0.98470375571768209</v>
      </c>
      <c r="F306" s="1087">
        <v>0.98072736493122115</v>
      </c>
      <c r="G306" s="1087">
        <v>1.0081690803502468</v>
      </c>
      <c r="H306" s="1087">
        <v>1.0201833294419227</v>
      </c>
      <c r="I306" s="1087">
        <v>0.99292873942176685</v>
      </c>
      <c r="K306">
        <v>1.8998899191829319</v>
      </c>
      <c r="L306">
        <v>0</v>
      </c>
      <c r="M306">
        <v>4.0141042206000141E-3</v>
      </c>
      <c r="N306">
        <v>0.36376641346658106</v>
      </c>
      <c r="O306">
        <v>0.24208516919412618</v>
      </c>
      <c r="P306">
        <v>1.3244012544686479E-2</v>
      </c>
      <c r="Q306">
        <v>1.6330544118799933E-3</v>
      </c>
      <c r="R306">
        <v>4.0073452277794115E-3</v>
      </c>
      <c r="S306">
        <v>0.38390103371846451</v>
      </c>
      <c r="T306">
        <v>0.39484235831299791</v>
      </c>
      <c r="U306">
        <v>0</v>
      </c>
      <c r="V306">
        <v>0.20311155593796779</v>
      </c>
      <c r="W306">
        <v>0.23394904328212984</v>
      </c>
      <c r="X306">
        <v>5.2457364617901646E-2</v>
      </c>
      <c r="Y306">
        <v>1.0906672689016251E-2</v>
      </c>
    </row>
    <row r="307" spans="1:25" x14ac:dyDescent="0.25">
      <c r="A307" s="1083"/>
      <c r="B307" s="1455">
        <v>57</v>
      </c>
      <c r="C307" s="1087">
        <v>0.9677842644179443</v>
      </c>
      <c r="D307" s="1087">
        <v>1.0027308094532106</v>
      </c>
      <c r="E307" s="1087">
        <v>0.98245708274895316</v>
      </c>
      <c r="F307" s="1087">
        <v>1.0115697150330711</v>
      </c>
      <c r="G307" s="1087">
        <v>1.0004860269218305</v>
      </c>
      <c r="H307" s="1087">
        <v>0.98066448712342891</v>
      </c>
      <c r="I307" s="1087">
        <v>1.0008162167718613</v>
      </c>
      <c r="K307">
        <v>1.8699548516092939</v>
      </c>
      <c r="L307">
        <v>0</v>
      </c>
      <c r="M307">
        <v>3.8145282589160507E-3</v>
      </c>
      <c r="N307">
        <v>0.34329192795209257</v>
      </c>
      <c r="O307">
        <v>0.24357835836061487</v>
      </c>
      <c r="P307">
        <v>1.3257924086240512E-2</v>
      </c>
      <c r="Q307">
        <v>1.6042278622467585E-3</v>
      </c>
      <c r="R307">
        <v>3.8078419467710029E-3</v>
      </c>
      <c r="S307">
        <v>0.37325153262041416</v>
      </c>
      <c r="T307">
        <v>0.40724592818629002</v>
      </c>
      <c r="U307">
        <v>0</v>
      </c>
      <c r="V307">
        <v>0.20406375184633851</v>
      </c>
      <c r="W307">
        <v>0.22109529905704803</v>
      </c>
      <c r="X307">
        <v>5.2208897425801856E-2</v>
      </c>
      <c r="Y307">
        <v>1.0363690524350273E-2</v>
      </c>
    </row>
    <row r="308" spans="1:25" x14ac:dyDescent="0.25">
      <c r="A308" s="1083"/>
      <c r="B308" s="1455">
        <v>58</v>
      </c>
      <c r="C308" s="1087">
        <v>0.99820665557108768</v>
      </c>
      <c r="D308" s="1087">
        <v>1.0131584320355169</v>
      </c>
      <c r="E308" s="1087">
        <v>1.0220159649872187</v>
      </c>
      <c r="F308" s="1087">
        <v>1.0135805535536055</v>
      </c>
      <c r="G308" s="1087">
        <v>1.0170956246067779</v>
      </c>
      <c r="H308" s="1087">
        <v>0.97660006122901966</v>
      </c>
      <c r="I308" s="1087">
        <v>1.0367801850235028</v>
      </c>
      <c r="K308">
        <v>1.8584652548262619</v>
      </c>
      <c r="L308">
        <v>0</v>
      </c>
      <c r="M308">
        <v>3.377301625134384E-3</v>
      </c>
      <c r="N308">
        <v>0.34293232761817799</v>
      </c>
      <c r="O308">
        <v>0.23955537326524159</v>
      </c>
      <c r="P308">
        <v>1.3608377872010838E-2</v>
      </c>
      <c r="Q308">
        <v>1.6155228259996856E-3</v>
      </c>
      <c r="R308">
        <v>3.3713478424049247E-3</v>
      </c>
      <c r="S308">
        <v>0.37242409955406031</v>
      </c>
      <c r="T308">
        <v>0.40829878951822546</v>
      </c>
      <c r="U308">
        <v>0</v>
      </c>
      <c r="V308">
        <v>0.2005532855232684</v>
      </c>
      <c r="W308">
        <v>0.21548015792576025</v>
      </c>
      <c r="X308">
        <v>5.4827577043735261E-2</v>
      </c>
      <c r="Y308">
        <v>9.1756974625086408E-3</v>
      </c>
    </row>
    <row r="309" spans="1:25" x14ac:dyDescent="0.25">
      <c r="A309" s="1083"/>
      <c r="B309" s="1455">
        <v>59</v>
      </c>
      <c r="C309" s="1087">
        <v>1.00653058740739</v>
      </c>
      <c r="D309" s="1087">
        <v>1.0070650832703514</v>
      </c>
      <c r="E309" s="1087">
        <v>1.0085398622493755</v>
      </c>
      <c r="F309" s="1087">
        <v>0.97264823992555272</v>
      </c>
      <c r="G309" s="1087">
        <v>0.99666973700914119</v>
      </c>
      <c r="H309" s="1087">
        <v>0.98224988441818484</v>
      </c>
      <c r="I309" s="1087">
        <v>0.95727598992142737</v>
      </c>
      <c r="K309">
        <v>1.7946268377000494</v>
      </c>
      <c r="L309">
        <v>0</v>
      </c>
      <c r="M309">
        <v>3.4744428772998399E-3</v>
      </c>
      <c r="N309">
        <v>0.33860110552943867</v>
      </c>
      <c r="O309">
        <v>0.23415122146914386</v>
      </c>
      <c r="P309">
        <v>1.2785305670627979E-2</v>
      </c>
      <c r="Q309">
        <v>1.5833140531274557E-3</v>
      </c>
      <c r="R309">
        <v>3.4683582434618518E-3</v>
      </c>
      <c r="S309">
        <v>0.34298799026848259</v>
      </c>
      <c r="T309">
        <v>0.39172982584154625</v>
      </c>
      <c r="U309">
        <v>0</v>
      </c>
      <c r="V309">
        <v>0.19639072258653065</v>
      </c>
      <c r="W309">
        <v>0.21453708508825692</v>
      </c>
      <c r="X309">
        <v>5.2426624032015867E-2</v>
      </c>
      <c r="Y309">
        <v>9.4397277947154846E-3</v>
      </c>
    </row>
    <row r="310" spans="1:25" x14ac:dyDescent="0.25">
      <c r="A310" s="1083"/>
      <c r="B310" s="1455">
        <v>60</v>
      </c>
      <c r="C310" s="1087">
        <v>1.0256349442905683</v>
      </c>
      <c r="D310" s="1087">
        <v>0.99647846892362024</v>
      </c>
      <c r="E310" s="1087">
        <v>0.96782902981838392</v>
      </c>
      <c r="F310" s="1087">
        <v>1.0170428782182837</v>
      </c>
      <c r="G310" s="1087">
        <v>1.0264406779851685</v>
      </c>
      <c r="H310" s="1087">
        <v>0.97406917480041333</v>
      </c>
      <c r="I310" s="1087">
        <v>0.98901202110714814</v>
      </c>
      <c r="K310">
        <v>1.7916587785852445</v>
      </c>
      <c r="L310">
        <v>0</v>
      </c>
      <c r="M310">
        <v>3.6948771516649983E-3</v>
      </c>
      <c r="N310">
        <v>0.31797707074029918</v>
      </c>
      <c r="O310">
        <v>0.23752913532847988</v>
      </c>
      <c r="P310">
        <v>1.2727283271450016E-2</v>
      </c>
      <c r="Q310">
        <v>1.4937607163144702E-3</v>
      </c>
      <c r="R310">
        <v>3.6883608285490943E-3</v>
      </c>
      <c r="S310">
        <v>0.3478955207328373</v>
      </c>
      <c r="T310">
        <v>0.4093608317899915</v>
      </c>
      <c r="U310">
        <v>0</v>
      </c>
      <c r="V310">
        <v>0.19850204932421234</v>
      </c>
      <c r="W310">
        <v>0.20670753601294323</v>
      </c>
      <c r="X310">
        <v>4.9433604684342311E-2</v>
      </c>
      <c r="Y310">
        <v>1.0038502307490274E-2</v>
      </c>
    </row>
    <row r="311" spans="1:25" x14ac:dyDescent="0.25">
      <c r="A311" s="1083"/>
      <c r="B311" s="1455">
        <v>61</v>
      </c>
      <c r="C311" s="1087">
        <v>1.0429228742267109</v>
      </c>
      <c r="D311" s="1087">
        <v>1.002362918712749</v>
      </c>
      <c r="E311" s="1087">
        <v>1.0297806999014869</v>
      </c>
      <c r="F311" s="1087">
        <v>0.96440033793171143</v>
      </c>
      <c r="G311" s="1087">
        <v>0.99506324066804785</v>
      </c>
      <c r="H311" s="1087">
        <v>1.0398263028802892</v>
      </c>
      <c r="I311" s="1087">
        <v>0.96928317625883242</v>
      </c>
      <c r="K311">
        <v>1.8098257108905085</v>
      </c>
      <c r="L311">
        <v>0</v>
      </c>
      <c r="M311">
        <v>3.4067352202884669E-3</v>
      </c>
      <c r="N311">
        <v>0.35423875391435422</v>
      </c>
      <c r="O311">
        <v>0.22975459167631584</v>
      </c>
      <c r="P311">
        <v>1.2926227824444263E-2</v>
      </c>
      <c r="Q311">
        <v>1.5656259606914051E-3</v>
      </c>
      <c r="R311">
        <v>3.4011027779618933E-3</v>
      </c>
      <c r="S311">
        <v>0.34595505196265913</v>
      </c>
      <c r="T311">
        <v>0.38853380931280024</v>
      </c>
      <c r="U311">
        <v>0</v>
      </c>
      <c r="V311">
        <v>0.19234179111065439</v>
      </c>
      <c r="W311">
        <v>0.22152790261043181</v>
      </c>
      <c r="X311">
        <v>5.3730908372097604E-2</v>
      </c>
      <c r="Y311">
        <v>9.2566805883828387E-3</v>
      </c>
    </row>
    <row r="312" spans="1:25" x14ac:dyDescent="0.25">
      <c r="A312" s="1083"/>
      <c r="B312" s="1455">
        <v>62</v>
      </c>
      <c r="C312" s="1087">
        <v>1.0089382744066779</v>
      </c>
      <c r="D312" s="1087">
        <v>0.97957738500137359</v>
      </c>
      <c r="E312" s="1087">
        <v>1.0074826360144524</v>
      </c>
      <c r="F312" s="1087">
        <v>0.96513809213103663</v>
      </c>
      <c r="G312" s="1087">
        <v>0.98077606650391957</v>
      </c>
      <c r="H312" s="1087">
        <v>0.97756248617889863</v>
      </c>
      <c r="I312" s="1087">
        <v>1.0019436240084338</v>
      </c>
      <c r="K312">
        <v>1.8177746161014183</v>
      </c>
      <c r="L312">
        <v>0</v>
      </c>
      <c r="M312">
        <v>3.5086208719944012E-3</v>
      </c>
      <c r="N312">
        <v>0.3408305176721223</v>
      </c>
      <c r="O312">
        <v>0.23561304718520987</v>
      </c>
      <c r="P312">
        <v>1.301233660727507E-2</v>
      </c>
      <c r="Q312">
        <v>1.5953270342965854E-3</v>
      </c>
      <c r="R312">
        <v>3.5024698862799776E-3</v>
      </c>
      <c r="S312">
        <v>0.36277759171449592</v>
      </c>
      <c r="T312">
        <v>0.38869892900965081</v>
      </c>
      <c r="U312">
        <v>0</v>
      </c>
      <c r="V312">
        <v>0.19690522939565669</v>
      </c>
      <c r="W312">
        <v>0.21609147890555122</v>
      </c>
      <c r="X312">
        <v>5.2723741121306962E-2</v>
      </c>
      <c r="Y312">
        <v>9.5325684415663893E-3</v>
      </c>
    </row>
    <row r="313" spans="1:25" x14ac:dyDescent="0.25">
      <c r="A313" s="1083"/>
      <c r="B313" s="1455">
        <v>63</v>
      </c>
      <c r="C313" s="1087">
        <v>1.0221535163317017</v>
      </c>
      <c r="D313" s="1087">
        <v>0.97251692468330531</v>
      </c>
      <c r="E313" s="1087">
        <v>0.99948979899758772</v>
      </c>
      <c r="F313" s="1087">
        <v>0.97638303775891189</v>
      </c>
      <c r="G313" s="1087">
        <v>1.0309056253674227</v>
      </c>
      <c r="H313" s="1087">
        <v>0.98173626655217616</v>
      </c>
      <c r="I313" s="1087">
        <v>0.98669395470624865</v>
      </c>
      <c r="K313">
        <v>1.8078254237726921</v>
      </c>
      <c r="L313">
        <v>0</v>
      </c>
      <c r="M313">
        <v>3.5496091692589233E-3</v>
      </c>
      <c r="N313">
        <v>0.3365086085624806</v>
      </c>
      <c r="O313">
        <v>0.23602713176469514</v>
      </c>
      <c r="P313">
        <v>1.2885839297578385E-2</v>
      </c>
      <c r="Q313">
        <v>1.5658948861776039E-3</v>
      </c>
      <c r="R313">
        <v>3.5434196881671542E-3</v>
      </c>
      <c r="S313">
        <v>0.35472765412359575</v>
      </c>
      <c r="T313">
        <v>0.39318030617260918</v>
      </c>
      <c r="U313">
        <v>0</v>
      </c>
      <c r="V313">
        <v>0.19685062449335938</v>
      </c>
      <c r="W313">
        <v>0.21441668873631262</v>
      </c>
      <c r="X313">
        <v>5.2024844913770935E-2</v>
      </c>
      <c r="Y313">
        <v>9.6440203032047214E-3</v>
      </c>
    </row>
    <row r="314" spans="1:25" x14ac:dyDescent="0.25">
      <c r="A314" s="1083"/>
      <c r="B314" s="1455">
        <v>64</v>
      </c>
      <c r="C314" s="1087">
        <v>1.0032489534180287</v>
      </c>
      <c r="D314" s="1087">
        <v>1.036571148919726</v>
      </c>
      <c r="E314" s="1087">
        <v>0.98868141229591389</v>
      </c>
      <c r="F314" s="1087">
        <v>0.98863365434493422</v>
      </c>
      <c r="G314" s="1087">
        <v>0.98149685591072089</v>
      </c>
      <c r="H314" s="1087">
        <v>1.0010759946633749</v>
      </c>
      <c r="I314" s="1087">
        <v>0.98693011579401935</v>
      </c>
      <c r="K314">
        <v>1.8033945436948078</v>
      </c>
      <c r="L314">
        <v>0</v>
      </c>
      <c r="M314">
        <v>3.6425452577412728E-3</v>
      </c>
      <c r="N314">
        <v>0.33411632720726619</v>
      </c>
      <c r="O314">
        <v>0.23331327630886725</v>
      </c>
      <c r="P314">
        <v>1.2809028329050526E-2</v>
      </c>
      <c r="Q314">
        <v>1.5373475556101548E-3</v>
      </c>
      <c r="R314">
        <v>3.6362607144235243E-3</v>
      </c>
      <c r="S314">
        <v>0.35223075411024374</v>
      </c>
      <c r="T314">
        <v>0.3980490427804369</v>
      </c>
      <c r="U314">
        <v>0</v>
      </c>
      <c r="V314">
        <v>0.19648612560519349</v>
      </c>
      <c r="W314">
        <v>0.21434143450076024</v>
      </c>
      <c r="X314">
        <v>5.0620788869057111E-2</v>
      </c>
      <c r="Y314">
        <v>9.8967029716384783E-3</v>
      </c>
    </row>
    <row r="315" spans="1:25" x14ac:dyDescent="0.25">
      <c r="A315" s="1083"/>
      <c r="B315" s="1455">
        <v>65</v>
      </c>
      <c r="C315" s="1087">
        <v>1.0339934244841769</v>
      </c>
      <c r="D315" s="1087">
        <v>0.99063082446195549</v>
      </c>
      <c r="E315" s="1087">
        <v>1.001609773381444</v>
      </c>
      <c r="F315" s="1087">
        <v>1.0143960813505881</v>
      </c>
      <c r="G315" s="1087">
        <v>1.0283453698161951</v>
      </c>
      <c r="H315" s="1087">
        <v>1.0061746808179226</v>
      </c>
      <c r="I315" s="1087">
        <v>1.0036097095372511</v>
      </c>
      <c r="K315">
        <v>1.8314843270716736</v>
      </c>
      <c r="L315">
        <v>0</v>
      </c>
      <c r="M315">
        <v>3.5448418913284737E-3</v>
      </c>
      <c r="N315">
        <v>0.33825053852802128</v>
      </c>
      <c r="O315">
        <v>0.23731662604354775</v>
      </c>
      <c r="P315">
        <v>1.3166397496409663E-2</v>
      </c>
      <c r="Q315">
        <v>1.5400537479539312E-3</v>
      </c>
      <c r="R315">
        <v>3.5387945671474801E-3</v>
      </c>
      <c r="S315">
        <v>0.35737100422029994</v>
      </c>
      <c r="T315">
        <v>0.40850083816421068</v>
      </c>
      <c r="U315">
        <v>0</v>
      </c>
      <c r="V315">
        <v>0.19793478414648577</v>
      </c>
      <c r="W315">
        <v>0.21524143097908768</v>
      </c>
      <c r="X315">
        <v>5.2537268821375653E-2</v>
      </c>
      <c r="Y315">
        <v>9.631432248459899E-3</v>
      </c>
    </row>
    <row r="316" spans="1:25" x14ac:dyDescent="0.25">
      <c r="A316" s="1083"/>
      <c r="B316" s="1455">
        <v>66</v>
      </c>
      <c r="C316" s="1087">
        <v>1.0292922966034064</v>
      </c>
      <c r="D316" s="1087">
        <v>1.0081906154551776</v>
      </c>
      <c r="E316" s="1087">
        <v>0.99525604066893558</v>
      </c>
      <c r="F316" s="1087">
        <v>0.99693179530734355</v>
      </c>
      <c r="G316" s="1087">
        <v>0.99087944470001232</v>
      </c>
      <c r="H316" s="1087">
        <v>0.9990377236522221</v>
      </c>
      <c r="I316" s="1087">
        <v>1.0052936091392071</v>
      </c>
      <c r="K316">
        <v>1.8058252881090788</v>
      </c>
      <c r="L316">
        <v>0</v>
      </c>
      <c r="M316">
        <v>3.5482705233668707E-3</v>
      </c>
      <c r="N316">
        <v>0.33206985187594018</v>
      </c>
      <c r="O316">
        <v>0.23402574979382237</v>
      </c>
      <c r="P316">
        <v>1.2946308497687228E-2</v>
      </c>
      <c r="Q316">
        <v>1.5258782439668745E-3</v>
      </c>
      <c r="R316">
        <v>3.542159231543066E-3</v>
      </c>
      <c r="S316">
        <v>0.35479965150948856</v>
      </c>
      <c r="T316">
        <v>0.40142957191599737</v>
      </c>
      <c r="U316">
        <v>0</v>
      </c>
      <c r="V316">
        <v>0.1959716087269798</v>
      </c>
      <c r="W316">
        <v>0.21214997659151902</v>
      </c>
      <c r="X316">
        <v>5.127221248971621E-2</v>
      </c>
      <c r="Y316">
        <v>9.6405897557833662E-3</v>
      </c>
    </row>
    <row r="317" spans="1:25" x14ac:dyDescent="0.25">
      <c r="A317" s="1083"/>
      <c r="B317" s="1455">
        <v>67</v>
      </c>
      <c r="C317" s="1087">
        <v>1.0223475519586434</v>
      </c>
      <c r="D317" s="1087">
        <v>1.0055927521755224</v>
      </c>
      <c r="E317" s="1087">
        <v>0.99407451670819158</v>
      </c>
      <c r="F317" s="1087">
        <v>0.99105501334733681</v>
      </c>
      <c r="G317" s="1087">
        <v>0.9804860789392329</v>
      </c>
      <c r="H317" s="1087">
        <v>0.9750787167445627</v>
      </c>
      <c r="I317" s="1087">
        <v>1.0323215342639256</v>
      </c>
      <c r="K317">
        <v>1.8030413422981395</v>
      </c>
      <c r="L317">
        <v>0</v>
      </c>
      <c r="M317">
        <v>3.5003191530781929E-3</v>
      </c>
      <c r="N317">
        <v>0.32638920132788229</v>
      </c>
      <c r="O317">
        <v>0.23440205894796798</v>
      </c>
      <c r="P317">
        <v>1.3018284046393581E-2</v>
      </c>
      <c r="Q317">
        <v>1.5358894561716173E-3</v>
      </c>
      <c r="R317">
        <v>3.4941451031949571E-3</v>
      </c>
      <c r="S317">
        <v>0.36296613110172338</v>
      </c>
      <c r="T317">
        <v>0.39905612930874301</v>
      </c>
      <c r="U317">
        <v>0</v>
      </c>
      <c r="V317">
        <v>0.19631892193502004</v>
      </c>
      <c r="W317">
        <v>0.20867538625976531</v>
      </c>
      <c r="X317">
        <v>5.1175602838081348E-2</v>
      </c>
      <c r="Y317">
        <v>9.5099111262729689E-3</v>
      </c>
    </row>
    <row r="318" spans="1:25" x14ac:dyDescent="0.25">
      <c r="A318" s="1083"/>
      <c r="B318" s="1455">
        <v>68</v>
      </c>
      <c r="C318" s="1087">
        <v>1.0180543152105024</v>
      </c>
      <c r="D318" s="1087">
        <v>1.0091977633938343</v>
      </c>
      <c r="E318" s="1087">
        <v>1.0182991940082431</v>
      </c>
      <c r="F318" s="1087">
        <v>1.0347942574858291</v>
      </c>
      <c r="G318" s="1087">
        <v>0.99221041009245126</v>
      </c>
      <c r="H318" s="1087">
        <v>1.0251162905559765</v>
      </c>
      <c r="I318" s="1087">
        <v>0.96379285531828618</v>
      </c>
      <c r="K318">
        <v>1.858805617153767</v>
      </c>
      <c r="L318">
        <v>0</v>
      </c>
      <c r="M318">
        <v>3.5087992402440759E-3</v>
      </c>
      <c r="N318">
        <v>0.35230176698657456</v>
      </c>
      <c r="O318">
        <v>0.23987615413139859</v>
      </c>
      <c r="P318">
        <v>1.3354581334810021E-2</v>
      </c>
      <c r="Q318">
        <v>1.580304591133899E-3</v>
      </c>
      <c r="R318">
        <v>3.5029076156029436E-3</v>
      </c>
      <c r="S318">
        <v>0.34838798287455108</v>
      </c>
      <c r="T318">
        <v>0.41682063269265163</v>
      </c>
      <c r="U318">
        <v>0</v>
      </c>
      <c r="V318">
        <v>0.20039445570086892</v>
      </c>
      <c r="W318">
        <v>0.22187435627459234</v>
      </c>
      <c r="X318">
        <v>5.4687514395342265E-2</v>
      </c>
      <c r="Y318">
        <v>9.5337597964860708E-3</v>
      </c>
    </row>
    <row r="319" spans="1:25" x14ac:dyDescent="0.25">
      <c r="A319" s="1083"/>
      <c r="B319" s="1455">
        <v>69</v>
      </c>
      <c r="C319" s="1087">
        <v>0.98650227953621183</v>
      </c>
      <c r="D319" s="1087">
        <v>1.0108130479361332</v>
      </c>
      <c r="E319" s="1087">
        <v>1.0000449715053297</v>
      </c>
      <c r="F319" s="1087">
        <v>0.99102361891127511</v>
      </c>
      <c r="G319" s="1087">
        <v>1.0264393768048095</v>
      </c>
      <c r="H319" s="1087">
        <v>1.0126429922200451</v>
      </c>
      <c r="I319" s="1087">
        <v>0.98985428692623856</v>
      </c>
      <c r="K319">
        <v>1.8584430999548025</v>
      </c>
      <c r="L319">
        <v>0</v>
      </c>
      <c r="M319">
        <v>3.7115449696782459E-3</v>
      </c>
      <c r="N319">
        <v>0.35247264068916673</v>
      </c>
      <c r="O319">
        <v>0.23825778991653154</v>
      </c>
      <c r="P319">
        <v>1.3174116244931264E-2</v>
      </c>
      <c r="Q319">
        <v>1.5985569807854859E-3</v>
      </c>
      <c r="R319">
        <v>3.7052372900323316E-3</v>
      </c>
      <c r="S319">
        <v>0.36653278558938035</v>
      </c>
      <c r="T319">
        <v>0.39907926424289908</v>
      </c>
      <c r="U319">
        <v>0</v>
      </c>
      <c r="V319">
        <v>0.19988190461902577</v>
      </c>
      <c r="W319">
        <v>0.22451075066768575</v>
      </c>
      <c r="X319">
        <v>5.285716421171667E-2</v>
      </c>
      <c r="Y319">
        <v>1.0084434472323612E-2</v>
      </c>
    </row>
    <row r="320" spans="1:25" x14ac:dyDescent="0.25">
      <c r="A320" s="1083"/>
      <c r="B320" s="1455">
        <v>70</v>
      </c>
      <c r="C320" s="1087">
        <v>0.98476446222481617</v>
      </c>
      <c r="D320" s="1087">
        <v>0.99541556210221249</v>
      </c>
      <c r="E320" s="1087">
        <v>1.0203340587569554</v>
      </c>
      <c r="F320" s="1087">
        <v>1.0010209691441707</v>
      </c>
      <c r="G320" s="1087">
        <v>1.0120690072333549</v>
      </c>
      <c r="H320" s="1087">
        <v>0.98842089034531277</v>
      </c>
      <c r="I320" s="1087">
        <v>0.99992816096331361</v>
      </c>
      <c r="K320">
        <v>1.8740604837589783</v>
      </c>
      <c r="L320">
        <v>0</v>
      </c>
      <c r="M320">
        <v>3.5103632701340261E-3</v>
      </c>
      <c r="N320">
        <v>0.35463049877366182</v>
      </c>
      <c r="O320">
        <v>0.24148008466459589</v>
      </c>
      <c r="P320">
        <v>1.3503994792040489E-2</v>
      </c>
      <c r="Q320">
        <v>1.6462677647919764E-3</v>
      </c>
      <c r="R320">
        <v>3.5042644013879242E-3</v>
      </c>
      <c r="S320">
        <v>0.36984219877954699</v>
      </c>
      <c r="T320">
        <v>0.40322908221103815</v>
      </c>
      <c r="U320">
        <v>0</v>
      </c>
      <c r="V320">
        <v>0.20187625637606527</v>
      </c>
      <c r="W320">
        <v>0.22306125637249319</v>
      </c>
      <c r="X320">
        <v>5.5259490373360969E-2</v>
      </c>
      <c r="Y320">
        <v>9.5374525201284751E-3</v>
      </c>
    </row>
    <row r="321" spans="1:25" x14ac:dyDescent="0.25">
      <c r="A321" s="1083"/>
      <c r="B321" s="1455">
        <v>71</v>
      </c>
      <c r="C321" s="1087">
        <v>0.99457922715309555</v>
      </c>
      <c r="D321" s="1087">
        <v>0.95521538897516245</v>
      </c>
      <c r="E321" s="1087">
        <v>0.99061201698417434</v>
      </c>
      <c r="F321" s="1087">
        <v>0.97248996157521406</v>
      </c>
      <c r="G321" s="1087">
        <v>0.9813018191010936</v>
      </c>
      <c r="H321" s="1087">
        <v>1.0256939671500902</v>
      </c>
      <c r="I321" s="1087">
        <v>1.0029377766675522</v>
      </c>
      <c r="K321">
        <v>1.8857509805578043</v>
      </c>
      <c r="L321">
        <v>0</v>
      </c>
      <c r="M321">
        <v>3.9176723404281306E-3</v>
      </c>
      <c r="N321">
        <v>0.36149939545498239</v>
      </c>
      <c r="O321">
        <v>0.24038633796570688</v>
      </c>
      <c r="P321">
        <v>1.3199274610118049E-2</v>
      </c>
      <c r="Q321">
        <v>1.6056051401044755E-3</v>
      </c>
      <c r="R321">
        <v>3.9111481009163869E-3</v>
      </c>
      <c r="S321">
        <v>0.38235462078808186</v>
      </c>
      <c r="T321">
        <v>0.39156047344563571</v>
      </c>
      <c r="U321">
        <v>0</v>
      </c>
      <c r="V321">
        <v>0.20027485270291107</v>
      </c>
      <c r="W321">
        <v>0.23162638308077396</v>
      </c>
      <c r="X321">
        <v>5.2605705787930404E-2</v>
      </c>
      <c r="Y321">
        <v>1.0644855821069448E-2</v>
      </c>
    </row>
    <row r="322" spans="1:25" x14ac:dyDescent="0.25">
      <c r="A322" s="1083"/>
      <c r="B322" s="1455">
        <v>72</v>
      </c>
      <c r="C322" s="1087">
        <v>1.0294362249834672</v>
      </c>
      <c r="D322" s="1087">
        <v>0.96155828323469184</v>
      </c>
      <c r="E322" s="1087">
        <v>1.0125408685331874</v>
      </c>
      <c r="F322" s="1087">
        <v>0.96976591347091945</v>
      </c>
      <c r="G322" s="1087">
        <v>1.0023436555956897</v>
      </c>
      <c r="H322" s="1087">
        <v>1.006320555251937</v>
      </c>
      <c r="I322" s="1087">
        <v>0.99089405980269318</v>
      </c>
      <c r="K322">
        <v>1.8302782381671299</v>
      </c>
      <c r="L322">
        <v>0</v>
      </c>
      <c r="M322">
        <v>3.5389027605579157E-3</v>
      </c>
      <c r="N322">
        <v>0.34913498312137398</v>
      </c>
      <c r="O322">
        <v>0.23566757211541201</v>
      </c>
      <c r="P322">
        <v>1.3045616648789896E-2</v>
      </c>
      <c r="Q322">
        <v>1.5836852837596792E-3</v>
      </c>
      <c r="R322">
        <v>3.532891928871045E-3</v>
      </c>
      <c r="S322">
        <v>0.36047546923200297</v>
      </c>
      <c r="T322">
        <v>0.39059266637835616</v>
      </c>
      <c r="U322">
        <v>0</v>
      </c>
      <c r="V322">
        <v>0.19619312667273031</v>
      </c>
      <c r="W322">
        <v>0.22066336298424064</v>
      </c>
      <c r="X322">
        <v>5.3312399349275133E-2</v>
      </c>
      <c r="Y322">
        <v>9.6153672128756282E-3</v>
      </c>
    </row>
    <row r="323" spans="1:25" x14ac:dyDescent="0.25">
      <c r="A323" s="1083"/>
      <c r="B323" s="1455">
        <v>73</v>
      </c>
      <c r="C323" s="1087">
        <v>1.0083947544164558</v>
      </c>
      <c r="D323" s="1087">
        <v>0.9942744552933922</v>
      </c>
      <c r="E323" s="1087">
        <v>0.97874330118461084</v>
      </c>
      <c r="F323" s="1087">
        <v>1.015039565823745</v>
      </c>
      <c r="G323" s="1087">
        <v>1.0115068260745033</v>
      </c>
      <c r="H323" s="1087">
        <v>1.0124048400083645</v>
      </c>
      <c r="I323" s="1087">
        <v>1.0366261766094784</v>
      </c>
      <c r="K323">
        <v>1.8638604981467539</v>
      </c>
      <c r="L323">
        <v>0</v>
      </c>
      <c r="M323">
        <v>3.8252399569933919E-3</v>
      </c>
      <c r="N323">
        <v>0.34039030309054963</v>
      </c>
      <c r="O323">
        <v>0.23974991064670895</v>
      </c>
      <c r="P323">
        <v>1.3261516007474404E-2</v>
      </c>
      <c r="Q323">
        <v>1.5386833546630783E-3</v>
      </c>
      <c r="R323">
        <v>3.8187521951052474E-3</v>
      </c>
      <c r="S323">
        <v>0.37865455515835472</v>
      </c>
      <c r="T323">
        <v>0.40862032670197751</v>
      </c>
      <c r="U323">
        <v>0</v>
      </c>
      <c r="V323">
        <v>0.20033165547970569</v>
      </c>
      <c r="W323">
        <v>0.21974333192446144</v>
      </c>
      <c r="X323">
        <v>5.1183318920993329E-2</v>
      </c>
      <c r="Y323">
        <v>1.039338462375369E-2</v>
      </c>
    </row>
    <row r="324" spans="1:25" x14ac:dyDescent="0.25">
      <c r="A324" s="1083"/>
      <c r="B324" s="1455">
        <v>74</v>
      </c>
      <c r="C324" s="1087">
        <v>0.98262005957609455</v>
      </c>
      <c r="D324" s="1087">
        <v>0.98488592108498985</v>
      </c>
      <c r="E324" s="1087">
        <v>1.0033234869204355</v>
      </c>
      <c r="F324" s="1087">
        <v>0.99056259257716539</v>
      </c>
      <c r="G324" s="1087">
        <v>0.98451710245641866</v>
      </c>
      <c r="H324" s="1087">
        <v>0.96518285424225725</v>
      </c>
      <c r="I324" s="1087">
        <v>0.98289458474165414</v>
      </c>
      <c r="K324">
        <v>1.8430785828025043</v>
      </c>
      <c r="L324">
        <v>0</v>
      </c>
      <c r="M324">
        <v>3.5772869789572116E-3</v>
      </c>
      <c r="N324">
        <v>0.34311162738849255</v>
      </c>
      <c r="O324">
        <v>0.24128211206114908</v>
      </c>
      <c r="P324">
        <v>1.31666161403124E-2</v>
      </c>
      <c r="Q324">
        <v>1.6273105644403964E-3</v>
      </c>
      <c r="R324">
        <v>3.5709309952494587E-3</v>
      </c>
      <c r="S324">
        <v>0.36202312212353249</v>
      </c>
      <c r="T324">
        <v>0.39891331285495607</v>
      </c>
      <c r="U324">
        <v>0</v>
      </c>
      <c r="V324">
        <v>0.20165624074574143</v>
      </c>
      <c r="W324">
        <v>0.21810149539243362</v>
      </c>
      <c r="X324">
        <v>5.3484204503169486E-2</v>
      </c>
      <c r="Y324">
        <v>9.718897011982813E-3</v>
      </c>
    </row>
    <row r="325" spans="1:25" x14ac:dyDescent="0.25">
      <c r="A325" s="1083"/>
      <c r="B325" s="1455">
        <v>75</v>
      </c>
      <c r="C325" s="1087">
        <v>0.97509271935089159</v>
      </c>
      <c r="D325" s="1087">
        <v>1.0404254719065542</v>
      </c>
      <c r="E325" s="1087">
        <v>1.0179081691452152</v>
      </c>
      <c r="F325" s="1087">
        <v>0.99693115455052195</v>
      </c>
      <c r="G325" s="1087">
        <v>1.0086736269855281</v>
      </c>
      <c r="H325" s="1087">
        <v>0.98805533871622087</v>
      </c>
      <c r="I325" s="1087">
        <v>1.0100749381889214</v>
      </c>
      <c r="K325">
        <v>1.854827154374511</v>
      </c>
      <c r="L325">
        <v>0</v>
      </c>
      <c r="M325">
        <v>3.4777134132792848E-3</v>
      </c>
      <c r="N325">
        <v>0.34874038969319859</v>
      </c>
      <c r="O325">
        <v>0.23776236397039566</v>
      </c>
      <c r="P325">
        <v>1.3410377897242007E-2</v>
      </c>
      <c r="Q325">
        <v>1.6292685859410241E-3</v>
      </c>
      <c r="R325">
        <v>3.4716318591977943E-3</v>
      </c>
      <c r="S325">
        <v>0.36811141086714183</v>
      </c>
      <c r="T325">
        <v>0.40156678127958534</v>
      </c>
      <c r="U325">
        <v>0</v>
      </c>
      <c r="V325">
        <v>0.20023340504759979</v>
      </c>
      <c r="W325">
        <v>0.2196843971563848</v>
      </c>
      <c r="X325">
        <v>5.4246203933501047E-2</v>
      </c>
      <c r="Y325">
        <v>9.4486374976015808E-3</v>
      </c>
    </row>
    <row r="326" spans="1:25" x14ac:dyDescent="0.25">
      <c r="A326" s="1083"/>
      <c r="B326" s="1455">
        <v>76</v>
      </c>
      <c r="C326" s="1087">
        <v>0.97521622766741467</v>
      </c>
      <c r="D326" s="1087">
        <v>1.0001177362263891</v>
      </c>
      <c r="E326" s="1087">
        <v>0.98429195956536897</v>
      </c>
      <c r="F326" s="1087">
        <v>1.0050279399448052</v>
      </c>
      <c r="G326" s="1087">
        <v>1.0178828797899617</v>
      </c>
      <c r="H326" s="1087">
        <v>0.962886107551708</v>
      </c>
      <c r="I326" s="1087">
        <v>1.0235007856744049</v>
      </c>
      <c r="K326">
        <v>1.8539403449496414</v>
      </c>
      <c r="L326">
        <v>0</v>
      </c>
      <c r="M326">
        <v>3.7080759759904277E-3</v>
      </c>
      <c r="N326">
        <v>0.33557711846669647</v>
      </c>
      <c r="O326">
        <v>0.24214956012145464</v>
      </c>
      <c r="P326">
        <v>1.3260952616632689E-2</v>
      </c>
      <c r="Q326">
        <v>1.5968108049221441E-3</v>
      </c>
      <c r="R326">
        <v>3.7014585083581602E-3</v>
      </c>
      <c r="S326">
        <v>0.37598471608538075</v>
      </c>
      <c r="T326">
        <v>0.40462332771560433</v>
      </c>
      <c r="U326">
        <v>0</v>
      </c>
      <c r="V326">
        <v>0.20281112737475082</v>
      </c>
      <c r="W326">
        <v>0.2158758560036948</v>
      </c>
      <c r="X326">
        <v>5.1993343353854943E-2</v>
      </c>
      <c r="Y326">
        <v>1.0074149874281561E-2</v>
      </c>
    </row>
    <row r="327" spans="1:25" x14ac:dyDescent="0.25">
      <c r="A327" s="1083"/>
      <c r="B327" s="1455">
        <v>77</v>
      </c>
      <c r="C327" s="1087">
        <v>1.0140130210455405</v>
      </c>
      <c r="D327" s="1087">
        <v>1.0344987049127585</v>
      </c>
      <c r="E327" s="1087">
        <v>0.99099943955835224</v>
      </c>
      <c r="F327" s="1087">
        <v>0.99746564855821096</v>
      </c>
      <c r="G327" s="1087">
        <v>0.99663176645236518</v>
      </c>
      <c r="H327" s="1087">
        <v>0.95812098366635523</v>
      </c>
      <c r="I327" s="1087">
        <v>1.0056710815425662</v>
      </c>
      <c r="K327">
        <v>1.7739344290050683</v>
      </c>
      <c r="L327">
        <v>0</v>
      </c>
      <c r="M327">
        <v>3.4361618807928116E-3</v>
      </c>
      <c r="N327">
        <v>0.31740023879950968</v>
      </c>
      <c r="O327">
        <v>0.23327002858266993</v>
      </c>
      <c r="P327">
        <v>1.2817624416837871E-2</v>
      </c>
      <c r="Q327">
        <v>1.5260307686496093E-3</v>
      </c>
      <c r="R327">
        <v>3.4299684595668011E-3</v>
      </c>
      <c r="S327">
        <v>0.34791739031120289</v>
      </c>
      <c r="T327">
        <v>0.40161893608570731</v>
      </c>
      <c r="U327">
        <v>0</v>
      </c>
      <c r="V327">
        <v>0.19621525522333488</v>
      </c>
      <c r="W327">
        <v>0.2033208137404329</v>
      </c>
      <c r="X327">
        <v>5.0519061039804969E-2</v>
      </c>
      <c r="Y327">
        <v>9.3352434581420174E-3</v>
      </c>
    </row>
    <row r="328" spans="1:25" x14ac:dyDescent="0.25">
      <c r="A328" s="1083"/>
      <c r="B328" s="1455">
        <v>78</v>
      </c>
      <c r="C328" s="1087">
        <v>0.98334527496759006</v>
      </c>
      <c r="D328" s="1087">
        <v>0.9841150776012243</v>
      </c>
      <c r="E328" s="1087">
        <v>0.99665946381515236</v>
      </c>
      <c r="F328" s="1087">
        <v>0.99071966426973435</v>
      </c>
      <c r="G328" s="1087">
        <v>0.99671924248210364</v>
      </c>
      <c r="H328" s="1087">
        <v>1.003405236032703</v>
      </c>
      <c r="I328" s="1087">
        <v>1.0229471597781579</v>
      </c>
      <c r="K328">
        <v>1.8843588863603484</v>
      </c>
      <c r="L328">
        <v>0</v>
      </c>
      <c r="M328">
        <v>3.7688080616231643E-3</v>
      </c>
      <c r="N328">
        <v>0.35422820930161408</v>
      </c>
      <c r="O328">
        <v>0.24119214932694585</v>
      </c>
      <c r="P328">
        <v>1.3397992099178619E-2</v>
      </c>
      <c r="Q328">
        <v>1.615109980105031E-3</v>
      </c>
      <c r="R328">
        <v>3.76236757836719E-3</v>
      </c>
      <c r="S328">
        <v>0.38385633419274201</v>
      </c>
      <c r="T328">
        <v>0.39893656437336894</v>
      </c>
      <c r="U328">
        <v>0</v>
      </c>
      <c r="V328">
        <v>0.20159121163526492</v>
      </c>
      <c r="W328">
        <v>0.22610735751479827</v>
      </c>
      <c r="X328">
        <v>5.3200474135410063E-2</v>
      </c>
      <c r="Y328">
        <v>1.023992428417661E-2</v>
      </c>
    </row>
    <row r="329" spans="1:25" x14ac:dyDescent="0.25">
      <c r="A329" s="1083"/>
      <c r="B329" s="1455">
        <v>79</v>
      </c>
      <c r="C329" s="1087">
        <v>0.99118925354955223</v>
      </c>
      <c r="D329" s="1087">
        <v>0.9728625829967914</v>
      </c>
      <c r="E329" s="1087">
        <v>0.98875512312600178</v>
      </c>
      <c r="F329" s="1087">
        <v>0.99641692483914712</v>
      </c>
      <c r="G329" s="1087">
        <v>0.9887861254554331</v>
      </c>
      <c r="H329" s="1087">
        <v>0.96782663387150658</v>
      </c>
      <c r="I329" s="1087">
        <v>1.008271397973467</v>
      </c>
      <c r="K329">
        <v>1.8484422503811508</v>
      </c>
      <c r="L329">
        <v>0</v>
      </c>
      <c r="M329">
        <v>3.6880357597586684E-3</v>
      </c>
      <c r="N329">
        <v>0.3383504121081517</v>
      </c>
      <c r="O329">
        <v>0.24193998292134988</v>
      </c>
      <c r="P329">
        <v>1.3178041102436118E-2</v>
      </c>
      <c r="Q329">
        <v>1.5961641418472451E-3</v>
      </c>
      <c r="R329">
        <v>3.6815122767485079E-3</v>
      </c>
      <c r="S329">
        <v>0.37100879234119566</v>
      </c>
      <c r="T329">
        <v>0.40118322678377322</v>
      </c>
      <c r="U329">
        <v>0</v>
      </c>
      <c r="V329">
        <v>0.20179298138307328</v>
      </c>
      <c r="W329">
        <v>0.21704759167474652</v>
      </c>
      <c r="X329">
        <v>5.2331718600473788E-2</v>
      </c>
      <c r="Y329">
        <v>1.0019862807113571E-2</v>
      </c>
    </row>
    <row r="330" spans="1:25" x14ac:dyDescent="0.25">
      <c r="A330" s="1083"/>
      <c r="B330" s="1455">
        <v>80</v>
      </c>
      <c r="C330" s="1087">
        <v>0.98544483554389639</v>
      </c>
      <c r="D330" s="1087">
        <v>0.97169132677568248</v>
      </c>
      <c r="E330" s="1087">
        <v>0.96016766043598245</v>
      </c>
      <c r="F330" s="1087">
        <v>0.96687055651123677</v>
      </c>
      <c r="G330" s="1087">
        <v>1.0396478878665858</v>
      </c>
      <c r="H330" s="1087">
        <v>1.025015140883655</v>
      </c>
      <c r="I330" s="1087">
        <v>1.0001446734934933</v>
      </c>
      <c r="K330">
        <v>1.8623449445811868</v>
      </c>
      <c r="L330">
        <v>0</v>
      </c>
      <c r="M330">
        <v>4.1655719468352117E-3</v>
      </c>
      <c r="N330">
        <v>0.35021146587758817</v>
      </c>
      <c r="O330">
        <v>0.23869471340546972</v>
      </c>
      <c r="P330">
        <v>1.2834412714516751E-2</v>
      </c>
      <c r="Q330">
        <v>1.5574171530778214E-3</v>
      </c>
      <c r="R330">
        <v>4.1586136046738546E-3</v>
      </c>
      <c r="S330">
        <v>0.38069236228683895</v>
      </c>
      <c r="T330">
        <v>0.3891227096086749</v>
      </c>
      <c r="U330">
        <v>0</v>
      </c>
      <c r="V330">
        <v>0.19968591728481877</v>
      </c>
      <c r="W330">
        <v>0.22878479074626876</v>
      </c>
      <c r="X330">
        <v>4.9449738500777586E-2</v>
      </c>
      <c r="Y330">
        <v>1.1318375345315889E-2</v>
      </c>
    </row>
    <row r="331" spans="1:25" x14ac:dyDescent="0.25">
      <c r="A331" s="1083"/>
      <c r="B331" s="1455">
        <v>81</v>
      </c>
      <c r="C331" s="1087">
        <v>0.99449214668773467</v>
      </c>
      <c r="D331" s="1087">
        <v>1.0067560872340298</v>
      </c>
      <c r="E331" s="1087">
        <v>1.0253285298670218</v>
      </c>
      <c r="F331" s="1087">
        <v>1.0177942193575988</v>
      </c>
      <c r="G331" s="1087">
        <v>0.98154356948778554</v>
      </c>
      <c r="H331" s="1087">
        <v>0.98386305360536797</v>
      </c>
      <c r="I331" s="1087">
        <v>0.96040192038036798</v>
      </c>
      <c r="K331">
        <v>1.8494035532032393</v>
      </c>
      <c r="L331">
        <v>0</v>
      </c>
      <c r="M331">
        <v>3.4037306107877201E-3</v>
      </c>
      <c r="N331">
        <v>0.34912649200742424</v>
      </c>
      <c r="O331">
        <v>0.24119177068670269</v>
      </c>
      <c r="P331">
        <v>1.3352436781579489E-2</v>
      </c>
      <c r="Q331">
        <v>1.6313525424029233E-3</v>
      </c>
      <c r="R331">
        <v>3.3977800237989819E-3</v>
      </c>
      <c r="S331">
        <v>0.34880350773010999</v>
      </c>
      <c r="T331">
        <v>0.41001694032965841</v>
      </c>
      <c r="U331">
        <v>0</v>
      </c>
      <c r="V331">
        <v>0.2016774456960527</v>
      </c>
      <c r="W331">
        <v>0.21892663142986082</v>
      </c>
      <c r="X331">
        <v>5.5435289439538453E-2</v>
      </c>
      <c r="Y331">
        <v>9.2476371468970062E-3</v>
      </c>
    </row>
    <row r="332" spans="1:25" x14ac:dyDescent="0.25">
      <c r="A332" s="1083"/>
      <c r="B332" s="1455">
        <v>82</v>
      </c>
      <c r="C332" s="1087">
        <v>1.0050922417052122</v>
      </c>
      <c r="D332" s="1087">
        <v>0.96231976962982069</v>
      </c>
      <c r="E332" s="1087">
        <v>1.0092228911186822</v>
      </c>
      <c r="F332" s="1087">
        <v>0.97064831012545916</v>
      </c>
      <c r="G332" s="1087">
        <v>1.0274633361282794</v>
      </c>
      <c r="H332" s="1087">
        <v>1.0029228604517046</v>
      </c>
      <c r="I332" s="1087">
        <v>1.0019482895704537</v>
      </c>
      <c r="K332">
        <v>1.8588474863749955</v>
      </c>
      <c r="L332">
        <v>0</v>
      </c>
      <c r="M332">
        <v>3.6349617741050482E-3</v>
      </c>
      <c r="N332">
        <v>0.35499967864318377</v>
      </c>
      <c r="O332">
        <v>0.2384717353935723</v>
      </c>
      <c r="P332">
        <v>1.3217869152767906E-2</v>
      </c>
      <c r="Q332">
        <v>1.6158387424498914E-3</v>
      </c>
      <c r="R332">
        <v>3.6287653214050275E-3</v>
      </c>
      <c r="S332">
        <v>0.37246886073484675</v>
      </c>
      <c r="T332">
        <v>0.39092840520908673</v>
      </c>
      <c r="U332">
        <v>0</v>
      </c>
      <c r="V332">
        <v>0.19872391915994883</v>
      </c>
      <c r="W332">
        <v>0.22483185925003951</v>
      </c>
      <c r="X332">
        <v>5.3719213559100365E-2</v>
      </c>
      <c r="Y332">
        <v>9.8763029826977773E-3</v>
      </c>
    </row>
    <row r="333" spans="1:25" x14ac:dyDescent="0.25">
      <c r="A333" s="1083"/>
      <c r="B333" s="1455">
        <v>83</v>
      </c>
      <c r="C333" s="1087">
        <v>1.0166924067832737</v>
      </c>
      <c r="D333" s="1087">
        <v>0.98547466915163084</v>
      </c>
      <c r="E333" s="1087">
        <v>0.99479206325831504</v>
      </c>
      <c r="F333" s="1087">
        <v>1.0187393299896352</v>
      </c>
      <c r="G333" s="1087">
        <v>0.97131401777390192</v>
      </c>
      <c r="H333" s="1087">
        <v>0.98890305201797024</v>
      </c>
      <c r="I333" s="1087">
        <v>0.9881787323920912</v>
      </c>
      <c r="K333">
        <v>1.8355937197176129</v>
      </c>
      <c r="L333">
        <v>0</v>
      </c>
      <c r="M333">
        <v>3.6037052218016474E-3</v>
      </c>
      <c r="N333">
        <v>0.33677641082405374</v>
      </c>
      <c r="O333">
        <v>0.24030713830114853</v>
      </c>
      <c r="P333">
        <v>1.3133890089267934E-2</v>
      </c>
      <c r="Q333">
        <v>1.558162066893511E-3</v>
      </c>
      <c r="R333">
        <v>3.5974556120715695E-3</v>
      </c>
      <c r="S333">
        <v>0.35578228612386004</v>
      </c>
      <c r="T333">
        <v>0.41020784969979107</v>
      </c>
      <c r="U333">
        <v>0</v>
      </c>
      <c r="V333">
        <v>0.20034367614459048</v>
      </c>
      <c r="W333">
        <v>0.21521948102547314</v>
      </c>
      <c r="X333">
        <v>5.247998677712809E-2</v>
      </c>
      <c r="Y333">
        <v>9.7910882751350084E-3</v>
      </c>
    </row>
    <row r="334" spans="1:25" x14ac:dyDescent="0.25">
      <c r="A334" s="1083"/>
      <c r="B334" s="1455">
        <v>84</v>
      </c>
      <c r="C334" s="1087">
        <v>1.0016932604270032</v>
      </c>
      <c r="D334" s="1087">
        <v>1.0169746296855462</v>
      </c>
      <c r="E334" s="1087">
        <v>1.0097433693621283</v>
      </c>
      <c r="F334" s="1087">
        <v>1.0271361724578498</v>
      </c>
      <c r="G334" s="1087">
        <v>0.99190281189023566</v>
      </c>
      <c r="H334" s="1087">
        <v>0.98001154324182638</v>
      </c>
      <c r="I334" s="1087">
        <v>1.0020050049334002</v>
      </c>
      <c r="K334">
        <v>1.8433633789384118</v>
      </c>
      <c r="L334">
        <v>0</v>
      </c>
      <c r="M334">
        <v>3.4558760089859015E-3</v>
      </c>
      <c r="N334">
        <v>0.33802781419904065</v>
      </c>
      <c r="O334">
        <v>0.24011425288193669</v>
      </c>
      <c r="P334">
        <v>1.3373902087554117E-2</v>
      </c>
      <c r="Q334">
        <v>1.5867649131551219E-3</v>
      </c>
      <c r="R334">
        <v>3.4498008875112601E-3</v>
      </c>
      <c r="S334">
        <v>0.35838657602344015</v>
      </c>
      <c r="T334">
        <v>0.41368214099096356</v>
      </c>
      <c r="U334">
        <v>0</v>
      </c>
      <c r="V334">
        <v>0.20103992020312303</v>
      </c>
      <c r="W334">
        <v>0.21401395676280965</v>
      </c>
      <c r="X334">
        <v>5.3754905208616088E-2</v>
      </c>
      <c r="Y334">
        <v>9.3892207892487169E-3</v>
      </c>
    </row>
    <row r="335" spans="1:25" x14ac:dyDescent="0.25">
      <c r="A335" s="1083"/>
      <c r="B335" s="1455">
        <v>85</v>
      </c>
      <c r="C335" s="1087">
        <v>1.0314591258420271</v>
      </c>
      <c r="D335" s="1087">
        <v>1.0091372734332138</v>
      </c>
      <c r="E335" s="1087">
        <v>1.0077593589115723</v>
      </c>
      <c r="F335" s="1087">
        <v>1.013992130025724</v>
      </c>
      <c r="G335" s="1087">
        <v>1.015256376199869</v>
      </c>
      <c r="H335" s="1087">
        <v>0.97225027578936263</v>
      </c>
      <c r="I335" s="1087">
        <v>0.99320214931958839</v>
      </c>
      <c r="K335">
        <v>1.7958188245406836</v>
      </c>
      <c r="L335">
        <v>0</v>
      </c>
      <c r="M335">
        <v>3.3565766467550866E-3</v>
      </c>
      <c r="N335">
        <v>0.32633049573481149</v>
      </c>
      <c r="O335">
        <v>0.23578989907823511</v>
      </c>
      <c r="P335">
        <v>1.3046029729075027E-2</v>
      </c>
      <c r="Q335">
        <v>1.5425003020775505E-3</v>
      </c>
      <c r="R335">
        <v>3.3506344562456362E-3</v>
      </c>
      <c r="S335">
        <v>0.34506690207992413</v>
      </c>
      <c r="T335">
        <v>0.40837607377821811</v>
      </c>
      <c r="U335">
        <v>0</v>
      </c>
      <c r="V335">
        <v>0.19720411784517783</v>
      </c>
      <c r="W335">
        <v>0.20686268932171159</v>
      </c>
      <c r="X335">
        <v>5.2486736408411561E-2</v>
      </c>
      <c r="Y335">
        <v>9.1193224535489701E-3</v>
      </c>
    </row>
    <row r="336" spans="1:25" x14ac:dyDescent="0.25">
      <c r="A336" s="1083"/>
      <c r="B336" s="1455">
        <v>86</v>
      </c>
      <c r="C336" s="1087">
        <v>1.017327187672743</v>
      </c>
      <c r="D336" s="1087">
        <v>1.0049247281096296</v>
      </c>
      <c r="E336" s="1087">
        <v>0.99538130408766246</v>
      </c>
      <c r="F336" s="1087">
        <v>0.99623481985514084</v>
      </c>
      <c r="G336" s="1087">
        <v>0.97484516986567915</v>
      </c>
      <c r="H336" s="1087">
        <v>1.0148592599482231</v>
      </c>
      <c r="I336" s="1087">
        <v>0.98516346486187312</v>
      </c>
      <c r="K336">
        <v>1.8259944543594395</v>
      </c>
      <c r="L336">
        <v>0</v>
      </c>
      <c r="M336">
        <v>3.6527020661001912E-3</v>
      </c>
      <c r="N336">
        <v>0.34198349128563543</v>
      </c>
      <c r="O336">
        <v>0.23567772732990377</v>
      </c>
      <c r="P336">
        <v>1.29676449538752E-2</v>
      </c>
      <c r="Q336">
        <v>1.5460363777815675E-3</v>
      </c>
      <c r="R336">
        <v>3.6465124524276771E-3</v>
      </c>
      <c r="S336">
        <v>0.3552073922097338</v>
      </c>
      <c r="T336">
        <v>0.40114967788501282</v>
      </c>
      <c r="U336">
        <v>0</v>
      </c>
      <c r="V336">
        <v>0.19732340576304191</v>
      </c>
      <c r="W336">
        <v>0.21846635881764526</v>
      </c>
      <c r="X336">
        <v>5.1754304527480949E-2</v>
      </c>
      <c r="Y336">
        <v>9.9246048230012592E-3</v>
      </c>
    </row>
    <row r="337" spans="1:25" x14ac:dyDescent="0.25">
      <c r="A337" s="1083"/>
      <c r="B337" s="1455">
        <v>87</v>
      </c>
      <c r="C337" s="1087">
        <v>0.99578200938519512</v>
      </c>
      <c r="D337" s="1087">
        <v>0.97901730744516224</v>
      </c>
      <c r="E337" s="1087">
        <v>1.0296577327854799</v>
      </c>
      <c r="F337" s="1087">
        <v>0.96334028196695654</v>
      </c>
      <c r="G337" s="1087">
        <v>1.016433223742675</v>
      </c>
      <c r="H337" s="1087">
        <v>1.0163127074123746</v>
      </c>
      <c r="I337" s="1087">
        <v>1.0104993189344389</v>
      </c>
      <c r="K337">
        <v>1.8790046917390242</v>
      </c>
      <c r="L337">
        <v>0</v>
      </c>
      <c r="M337">
        <v>3.5322358417755806E-3</v>
      </c>
      <c r="N337">
        <v>0.36713890934517224</v>
      </c>
      <c r="O337">
        <v>0.23730579176345873</v>
      </c>
      <c r="P337">
        <v>1.3453001789892312E-2</v>
      </c>
      <c r="Q337">
        <v>1.6550599837763843E-3</v>
      </c>
      <c r="R337">
        <v>3.5262793813809448E-3</v>
      </c>
      <c r="S337">
        <v>0.37828531431729773</v>
      </c>
      <c r="T337">
        <v>0.38810600547695118</v>
      </c>
      <c r="U337">
        <v>0</v>
      </c>
      <c r="V337">
        <v>0.1982922367447871</v>
      </c>
      <c r="W337">
        <v>0.22961243832902961</v>
      </c>
      <c r="X337">
        <v>5.5564520410621106E-2</v>
      </c>
      <c r="Y337">
        <v>9.5973700384332714E-3</v>
      </c>
    </row>
    <row r="338" spans="1:25" x14ac:dyDescent="0.25">
      <c r="A338" s="1083"/>
      <c r="B338" s="1455">
        <v>88</v>
      </c>
      <c r="C338" s="1087">
        <v>1.0056845672652872</v>
      </c>
      <c r="D338" s="1087">
        <v>0.98879708240052855</v>
      </c>
      <c r="E338" s="1087">
        <v>0.99678938363964742</v>
      </c>
      <c r="F338" s="1087">
        <v>1.0083682744821276</v>
      </c>
      <c r="G338" s="1087">
        <v>1.0123174255945775</v>
      </c>
      <c r="H338" s="1087">
        <v>1.0146070674417422</v>
      </c>
      <c r="I338" s="1087">
        <v>1.0138736071349077</v>
      </c>
      <c r="K338">
        <v>1.8700590429910586</v>
      </c>
      <c r="L338">
        <v>0</v>
      </c>
      <c r="M338">
        <v>3.7160630515103623E-3</v>
      </c>
      <c r="N338">
        <v>0.34941553978585294</v>
      </c>
      <c r="O338">
        <v>0.24011668295031088</v>
      </c>
      <c r="P338">
        <v>1.3334192190693836E-2</v>
      </c>
      <c r="Q338">
        <v>1.5764567467874625E-3</v>
      </c>
      <c r="R338">
        <v>3.7097792445929937E-3</v>
      </c>
      <c r="S338">
        <v>0.37310291438490495</v>
      </c>
      <c r="T338">
        <v>0.40604398413116122</v>
      </c>
      <c r="U338">
        <v>0</v>
      </c>
      <c r="V338">
        <v>0.20045671325511805</v>
      </c>
      <c r="W338">
        <v>0.22301723387643019</v>
      </c>
      <c r="X338">
        <v>5.2904813301332225E-2</v>
      </c>
      <c r="Y338">
        <v>1.0096796175382819E-2</v>
      </c>
    </row>
    <row r="339" spans="1:25" x14ac:dyDescent="0.25">
      <c r="A339" s="1083"/>
      <c r="B339" s="1455">
        <v>89</v>
      </c>
      <c r="C339" s="1087">
        <v>1.0019797787639162</v>
      </c>
      <c r="D339" s="1087">
        <v>1.0211873806308691</v>
      </c>
      <c r="E339" s="1087">
        <v>0.98886043414370495</v>
      </c>
      <c r="F339" s="1087">
        <v>0.95662162881861257</v>
      </c>
      <c r="G339" s="1087">
        <v>1.0169842882034728</v>
      </c>
      <c r="H339" s="1087">
        <v>0.98095769967846691</v>
      </c>
      <c r="I339" s="1087">
        <v>1.0074590589706542</v>
      </c>
      <c r="K339">
        <v>1.7870836165774813</v>
      </c>
      <c r="L339">
        <v>0</v>
      </c>
      <c r="M339">
        <v>3.6015396382626614E-3</v>
      </c>
      <c r="N339">
        <v>0.33052522647586519</v>
      </c>
      <c r="O339">
        <v>0.23115670812771399</v>
      </c>
      <c r="P339">
        <v>1.2708122198888654E-2</v>
      </c>
      <c r="Q339">
        <v>1.5488259650114412E-3</v>
      </c>
      <c r="R339">
        <v>3.5952117005095558E-3</v>
      </c>
      <c r="S339">
        <v>0.35937033766669879</v>
      </c>
      <c r="T339">
        <v>0.38516121680723758</v>
      </c>
      <c r="U339">
        <v>0</v>
      </c>
      <c r="V339">
        <v>0.19464698870929059</v>
      </c>
      <c r="W339">
        <v>0.21201376295290295</v>
      </c>
      <c r="X339">
        <v>5.0173774524054852E-2</v>
      </c>
      <c r="Y339">
        <v>9.7849810875684558E-3</v>
      </c>
    </row>
    <row r="340" spans="1:25" x14ac:dyDescent="0.25">
      <c r="A340" s="1083"/>
      <c r="B340" s="1455">
        <v>90</v>
      </c>
      <c r="C340" s="1087">
        <v>1.0083549007040273</v>
      </c>
      <c r="D340" s="1087">
        <v>1.023760863090474</v>
      </c>
      <c r="E340" s="1087">
        <v>0.97146779804537864</v>
      </c>
      <c r="F340" s="1087">
        <v>1.0007423242197813</v>
      </c>
      <c r="G340" s="1087">
        <v>0.99747397358712719</v>
      </c>
      <c r="H340" s="1087">
        <v>1.0173009845290264</v>
      </c>
      <c r="I340" s="1087">
        <v>1.0201149903414111</v>
      </c>
      <c r="K340">
        <v>1.8282326858048232</v>
      </c>
      <c r="L340">
        <v>0</v>
      </c>
      <c r="M340">
        <v>3.8399088524195498E-3</v>
      </c>
      <c r="N340">
        <v>0.33417955799259841</v>
      </c>
      <c r="O340">
        <v>0.23507884701604345</v>
      </c>
      <c r="P340">
        <v>1.2923622854785759E-2</v>
      </c>
      <c r="Q340">
        <v>1.5089639114529935E-3</v>
      </c>
      <c r="R340">
        <v>3.8334004728619734E-3</v>
      </c>
      <c r="S340">
        <v>0.36745458795904984</v>
      </c>
      <c r="T340">
        <v>0.40282142103064894</v>
      </c>
      <c r="U340">
        <v>0</v>
      </c>
      <c r="V340">
        <v>0.19752133990603593</v>
      </c>
      <c r="W340">
        <v>0.21673552193780968</v>
      </c>
      <c r="X340">
        <v>4.9582079168951736E-2</v>
      </c>
      <c r="Y340">
        <v>1.0433252407004035E-2</v>
      </c>
    </row>
    <row r="341" spans="1:25" x14ac:dyDescent="0.25">
      <c r="A341" s="1083"/>
      <c r="B341" s="1455">
        <v>91</v>
      </c>
      <c r="C341" s="1087">
        <v>1.0039166922279086</v>
      </c>
      <c r="D341" s="1087">
        <v>0.99604192105577671</v>
      </c>
      <c r="E341" s="1087">
        <v>0.99327935701183734</v>
      </c>
      <c r="F341" s="1087">
        <v>0.97558674741751161</v>
      </c>
      <c r="G341" s="1087">
        <v>0.98115641115714902</v>
      </c>
      <c r="H341" s="1087">
        <v>0.96894465248674866</v>
      </c>
      <c r="I341" s="1087">
        <v>0.97890917409473477</v>
      </c>
      <c r="K341">
        <v>1.796478456301946</v>
      </c>
      <c r="L341">
        <v>0</v>
      </c>
      <c r="M341">
        <v>3.5663358731925538E-3</v>
      </c>
      <c r="N341">
        <v>0.33173571695926568</v>
      </c>
      <c r="O341">
        <v>0.23566214419081152</v>
      </c>
      <c r="P341">
        <v>1.2781828370711327E-2</v>
      </c>
      <c r="Q341">
        <v>1.5687345697209447E-3</v>
      </c>
      <c r="R341">
        <v>3.560014163962922E-3</v>
      </c>
      <c r="S341">
        <v>0.35127040113401942</v>
      </c>
      <c r="T341">
        <v>0.39282303067821944</v>
      </c>
      <c r="U341">
        <v>0</v>
      </c>
      <c r="V341">
        <v>0.19740234124882938</v>
      </c>
      <c r="W341">
        <v>0.21219956011198807</v>
      </c>
      <c r="X341">
        <v>5.1351835751653696E-2</v>
      </c>
      <c r="Y341">
        <v>9.689184995953325E-3</v>
      </c>
    </row>
    <row r="342" spans="1:25" x14ac:dyDescent="0.25">
      <c r="A342" s="1083"/>
      <c r="B342" s="1455">
        <v>92</v>
      </c>
      <c r="C342" s="1087">
        <v>1.0079598291695495</v>
      </c>
      <c r="D342" s="1087">
        <v>0.98886494776210743</v>
      </c>
      <c r="E342" s="1087">
        <v>1.0009994924948802</v>
      </c>
      <c r="F342" s="1087">
        <v>1.0011470716178881</v>
      </c>
      <c r="G342" s="1087">
        <v>0.98134445127492154</v>
      </c>
      <c r="H342" s="1087">
        <v>1.0052527144748429</v>
      </c>
      <c r="I342" s="1087">
        <v>1.0219650107440028</v>
      </c>
      <c r="K342">
        <v>1.8608374572946946</v>
      </c>
      <c r="L342">
        <v>0</v>
      </c>
      <c r="M342">
        <v>3.6418334380678447E-3</v>
      </c>
      <c r="N342">
        <v>0.34685871432298354</v>
      </c>
      <c r="O342">
        <v>0.23904622305053658</v>
      </c>
      <c r="P342">
        <v>1.3331204284623047E-2</v>
      </c>
      <c r="Q342">
        <v>1.57993107422575E-3</v>
      </c>
      <c r="R342">
        <v>3.6356177386024243E-3</v>
      </c>
      <c r="S342">
        <v>0.37353452766502004</v>
      </c>
      <c r="T342">
        <v>0.4031617102881771</v>
      </c>
      <c r="U342">
        <v>0</v>
      </c>
      <c r="V342">
        <v>0.19961555002521428</v>
      </c>
      <c r="W342">
        <v>0.2208032317228161</v>
      </c>
      <c r="X342">
        <v>5.3017627557152072E-2</v>
      </c>
      <c r="Y342">
        <v>9.8949530034103672E-3</v>
      </c>
    </row>
    <row r="343" spans="1:25" x14ac:dyDescent="0.25">
      <c r="A343" s="1083"/>
      <c r="B343" s="1455">
        <v>93</v>
      </c>
      <c r="C343" s="1087">
        <v>1.0025404642708351</v>
      </c>
      <c r="D343" s="1087">
        <v>1.0001049768310368</v>
      </c>
      <c r="E343" s="1087">
        <v>0.9787004364660935</v>
      </c>
      <c r="F343" s="1087">
        <v>1.0086817187832329</v>
      </c>
      <c r="G343" s="1087">
        <v>1.0065658100689412</v>
      </c>
      <c r="H343" s="1087">
        <v>1.0188280328586856</v>
      </c>
      <c r="I343" s="1087">
        <v>0.97646005205872255</v>
      </c>
      <c r="K343">
        <v>1.8452300885841921</v>
      </c>
      <c r="L343">
        <v>0</v>
      </c>
      <c r="M343">
        <v>3.8602091410487238E-3</v>
      </c>
      <c r="N343">
        <v>0.34346026500251731</v>
      </c>
      <c r="O343">
        <v>0.23913778366194433</v>
      </c>
      <c r="P343">
        <v>1.295621963322019E-2</v>
      </c>
      <c r="Q343">
        <v>1.543981682311414E-3</v>
      </c>
      <c r="R343">
        <v>3.8536981694986291E-3</v>
      </c>
      <c r="S343">
        <v>0.35873830376508997</v>
      </c>
      <c r="T343">
        <v>0.40606061625597151</v>
      </c>
      <c r="U343">
        <v>0</v>
      </c>
      <c r="V343">
        <v>0.20010484795446495</v>
      </c>
      <c r="W343">
        <v>0.22173121983257638</v>
      </c>
      <c r="X343">
        <v>5.1014865721531924E-2</v>
      </c>
      <c r="Y343">
        <v>1.0488496046115113E-2</v>
      </c>
    </row>
    <row r="344" spans="1:25" x14ac:dyDescent="0.25">
      <c r="A344" s="1083"/>
      <c r="B344" s="1455">
        <v>94</v>
      </c>
      <c r="C344" s="1087">
        <v>0.99675132188268756</v>
      </c>
      <c r="D344" s="1087">
        <v>1.0139347843496453</v>
      </c>
      <c r="E344" s="1087">
        <v>0.99046616111551833</v>
      </c>
      <c r="F344" s="1087">
        <v>1.0055053713827389</v>
      </c>
      <c r="G344" s="1087">
        <v>1.0243341366719949</v>
      </c>
      <c r="H344" s="1087">
        <v>1.0386436013839391</v>
      </c>
      <c r="I344" s="1087">
        <v>0.9758237528596222</v>
      </c>
      <c r="K344">
        <v>1.8619939328963575</v>
      </c>
      <c r="L344">
        <v>0</v>
      </c>
      <c r="M344">
        <v>3.8356842898260232E-3</v>
      </c>
      <c r="N344">
        <v>0.35377912210069667</v>
      </c>
      <c r="O344">
        <v>0.2382685654842597</v>
      </c>
      <c r="P344">
        <v>1.3088573331639158E-2</v>
      </c>
      <c r="Q344">
        <v>1.564083733785377E-3</v>
      </c>
      <c r="R344">
        <v>3.8293258823598438E-3</v>
      </c>
      <c r="S344">
        <v>0.36148205505699982</v>
      </c>
      <c r="T344">
        <v>0.40485281749813229</v>
      </c>
      <c r="U344">
        <v>0</v>
      </c>
      <c r="V344">
        <v>0.1997946194391782</v>
      </c>
      <c r="W344">
        <v>0.22670051782210993</v>
      </c>
      <c r="X344">
        <v>5.2047774122176781E-2</v>
      </c>
      <c r="Y344">
        <v>1.0422162714845633E-2</v>
      </c>
    </row>
    <row r="345" spans="1:25" x14ac:dyDescent="0.25">
      <c r="A345" s="1083"/>
      <c r="B345" s="1455">
        <v>95</v>
      </c>
      <c r="C345" s="1087">
        <v>0.95584126039519579</v>
      </c>
      <c r="D345" s="1087">
        <v>1.0083881050264305</v>
      </c>
      <c r="E345" s="1087">
        <v>0.99310234924756191</v>
      </c>
      <c r="F345" s="1087">
        <v>1.0329034278834426</v>
      </c>
      <c r="G345" s="1087">
        <v>1.0219432499075749</v>
      </c>
      <c r="H345" s="1087">
        <v>0.9933103314598285</v>
      </c>
      <c r="I345" s="1087">
        <v>0.96777119016773572</v>
      </c>
      <c r="K345">
        <v>1.8981820735888464</v>
      </c>
      <c r="L345">
        <v>0</v>
      </c>
      <c r="M345">
        <v>3.8165291515176603E-3</v>
      </c>
      <c r="N345">
        <v>0.3548310547152369</v>
      </c>
      <c r="O345">
        <v>0.24724215843303315</v>
      </c>
      <c r="P345">
        <v>1.3434360014421207E-2</v>
      </c>
      <c r="Q345">
        <v>1.6392271042890876E-3</v>
      </c>
      <c r="R345">
        <v>3.8099197298723814E-3</v>
      </c>
      <c r="S345">
        <v>0.3667465902991745</v>
      </c>
      <c r="T345">
        <v>0.41590066747261356</v>
      </c>
      <c r="U345">
        <v>0</v>
      </c>
      <c r="V345">
        <v>0.20704540622667597</v>
      </c>
      <c r="W345">
        <v>0.22699806094208133</v>
      </c>
      <c r="X345">
        <v>5.3981812237951614E-2</v>
      </c>
      <c r="Y345">
        <v>1.036934556501121E-2</v>
      </c>
    </row>
    <row r="346" spans="1:25" x14ac:dyDescent="0.25">
      <c r="A346" s="1083"/>
      <c r="B346" s="1455">
        <v>96</v>
      </c>
      <c r="C346" s="1087">
        <v>0.97927162226009234</v>
      </c>
      <c r="D346" s="1087">
        <v>0.96230123015443692</v>
      </c>
      <c r="E346" s="1087">
        <v>1.0142535355068016</v>
      </c>
      <c r="F346" s="1087">
        <v>1.0242696239479885</v>
      </c>
      <c r="G346" s="1087">
        <v>0.9906056204216851</v>
      </c>
      <c r="H346" s="1087">
        <v>0.97026462189013374</v>
      </c>
      <c r="I346" s="1087">
        <v>0.98760480528087591</v>
      </c>
      <c r="K346">
        <v>1.8970927498998102</v>
      </c>
      <c r="L346">
        <v>0</v>
      </c>
      <c r="M346">
        <v>3.5734461562278337E-3</v>
      </c>
      <c r="N346">
        <v>0.35436613092956498</v>
      </c>
      <c r="O346">
        <v>0.24828166172669217</v>
      </c>
      <c r="P346">
        <v>1.3647215077211726E-2</v>
      </c>
      <c r="Q346">
        <v>1.6673167157681005E-3</v>
      </c>
      <c r="R346">
        <v>3.5671514997456309E-3</v>
      </c>
      <c r="S346">
        <v>0.37083612302978475</v>
      </c>
      <c r="T346">
        <v>0.41255585827129537</v>
      </c>
      <c r="U346">
        <v>0</v>
      </c>
      <c r="V346">
        <v>0.20630395384719949</v>
      </c>
      <c r="W346">
        <v>0.22373245125437013</v>
      </c>
      <c r="X346">
        <v>5.5999723233273284E-2</v>
      </c>
      <c r="Y346">
        <v>9.7086104711317494E-3</v>
      </c>
    </row>
    <row r="347" spans="1:25" x14ac:dyDescent="0.25">
      <c r="A347" s="1083"/>
      <c r="B347" s="1455">
        <v>97</v>
      </c>
      <c r="C347" s="1087">
        <v>0.96887137421561709</v>
      </c>
      <c r="D347" s="1087">
        <v>1.0396414854048945</v>
      </c>
      <c r="E347" s="1087">
        <v>0.99439631269773443</v>
      </c>
      <c r="F347" s="1087">
        <v>1.0197797900585499</v>
      </c>
      <c r="G347" s="1087">
        <v>1.0179838129278831</v>
      </c>
      <c r="H347" s="1087">
        <v>0.9897275986291918</v>
      </c>
      <c r="I347" s="1087">
        <v>0.99041077840778369</v>
      </c>
      <c r="K347">
        <v>1.8584536412378072</v>
      </c>
      <c r="L347">
        <v>0</v>
      </c>
      <c r="M347">
        <v>3.6802656430077619E-3</v>
      </c>
      <c r="N347">
        <v>0.34351198769114499</v>
      </c>
      <c r="O347">
        <v>0.24092608970948523</v>
      </c>
      <c r="P347">
        <v>1.3272742210089708E-2</v>
      </c>
      <c r="Q347">
        <v>1.5997686160637615E-3</v>
      </c>
      <c r="R347">
        <v>3.6738412460016537E-3</v>
      </c>
      <c r="S347">
        <v>0.36344380003813076</v>
      </c>
      <c r="T347">
        <v>0.41062436774963129</v>
      </c>
      <c r="U347">
        <v>0</v>
      </c>
      <c r="V347">
        <v>0.20277032711287438</v>
      </c>
      <c r="W347">
        <v>0.21957841234569123</v>
      </c>
      <c r="X347">
        <v>5.2733585371526913E-2</v>
      </c>
      <c r="Y347">
        <v>9.9989847901752419E-3</v>
      </c>
    </row>
    <row r="348" spans="1:25" x14ac:dyDescent="0.25">
      <c r="A348" s="1083"/>
      <c r="B348" s="1455">
        <v>98</v>
      </c>
      <c r="C348" s="1087">
        <v>1.0059266555110524</v>
      </c>
      <c r="D348" s="1087">
        <v>1.015631946880811</v>
      </c>
      <c r="E348" s="1087">
        <v>0.99927843525732352</v>
      </c>
      <c r="F348" s="1087">
        <v>0.99639355382830574</v>
      </c>
      <c r="G348" s="1087">
        <v>1.0107416033428909</v>
      </c>
      <c r="H348" s="1087">
        <v>0.96385961113479224</v>
      </c>
      <c r="I348" s="1087">
        <v>0.98678330289225946</v>
      </c>
      <c r="K348">
        <v>1.7966301073016231</v>
      </c>
      <c r="L348">
        <v>0</v>
      </c>
      <c r="M348">
        <v>3.4608506229272659E-3</v>
      </c>
      <c r="N348">
        <v>0.32786843896077422</v>
      </c>
      <c r="O348">
        <v>0.23605680832507367</v>
      </c>
      <c r="P348">
        <v>1.2928083976522354E-2</v>
      </c>
      <c r="Q348">
        <v>1.5634316429391369E-3</v>
      </c>
      <c r="R348">
        <v>3.4546668130731191E-3</v>
      </c>
      <c r="S348">
        <v>0.34877218510246322</v>
      </c>
      <c r="T348">
        <v>0.40123707809795456</v>
      </c>
      <c r="U348">
        <v>0</v>
      </c>
      <c r="V348">
        <v>0.19799766093412799</v>
      </c>
      <c r="W348">
        <v>0.2089389464896787</v>
      </c>
      <c r="X348">
        <v>5.1871193347367152E-2</v>
      </c>
      <c r="Y348">
        <v>9.4024642345761685E-3</v>
      </c>
    </row>
    <row r="349" spans="1:25" x14ac:dyDescent="0.25">
      <c r="A349" s="1083"/>
      <c r="B349" s="1455">
        <v>99</v>
      </c>
      <c r="C349" s="1087">
        <v>0.9632064247695884</v>
      </c>
      <c r="D349" s="1087">
        <v>1.0155324343141345</v>
      </c>
      <c r="E349" s="1087">
        <v>1.0279835265384034</v>
      </c>
      <c r="F349" s="1087">
        <v>0.99582097263315117</v>
      </c>
      <c r="G349" s="1087">
        <v>0.99922166607215546</v>
      </c>
      <c r="H349" s="1087">
        <v>1.010101003128336</v>
      </c>
      <c r="I349" s="1087">
        <v>1.0226521159817494</v>
      </c>
      <c r="K349">
        <v>1.9144987037840377</v>
      </c>
      <c r="L349">
        <v>0</v>
      </c>
      <c r="M349">
        <v>3.5717531131125952E-3</v>
      </c>
      <c r="N349">
        <v>0.36935150004478251</v>
      </c>
      <c r="O349">
        <v>0.24166974324202892</v>
      </c>
      <c r="P349">
        <v>1.3798887336744274E-2</v>
      </c>
      <c r="Q349">
        <v>1.6831929606343549E-3</v>
      </c>
      <c r="R349">
        <v>3.56566383665715E-3</v>
      </c>
      <c r="S349">
        <v>0.38669541254979378</v>
      </c>
      <c r="T349">
        <v>0.40118136810406624</v>
      </c>
      <c r="U349">
        <v>0</v>
      </c>
      <c r="V349">
        <v>0.20281447859918159</v>
      </c>
      <c r="W349">
        <v>0.23123281272420498</v>
      </c>
      <c r="X349">
        <v>5.6372835956441811E-2</v>
      </c>
      <c r="Y349">
        <v>9.7045615426129134E-3</v>
      </c>
    </row>
    <row r="350" spans="1:25" x14ac:dyDescent="0.25">
      <c r="A350" s="1083"/>
      <c r="B350" s="1455">
        <v>100</v>
      </c>
      <c r="C350" s="1087">
        <v>1.0273621002442266</v>
      </c>
      <c r="D350" s="1087">
        <v>1.0239988788377643</v>
      </c>
      <c r="E350" s="1087">
        <v>0.9774263531150339</v>
      </c>
      <c r="F350" s="1087">
        <v>1.0406005709797532</v>
      </c>
      <c r="G350" s="1087">
        <v>0.99155611474969652</v>
      </c>
      <c r="H350" s="1087">
        <v>0.9769898450291713</v>
      </c>
      <c r="I350" s="1087">
        <v>1.0075150659656313</v>
      </c>
      <c r="K350">
        <v>1.7996059747234252</v>
      </c>
      <c r="L350">
        <v>0</v>
      </c>
      <c r="M350">
        <v>3.5727968443439312E-3</v>
      </c>
      <c r="N350">
        <v>0.31662711268474031</v>
      </c>
      <c r="O350">
        <v>0.23727972983202539</v>
      </c>
      <c r="P350">
        <v>1.2968637250114455E-2</v>
      </c>
      <c r="Q350">
        <v>1.4904678072557196E-3</v>
      </c>
      <c r="R350">
        <v>3.5664865369005711E-3</v>
      </c>
      <c r="S350">
        <v>0.34902342264248187</v>
      </c>
      <c r="T350">
        <v>0.41890214351147098</v>
      </c>
      <c r="U350">
        <v>0</v>
      </c>
      <c r="V350">
        <v>0.19884217110056615</v>
      </c>
      <c r="W350">
        <v>0.20457376816969172</v>
      </c>
      <c r="X350">
        <v>5.0198031371048994E-2</v>
      </c>
      <c r="Y350">
        <v>9.7068006614724374E-3</v>
      </c>
    </row>
    <row r="351" spans="1:25" x14ac:dyDescent="0.25">
      <c r="A351" s="1083"/>
      <c r="B351" s="1455">
        <v>101</v>
      </c>
      <c r="C351" s="1087">
        <v>1.0020678359953386</v>
      </c>
      <c r="D351" s="1087">
        <v>1.0028939752566022</v>
      </c>
      <c r="E351" s="1087">
        <v>1.0350997427787518</v>
      </c>
      <c r="F351" s="1087">
        <v>0.9970220932816598</v>
      </c>
      <c r="G351" s="1087">
        <v>1.0139497306875587</v>
      </c>
      <c r="H351" s="1087">
        <v>1.0252517330416806</v>
      </c>
      <c r="I351" s="1087">
        <v>0.99459268246786603</v>
      </c>
      <c r="K351">
        <v>1.8800979100742083</v>
      </c>
      <c r="L351">
        <v>0</v>
      </c>
      <c r="M351">
        <v>3.4573169150312463E-3</v>
      </c>
      <c r="N351">
        <v>0.36535877594847854</v>
      </c>
      <c r="O351">
        <v>0.23836275448546151</v>
      </c>
      <c r="P351">
        <v>1.3550698893834836E-2</v>
      </c>
      <c r="Q351">
        <v>1.6382185169178118E-3</v>
      </c>
      <c r="R351">
        <v>3.4515198117872552E-3</v>
      </c>
      <c r="S351">
        <v>0.36681355010055761</v>
      </c>
      <c r="T351">
        <v>0.40170919351287387</v>
      </c>
      <c r="U351">
        <v>0</v>
      </c>
      <c r="V351">
        <v>0.19934642838753297</v>
      </c>
      <c r="W351">
        <v>0.22774204091990061</v>
      </c>
      <c r="X351">
        <v>5.6188147277408895E-2</v>
      </c>
      <c r="Y351">
        <v>9.39389913448474E-3</v>
      </c>
    </row>
    <row r="352" spans="1:25" x14ac:dyDescent="0.25">
      <c r="A352" s="1083"/>
      <c r="B352" s="1455">
        <v>102</v>
      </c>
      <c r="C352" s="1087">
        <v>1.025939199121692</v>
      </c>
      <c r="D352" s="1087">
        <v>0.95958017046222344</v>
      </c>
      <c r="E352" s="1087">
        <v>0.96231353027315403</v>
      </c>
      <c r="F352" s="1087">
        <v>0.9856746898949329</v>
      </c>
      <c r="G352" s="1087">
        <v>1.0065271757570622</v>
      </c>
      <c r="H352" s="1087">
        <v>0.99850667322657538</v>
      </c>
      <c r="I352" s="1087">
        <v>1.0095254110395282</v>
      </c>
      <c r="K352">
        <v>1.8194206667212185</v>
      </c>
      <c r="L352">
        <v>0</v>
      </c>
      <c r="M352">
        <v>3.9085146539560873E-3</v>
      </c>
      <c r="N352">
        <v>0.33075149279791377</v>
      </c>
      <c r="O352">
        <v>0.23747931052086182</v>
      </c>
      <c r="P352">
        <v>1.2748168759497493E-2</v>
      </c>
      <c r="Q352">
        <v>1.5069808282940633E-3</v>
      </c>
      <c r="R352">
        <v>3.9018265835129842E-3</v>
      </c>
      <c r="S352">
        <v>0.36693885347042005</v>
      </c>
      <c r="T352">
        <v>0.39670299756493432</v>
      </c>
      <c r="U352">
        <v>0</v>
      </c>
      <c r="V352">
        <v>0.19775274091148293</v>
      </c>
      <c r="W352">
        <v>0.21577394362479543</v>
      </c>
      <c r="X352">
        <v>4.9153380589926687E-2</v>
      </c>
      <c r="Y352">
        <v>1.0619485723534772E-2</v>
      </c>
    </row>
    <row r="353" spans="1:25" x14ac:dyDescent="0.25">
      <c r="A353" s="1083"/>
      <c r="B353" s="1455">
        <v>103</v>
      </c>
      <c r="C353" s="1087">
        <v>0.96822513818217215</v>
      </c>
      <c r="D353" s="1087">
        <v>1.021243732100704</v>
      </c>
      <c r="E353" s="1087">
        <v>0.96820375961827043</v>
      </c>
      <c r="F353" s="1087">
        <v>1.0068856984008607</v>
      </c>
      <c r="G353" s="1087">
        <v>0.98756020973675063</v>
      </c>
      <c r="H353" s="1087">
        <v>0.96484420992098552</v>
      </c>
      <c r="I353" s="1087">
        <v>1.0039713821312304</v>
      </c>
      <c r="K353">
        <v>1.8349567840286203</v>
      </c>
      <c r="L353">
        <v>0</v>
      </c>
      <c r="M353">
        <v>3.8239595680067979E-3</v>
      </c>
      <c r="N353">
        <v>0.32945575936621552</v>
      </c>
      <c r="O353">
        <v>0.24092878875936935</v>
      </c>
      <c r="P353">
        <v>1.2990101123621117E-2</v>
      </c>
      <c r="Q353">
        <v>1.5675060067854194E-3</v>
      </c>
      <c r="R353">
        <v>3.8171295275443882E-3</v>
      </c>
      <c r="S353">
        <v>0.3673921353347529</v>
      </c>
      <c r="T353">
        <v>0.40527478939101447</v>
      </c>
      <c r="U353">
        <v>0</v>
      </c>
      <c r="V353">
        <v>0.20254418680036346</v>
      </c>
      <c r="W353">
        <v>0.21411812859596888</v>
      </c>
      <c r="X353">
        <v>5.0303250433424679E-2</v>
      </c>
      <c r="Y353">
        <v>1.0388968257565249E-2</v>
      </c>
    </row>
    <row r="354" spans="1:25" x14ac:dyDescent="0.25">
      <c r="A354" s="1083"/>
      <c r="B354" s="1455">
        <v>104</v>
      </c>
      <c r="C354" s="1087">
        <v>0.99709044099267574</v>
      </c>
      <c r="D354" s="1087">
        <v>0.97990865565209317</v>
      </c>
      <c r="E354" s="1087">
        <v>1.01287547151153</v>
      </c>
      <c r="F354" s="1087">
        <v>1.0426976899797962</v>
      </c>
      <c r="G354" s="1087">
        <v>1.0081563867825689</v>
      </c>
      <c r="H354" s="1087">
        <v>1.0258557026980146</v>
      </c>
      <c r="I354" s="1087">
        <v>0.99738782119040326</v>
      </c>
      <c r="K354">
        <v>1.9205738127335732</v>
      </c>
      <c r="L354">
        <v>0</v>
      </c>
      <c r="M354">
        <v>3.6848785454140151E-3</v>
      </c>
      <c r="N354">
        <v>0.36391774567988366</v>
      </c>
      <c r="O354">
        <v>0.24634088908185295</v>
      </c>
      <c r="P354">
        <v>1.3764217224376613E-2</v>
      </c>
      <c r="Q354">
        <v>1.6233180440825797E-3</v>
      </c>
      <c r="R354">
        <v>3.678723693157266E-3</v>
      </c>
      <c r="S354">
        <v>0.37431385610892631</v>
      </c>
      <c r="T354">
        <v>0.41996953466008524</v>
      </c>
      <c r="U354">
        <v>0</v>
      </c>
      <c r="V354">
        <v>0.20491194067131263</v>
      </c>
      <c r="W354">
        <v>0.22995886945097282</v>
      </c>
      <c r="X354">
        <v>5.5767323462499629E-2</v>
      </c>
      <c r="Y354">
        <v>1.0012273201834546E-2</v>
      </c>
    </row>
    <row r="355" spans="1:25" x14ac:dyDescent="0.25">
      <c r="A355" s="1083"/>
      <c r="B355" s="1455">
        <v>105</v>
      </c>
      <c r="C355" s="1087">
        <v>0.97946776391038004</v>
      </c>
      <c r="D355" s="1087">
        <v>0.98968631048390021</v>
      </c>
      <c r="E355" s="1087">
        <v>1.0168873062920103</v>
      </c>
      <c r="F355" s="1087">
        <v>0.96683391995329704</v>
      </c>
      <c r="G355" s="1087">
        <v>0.96773901927280481</v>
      </c>
      <c r="H355" s="1087">
        <v>1.0240820457055946</v>
      </c>
      <c r="I355" s="1087">
        <v>1.0059711116078007</v>
      </c>
      <c r="K355">
        <v>1.8912484229734223</v>
      </c>
      <c r="L355">
        <v>0</v>
      </c>
      <c r="M355">
        <v>3.6929639672532147E-3</v>
      </c>
      <c r="N355">
        <v>0.36920185153325519</v>
      </c>
      <c r="O355">
        <v>0.23846545958692594</v>
      </c>
      <c r="P355">
        <v>1.3415889728871954E-2</v>
      </c>
      <c r="Q355">
        <v>1.6529724191737341E-3</v>
      </c>
      <c r="R355">
        <v>3.6867743321323497E-3</v>
      </c>
      <c r="S355">
        <v>0.38187164749509872</v>
      </c>
      <c r="T355">
        <v>0.38943747361441655</v>
      </c>
      <c r="U355">
        <v>0</v>
      </c>
      <c r="V355">
        <v>0.19972548925732486</v>
      </c>
      <c r="W355">
        <v>0.23272029490422724</v>
      </c>
      <c r="X355">
        <v>5.4729349682017446E-2</v>
      </c>
      <c r="Y355">
        <v>1.0034184387232302E-2</v>
      </c>
    </row>
    <row r="356" spans="1:25" x14ac:dyDescent="0.25">
      <c r="A356" s="1083"/>
      <c r="B356" s="1455">
        <v>106</v>
      </c>
      <c r="C356" s="1087">
        <v>1.0047390181314235</v>
      </c>
      <c r="D356" s="1087">
        <v>1.0080236377156673</v>
      </c>
      <c r="E356" s="1087">
        <v>1.0404195293032805</v>
      </c>
      <c r="F356" s="1087">
        <v>1.0004235471550891</v>
      </c>
      <c r="G356" s="1087">
        <v>0.97914231040583766</v>
      </c>
      <c r="H356" s="1087">
        <v>1.0126584350153338</v>
      </c>
      <c r="I356" s="1087">
        <v>1.0177234958320194</v>
      </c>
      <c r="K356">
        <v>1.8771704719740805</v>
      </c>
      <c r="L356">
        <v>0</v>
      </c>
      <c r="M356">
        <v>3.3593560308966403E-3</v>
      </c>
      <c r="N356">
        <v>0.36079282224142722</v>
      </c>
      <c r="O356">
        <v>0.23800509344353543</v>
      </c>
      <c r="P356">
        <v>1.3678649692805252E-2</v>
      </c>
      <c r="Q356">
        <v>1.6396226887856445E-3</v>
      </c>
      <c r="R356">
        <v>3.3536489319231366E-3</v>
      </c>
      <c r="S356">
        <v>0.37104339227754402</v>
      </c>
      <c r="T356">
        <v>0.40311276346256941</v>
      </c>
      <c r="U356">
        <v>0</v>
      </c>
      <c r="V356">
        <v>0.19911181241908232</v>
      </c>
      <c r="W356">
        <v>0.22417038413474072</v>
      </c>
      <c r="X356">
        <v>5.6494111849939882E-2</v>
      </c>
      <c r="Y356">
        <v>9.1275268626214885E-3</v>
      </c>
    </row>
    <row r="357" spans="1:25" x14ac:dyDescent="0.25">
      <c r="A357" s="1083"/>
      <c r="B357" s="1455">
        <v>107</v>
      </c>
      <c r="C357" s="1087">
        <v>1.0091796551856527</v>
      </c>
      <c r="D357" s="1087">
        <v>1.0278411306708732</v>
      </c>
      <c r="E357" s="1087">
        <v>1.0130790474356757</v>
      </c>
      <c r="F357" s="1087">
        <v>0.98339899208825332</v>
      </c>
      <c r="G357" s="1087">
        <v>0.99179806253887715</v>
      </c>
      <c r="H357" s="1087">
        <v>0.97295639425797864</v>
      </c>
      <c r="I357" s="1087">
        <v>0.99263308199485922</v>
      </c>
      <c r="K357">
        <v>1.7929748491423152</v>
      </c>
      <c r="L357">
        <v>0</v>
      </c>
      <c r="M357">
        <v>3.3634192331262643E-3</v>
      </c>
      <c r="N357">
        <v>0.33234251427576933</v>
      </c>
      <c r="O357">
        <v>0.23318178496461545</v>
      </c>
      <c r="P357">
        <v>1.2967929681736471E-2</v>
      </c>
      <c r="Q357">
        <v>1.5738636443352863E-3</v>
      </c>
      <c r="R357">
        <v>3.3574556630802817E-3</v>
      </c>
      <c r="S357">
        <v>0.34915709252918237</v>
      </c>
      <c r="T357">
        <v>0.39608689791888341</v>
      </c>
      <c r="U357">
        <v>0</v>
      </c>
      <c r="V357">
        <v>0.19600479509619564</v>
      </c>
      <c r="W357">
        <v>0.20998009432223028</v>
      </c>
      <c r="X357">
        <v>5.2547952749471126E-2</v>
      </c>
      <c r="Y357">
        <v>9.1378875299426478E-3</v>
      </c>
    </row>
    <row r="358" spans="1:25" x14ac:dyDescent="0.25">
      <c r="A358" s="1083"/>
      <c r="B358" s="1455">
        <v>108</v>
      </c>
      <c r="C358" s="1087">
        <v>0.99258711068488936</v>
      </c>
      <c r="D358" s="1087">
        <v>0.98748732357106306</v>
      </c>
      <c r="E358" s="1087">
        <v>0.96927858019861024</v>
      </c>
      <c r="F358" s="1087">
        <v>0.99637219284161649</v>
      </c>
      <c r="G358" s="1087">
        <v>0.99955123106057875</v>
      </c>
      <c r="H358" s="1087">
        <v>1.0117020389608611</v>
      </c>
      <c r="I358" s="1087">
        <v>0.99857781993795813</v>
      </c>
      <c r="K358">
        <v>1.8558913942775344</v>
      </c>
      <c r="L358">
        <v>0</v>
      </c>
      <c r="M358">
        <v>3.9738148628833438E-3</v>
      </c>
      <c r="N358">
        <v>0.34352519320765701</v>
      </c>
      <c r="O358">
        <v>0.24001440615294858</v>
      </c>
      <c r="P358">
        <v>1.297829716892247E-2</v>
      </c>
      <c r="Q358">
        <v>1.5515351611939047E-3</v>
      </c>
      <c r="R358">
        <v>3.9670770323575804E-3</v>
      </c>
      <c r="S358">
        <v>0.3717392262965013</v>
      </c>
      <c r="T358">
        <v>0.40104941095555824</v>
      </c>
      <c r="U358">
        <v>0</v>
      </c>
      <c r="V358">
        <v>0.2007326288840246</v>
      </c>
      <c r="W358">
        <v>0.22310859563419808</v>
      </c>
      <c r="X358">
        <v>5.0401762711570951E-2</v>
      </c>
      <c r="Y358">
        <v>1.0797075935485085E-2</v>
      </c>
    </row>
    <row r="359" spans="1:25" x14ac:dyDescent="0.25">
      <c r="A359" s="1083"/>
      <c r="B359" s="1455">
        <v>109</v>
      </c>
      <c r="C359" s="1087">
        <v>1.0241890584553501</v>
      </c>
      <c r="D359" s="1087">
        <v>0.97475353703151857</v>
      </c>
      <c r="E359" s="1087">
        <v>0.99635771075186819</v>
      </c>
      <c r="F359" s="1087">
        <v>0.99831925544854982</v>
      </c>
      <c r="G359" s="1087">
        <v>1.0018762004741781</v>
      </c>
      <c r="H359" s="1087">
        <v>1.0024336220739476</v>
      </c>
      <c r="I359" s="1087">
        <v>0.99754771975439649</v>
      </c>
      <c r="K359">
        <v>1.8359425224661901</v>
      </c>
      <c r="L359">
        <v>0</v>
      </c>
      <c r="M359">
        <v>3.6362325968746249E-3</v>
      </c>
      <c r="N359">
        <v>0.34145311958309654</v>
      </c>
      <c r="O359">
        <v>0.23814126736989741</v>
      </c>
      <c r="P359">
        <v>1.3084161497096396E-2</v>
      </c>
      <c r="Q359">
        <v>1.5561395287911812E-3</v>
      </c>
      <c r="R359">
        <v>3.6300214370428084E-3</v>
      </c>
      <c r="S359">
        <v>0.3611452331941305</v>
      </c>
      <c r="T359">
        <v>0.40199489766617069</v>
      </c>
      <c r="U359">
        <v>0</v>
      </c>
      <c r="V359">
        <v>0.19840599639378415</v>
      </c>
      <c r="W359">
        <v>0.21799409712817111</v>
      </c>
      <c r="X359">
        <v>5.2294099549497035E-2</v>
      </c>
      <c r="Y359">
        <v>9.8797217153854082E-3</v>
      </c>
    </row>
    <row r="360" spans="1:25" x14ac:dyDescent="0.25">
      <c r="A360" s="1083"/>
      <c r="B360" s="1455">
        <v>110</v>
      </c>
      <c r="C360" s="1087">
        <v>0.98244216192177702</v>
      </c>
      <c r="D360" s="1087">
        <v>1.0191948632758823</v>
      </c>
      <c r="E360" s="1087">
        <v>0.98172554081561403</v>
      </c>
      <c r="F360" s="1087">
        <v>0.98218228074503644</v>
      </c>
      <c r="G360" s="1087">
        <v>0.98369766264583003</v>
      </c>
      <c r="H360" s="1087">
        <v>0.98312409436442083</v>
      </c>
      <c r="I360" s="1087">
        <v>0.99494686776950625</v>
      </c>
      <c r="K360">
        <v>1.8211849978168919</v>
      </c>
      <c r="L360">
        <v>0</v>
      </c>
      <c r="M360">
        <v>3.7394743510440844E-3</v>
      </c>
      <c r="N360">
        <v>0.33578604832707015</v>
      </c>
      <c r="O360">
        <v>0.23662745721811163</v>
      </c>
      <c r="P360">
        <v>1.2881104904256617E-2</v>
      </c>
      <c r="Q360">
        <v>1.5687970994479525E-3</v>
      </c>
      <c r="R360">
        <v>3.7329207937958461E-3</v>
      </c>
      <c r="S360">
        <v>0.36268100727096897</v>
      </c>
      <c r="T360">
        <v>0.39541059936667317</v>
      </c>
      <c r="U360">
        <v>0</v>
      </c>
      <c r="V360">
        <v>0.19901640323748462</v>
      </c>
      <c r="W360">
        <v>0.21636139428298334</v>
      </c>
      <c r="X360">
        <v>5.0698959823439603E-2</v>
      </c>
      <c r="Y360">
        <v>1.0159779843703337E-2</v>
      </c>
    </row>
    <row r="361" spans="1:25" x14ac:dyDescent="0.25">
      <c r="A361" s="1083"/>
      <c r="B361" s="1455">
        <v>111</v>
      </c>
      <c r="C361" s="1087">
        <v>1.0077452488346645</v>
      </c>
      <c r="D361" s="1087">
        <v>1.0180957045386272</v>
      </c>
      <c r="E361" s="1087">
        <v>1.0368363053739973</v>
      </c>
      <c r="F361" s="1087">
        <v>1.0188607238244543</v>
      </c>
      <c r="G361" s="1087">
        <v>1.0005927993775225</v>
      </c>
      <c r="H361" s="1087">
        <v>0.98190666510210045</v>
      </c>
      <c r="I361" s="1087">
        <v>1.0176605327545609</v>
      </c>
      <c r="K361">
        <v>1.8521168198724418</v>
      </c>
      <c r="L361">
        <v>0</v>
      </c>
      <c r="M361">
        <v>3.2535983885346588E-3</v>
      </c>
      <c r="N361">
        <v>0.34562555463827271</v>
      </c>
      <c r="O361">
        <v>0.23870995041271711</v>
      </c>
      <c r="P361">
        <v>1.3633259753545492E-2</v>
      </c>
      <c r="Q361">
        <v>1.622159908198844E-3</v>
      </c>
      <c r="R361">
        <v>3.2478889583535337E-3</v>
      </c>
      <c r="S361">
        <v>0.36223078811566317</v>
      </c>
      <c r="T361">
        <v>0.41051916362766105</v>
      </c>
      <c r="U361">
        <v>0</v>
      </c>
      <c r="V361">
        <v>0.1997974554658957</v>
      </c>
      <c r="W361">
        <v>0.21521414242861447</v>
      </c>
      <c r="X361">
        <v>5.5930371873721504E-2</v>
      </c>
      <c r="Y361">
        <v>8.8396830783309434E-3</v>
      </c>
    </row>
    <row r="362" spans="1:25" x14ac:dyDescent="0.25">
      <c r="A362" s="1083"/>
      <c r="B362" s="1455">
        <v>112</v>
      </c>
      <c r="C362" s="1087">
        <v>1.0059901617260369</v>
      </c>
      <c r="D362" s="1087">
        <v>0.97147122594962232</v>
      </c>
      <c r="E362" s="1087">
        <v>0.98903760571661814</v>
      </c>
      <c r="F362" s="1087">
        <v>1.0097406154204651</v>
      </c>
      <c r="G362" s="1087">
        <v>0.97722838760557829</v>
      </c>
      <c r="H362" s="1087">
        <v>0.98107563356253535</v>
      </c>
      <c r="I362" s="1087">
        <v>0.96070173452599117</v>
      </c>
      <c r="K362">
        <v>1.8329799986795023</v>
      </c>
      <c r="L362">
        <v>0</v>
      </c>
      <c r="M362">
        <v>3.6845919528309761E-3</v>
      </c>
      <c r="N362">
        <v>0.33833450346437205</v>
      </c>
      <c r="O362">
        <v>0.24189826777403184</v>
      </c>
      <c r="P362">
        <v>1.2976978493195467E-2</v>
      </c>
      <c r="Q362">
        <v>1.5740571775654725E-3</v>
      </c>
      <c r="R362">
        <v>3.6781644762584704E-3</v>
      </c>
      <c r="S362">
        <v>0.35093076637676412</v>
      </c>
      <c r="T362">
        <v>0.40654940378251136</v>
      </c>
      <c r="U362">
        <v>0</v>
      </c>
      <c r="V362">
        <v>0.20144322777932475</v>
      </c>
      <c r="W362">
        <v>0.21699876077873034</v>
      </c>
      <c r="X362">
        <v>5.2269709331794881E-2</v>
      </c>
      <c r="Y362">
        <v>1.0010751197781824E-2</v>
      </c>
    </row>
    <row r="363" spans="1:25" x14ac:dyDescent="0.25">
      <c r="A363" s="1083"/>
      <c r="B363" s="1455">
        <v>113</v>
      </c>
      <c r="C363" s="1087">
        <v>0.97523808774525811</v>
      </c>
      <c r="D363" s="1087">
        <v>1.0059081725260837</v>
      </c>
      <c r="E363" s="1087">
        <v>1.0111688914628782</v>
      </c>
      <c r="F363" s="1087">
        <v>1.0308596652873425</v>
      </c>
      <c r="G363" s="1087">
        <v>0.96496851566628372</v>
      </c>
      <c r="H363" s="1087">
        <v>1.0078037840559864</v>
      </c>
      <c r="I363" s="1087">
        <v>1.0201116588835391</v>
      </c>
      <c r="K363">
        <v>1.9155091365550123</v>
      </c>
      <c r="L363">
        <v>0</v>
      </c>
      <c r="M363">
        <v>3.662112066441469E-3</v>
      </c>
      <c r="N363">
        <v>0.35977930475057557</v>
      </c>
      <c r="O363">
        <v>0.2450123608064444</v>
      </c>
      <c r="P363">
        <v>1.3791499711217875E-2</v>
      </c>
      <c r="Q363">
        <v>1.639432507083347E-3</v>
      </c>
      <c r="R363">
        <v>3.6558630548147648E-3</v>
      </c>
      <c r="S363">
        <v>0.38235554179561621</v>
      </c>
      <c r="T363">
        <v>0.41519075859877885</v>
      </c>
      <c r="U363">
        <v>0</v>
      </c>
      <c r="V363">
        <v>0.20488897656077742</v>
      </c>
      <c r="W363">
        <v>0.22758416383762156</v>
      </c>
      <c r="X363">
        <v>5.5323292918248008E-2</v>
      </c>
      <c r="Y363">
        <v>9.9500540802736608E-3</v>
      </c>
    </row>
    <row r="364" spans="1:25" x14ac:dyDescent="0.25">
      <c r="A364" s="1083"/>
      <c r="B364" s="1455">
        <v>114</v>
      </c>
      <c r="C364" s="1087">
        <v>0.99586186618041128</v>
      </c>
      <c r="D364" s="1087">
        <v>0.97708295747172391</v>
      </c>
      <c r="E364" s="1087">
        <v>0.99993302375398929</v>
      </c>
      <c r="F364" s="1087">
        <v>1.0204031583798931</v>
      </c>
      <c r="G364" s="1087">
        <v>1.0095740083525087</v>
      </c>
      <c r="H364" s="1087">
        <v>0.9683558594403936</v>
      </c>
      <c r="I364" s="1087">
        <v>0.99728701747551896</v>
      </c>
      <c r="K364">
        <v>1.8576970366487393</v>
      </c>
      <c r="L364">
        <v>0</v>
      </c>
      <c r="M364">
        <v>3.5818390246118098E-3</v>
      </c>
      <c r="N364">
        <v>0.34001514239570851</v>
      </c>
      <c r="O364">
        <v>0.24398692671352906</v>
      </c>
      <c r="P364">
        <v>1.3353723971382143E-2</v>
      </c>
      <c r="Q364">
        <v>1.6049853240066214E-3</v>
      </c>
      <c r="R364">
        <v>3.5755037735623356E-3</v>
      </c>
      <c r="S364">
        <v>0.36461433396561777</v>
      </c>
      <c r="T364">
        <v>0.41090953633649618</v>
      </c>
      <c r="U364">
        <v>0</v>
      </c>
      <c r="V364">
        <v>0.20321623973793859</v>
      </c>
      <c r="W364">
        <v>0.21659098000801497</v>
      </c>
      <c r="X364">
        <v>5.3680160839958704E-2</v>
      </c>
      <c r="Y364">
        <v>9.7313426071344925E-3</v>
      </c>
    </row>
    <row r="365" spans="1:25" x14ac:dyDescent="0.25">
      <c r="A365" s="1083"/>
      <c r="B365" s="1455">
        <v>115</v>
      </c>
      <c r="C365" s="1087">
        <v>1.0253842463874139</v>
      </c>
      <c r="D365" s="1087">
        <v>1.02364338258798</v>
      </c>
      <c r="E365" s="1087">
        <v>0.96337347486018987</v>
      </c>
      <c r="F365" s="1087">
        <v>1.0287276280150377</v>
      </c>
      <c r="G365" s="1087">
        <v>1.0067718000723245</v>
      </c>
      <c r="H365" s="1087">
        <v>1.0203264980643565</v>
      </c>
      <c r="I365" s="1087">
        <v>0.99890639655124125</v>
      </c>
      <c r="K365">
        <v>1.8157968341100967</v>
      </c>
      <c r="L365">
        <v>0</v>
      </c>
      <c r="M365">
        <v>3.8485857609518032E-3</v>
      </c>
      <c r="N365">
        <v>0.32674483074171817</v>
      </c>
      <c r="O365">
        <v>0.23606371097919748</v>
      </c>
      <c r="P365">
        <v>1.2823167491995769E-2</v>
      </c>
      <c r="Q365">
        <v>1.4710106520490424E-3</v>
      </c>
      <c r="R365">
        <v>3.8420788802461603E-3</v>
      </c>
      <c r="S365">
        <v>0.3542109640867433</v>
      </c>
      <c r="T365">
        <v>0.41403687671573408</v>
      </c>
      <c r="U365">
        <v>0</v>
      </c>
      <c r="V365">
        <v>0.19801664271041056</v>
      </c>
      <c r="W365">
        <v>0.21301495758364519</v>
      </c>
      <c r="X365">
        <v>4.8964307858238326E-2</v>
      </c>
      <c r="Y365">
        <v>1.0456872171067565E-2</v>
      </c>
    </row>
    <row r="366" spans="1:25" x14ac:dyDescent="0.25">
      <c r="A366" s="1083"/>
      <c r="B366" s="1455">
        <v>116</v>
      </c>
      <c r="C366" s="1087">
        <v>0.97687866689385239</v>
      </c>
      <c r="D366" s="1087">
        <v>0.99710950556904976</v>
      </c>
      <c r="E366" s="1087">
        <v>0.96137845061088922</v>
      </c>
      <c r="F366" s="1087">
        <v>1.0037056635193538</v>
      </c>
      <c r="G366" s="1087">
        <v>1.041263111182926</v>
      </c>
      <c r="H366" s="1087">
        <v>1.0293370266561033</v>
      </c>
      <c r="I366" s="1087">
        <v>0.98628416901554172</v>
      </c>
      <c r="K366">
        <v>1.8776156428302815</v>
      </c>
      <c r="L366">
        <v>0</v>
      </c>
      <c r="M366">
        <v>4.1529839732778384E-3</v>
      </c>
      <c r="N366">
        <v>0.35044997476785406</v>
      </c>
      <c r="O366">
        <v>0.24174726048450701</v>
      </c>
      <c r="P366">
        <v>1.2994755831713462E-2</v>
      </c>
      <c r="Q366">
        <v>1.5569787831271845E-3</v>
      </c>
      <c r="R366">
        <v>4.1460538205016356E-3</v>
      </c>
      <c r="S366">
        <v>0.37421354999777151</v>
      </c>
      <c r="T366">
        <v>0.40395436718148181</v>
      </c>
      <c r="U366">
        <v>0</v>
      </c>
      <c r="V366">
        <v>0.20253017905198878</v>
      </c>
      <c r="W366">
        <v>0.22876226128560787</v>
      </c>
      <c r="X366">
        <v>5.0129053845872198E-2</v>
      </c>
      <c r="Y366">
        <v>1.1284191753130841E-2</v>
      </c>
    </row>
    <row r="367" spans="1:25" x14ac:dyDescent="0.25">
      <c r="A367" s="1083"/>
      <c r="B367" s="1455">
        <v>117</v>
      </c>
      <c r="C367" s="1087">
        <v>1.0038831741384922</v>
      </c>
      <c r="D367" s="1087">
        <v>1.0207325041295334</v>
      </c>
      <c r="E367" s="1087">
        <v>1.0198628191896939</v>
      </c>
      <c r="F367" s="1087">
        <v>1.0009797237210241</v>
      </c>
      <c r="G367" s="1087">
        <v>0.99623160120130294</v>
      </c>
      <c r="H367" s="1087">
        <v>1.0008257837275865</v>
      </c>
      <c r="I367" s="1087">
        <v>0.97688279889235763</v>
      </c>
      <c r="K367">
        <v>1.8340763104327946</v>
      </c>
      <c r="L367">
        <v>0</v>
      </c>
      <c r="M367">
        <v>3.4428098772222582E-3</v>
      </c>
      <c r="N367">
        <v>0.34731225338279881</v>
      </c>
      <c r="O367">
        <v>0.23663322672023968</v>
      </c>
      <c r="P367">
        <v>1.3200554290162141E-2</v>
      </c>
      <c r="Q367">
        <v>1.5979781257591617E-3</v>
      </c>
      <c r="R367">
        <v>3.4368812327696167E-3</v>
      </c>
      <c r="S367">
        <v>0.35169595770380846</v>
      </c>
      <c r="T367">
        <v>0.40320956934288887</v>
      </c>
      <c r="U367">
        <v>0</v>
      </c>
      <c r="V367">
        <v>0.19846550903544286</v>
      </c>
      <c r="W367">
        <v>0.21852147680539707</v>
      </c>
      <c r="X367">
        <v>5.4091655922745487E-2</v>
      </c>
      <c r="Y367">
        <v>9.3540577480050058E-3</v>
      </c>
    </row>
    <row r="368" spans="1:25" x14ac:dyDescent="0.25">
      <c r="A368" s="1083"/>
      <c r="B368" s="1455">
        <v>118</v>
      </c>
      <c r="C368" s="1087">
        <v>0.97953343368350709</v>
      </c>
      <c r="D368" s="1087">
        <v>1.0009434735812632</v>
      </c>
      <c r="E368" s="1087">
        <v>0.99291636052286236</v>
      </c>
      <c r="F368" s="1087">
        <v>0.98305290037919735</v>
      </c>
      <c r="G368" s="1087">
        <v>0.96469092880380236</v>
      </c>
      <c r="H368" s="1087">
        <v>0.99576306718927488</v>
      </c>
      <c r="I368" s="1087">
        <v>1.0011470040599271</v>
      </c>
      <c r="K368">
        <v>1.8559111637646106</v>
      </c>
      <c r="L368">
        <v>0</v>
      </c>
      <c r="M368">
        <v>3.7490905138481815E-3</v>
      </c>
      <c r="N368">
        <v>0.34836525440652338</v>
      </c>
      <c r="O368">
        <v>0.23900767877912876</v>
      </c>
      <c r="P368">
        <v>1.3143570210249924E-2</v>
      </c>
      <c r="Q368">
        <v>1.6040079561843634E-3</v>
      </c>
      <c r="R368">
        <v>3.7426193517788491E-3</v>
      </c>
      <c r="S368">
        <v>0.37215605243823824</v>
      </c>
      <c r="T368">
        <v>0.39582714880440012</v>
      </c>
      <c r="U368">
        <v>0</v>
      </c>
      <c r="V368">
        <v>0.20041971814643825</v>
      </c>
      <c r="W368">
        <v>0.22288769516223395</v>
      </c>
      <c r="X368">
        <v>5.2320332901874961E-2</v>
      </c>
      <c r="Y368">
        <v>1.0186176121404293E-2</v>
      </c>
    </row>
    <row r="369" spans="1:25" x14ac:dyDescent="0.25">
      <c r="A369" s="1083"/>
      <c r="B369" s="1455">
        <v>119</v>
      </c>
      <c r="C369" s="1087">
        <v>0.96005972627928204</v>
      </c>
      <c r="D369" s="1087">
        <v>1.0053059759979868</v>
      </c>
      <c r="E369" s="1087">
        <v>0.99796445122610777</v>
      </c>
      <c r="F369" s="1087">
        <v>1.0307626148719118</v>
      </c>
      <c r="G369" s="1087">
        <v>1.0089613508173043</v>
      </c>
      <c r="H369" s="1087">
        <v>0.99014095008677694</v>
      </c>
      <c r="I369" s="1087">
        <v>0.97945933361651438</v>
      </c>
      <c r="K369">
        <v>1.8983140215023526</v>
      </c>
      <c r="L369">
        <v>0</v>
      </c>
      <c r="M369">
        <v>3.7563392822372115E-3</v>
      </c>
      <c r="N369">
        <v>0.35445553319650719</v>
      </c>
      <c r="O369">
        <v>0.24682763718252912</v>
      </c>
      <c r="P369">
        <v>1.3504971752611818E-2</v>
      </c>
      <c r="Q369">
        <v>1.6425314236653799E-3</v>
      </c>
      <c r="R369">
        <v>3.7498159954527633E-3</v>
      </c>
      <c r="S369">
        <v>0.36964065592840584</v>
      </c>
      <c r="T369">
        <v>0.41506893461624311</v>
      </c>
      <c r="U369">
        <v>0</v>
      </c>
      <c r="V369">
        <v>0.20657070401902003</v>
      </c>
      <c r="W369">
        <v>0.22606767959059548</v>
      </c>
      <c r="X369">
        <v>5.4336134066447959E-2</v>
      </c>
      <c r="Y369">
        <v>1.0205763013111737E-2</v>
      </c>
    </row>
    <row r="370" spans="1:25" x14ac:dyDescent="0.25">
      <c r="A370" s="1083"/>
      <c r="B370" s="1455">
        <v>120</v>
      </c>
      <c r="C370" s="1087">
        <v>1.0052654254627285</v>
      </c>
      <c r="D370" s="1087">
        <v>0.98719848372481567</v>
      </c>
      <c r="E370" s="1087">
        <v>1.0101771134662199</v>
      </c>
      <c r="F370" s="1087">
        <v>1.0266979306160773</v>
      </c>
      <c r="G370" s="1087">
        <v>0.9685412294364476</v>
      </c>
      <c r="H370" s="1087">
        <v>0.97713012031274948</v>
      </c>
      <c r="I370" s="1087">
        <v>1.0230987599724946</v>
      </c>
      <c r="K370">
        <v>1.8651917174102821</v>
      </c>
      <c r="L370">
        <v>0</v>
      </c>
      <c r="M370">
        <v>3.4864952012979887E-3</v>
      </c>
      <c r="N370">
        <v>0.34147495109219994</v>
      </c>
      <c r="O370">
        <v>0.24266488021621191</v>
      </c>
      <c r="P370">
        <v>1.3554363239926571E-2</v>
      </c>
      <c r="Q370">
        <v>1.6007685606775556E-3</v>
      </c>
      <c r="R370">
        <v>3.4803747237742112E-3</v>
      </c>
      <c r="S370">
        <v>0.37017785148481863</v>
      </c>
      <c r="T370">
        <v>0.41350835508199363</v>
      </c>
      <c r="U370">
        <v>0</v>
      </c>
      <c r="V370">
        <v>0.20223575723638701</v>
      </c>
      <c r="W370">
        <v>0.21613827888235645</v>
      </c>
      <c r="X370">
        <v>5.4370199400340484E-2</v>
      </c>
      <c r="Y370">
        <v>9.4724326928940557E-3</v>
      </c>
    </row>
    <row r="371" spans="1:25" x14ac:dyDescent="0.25">
      <c r="A371" s="1083"/>
      <c r="B371" s="1455">
        <v>121</v>
      </c>
      <c r="C371" s="1087">
        <v>0.98296862768265181</v>
      </c>
      <c r="D371" s="1087">
        <v>0.99391076779631904</v>
      </c>
      <c r="E371" s="1087">
        <v>0.98590946335964025</v>
      </c>
      <c r="F371" s="1087">
        <v>1.0040991943607771</v>
      </c>
      <c r="G371" s="1087">
        <v>1.0068629538092542</v>
      </c>
      <c r="H371" s="1087">
        <v>0.96548117381302379</v>
      </c>
      <c r="I371" s="1087">
        <v>0.9864176252287068</v>
      </c>
      <c r="K371">
        <v>1.8371815922583941</v>
      </c>
      <c r="L371">
        <v>0</v>
      </c>
      <c r="M371">
        <v>3.6889299690590236E-3</v>
      </c>
      <c r="N371">
        <v>0.33550032474192493</v>
      </c>
      <c r="O371">
        <v>0.2417181010674834</v>
      </c>
      <c r="P371">
        <v>1.3065026224987269E-2</v>
      </c>
      <c r="Q371">
        <v>1.5909281115835618E-3</v>
      </c>
      <c r="R371">
        <v>3.6823700114517726E-3</v>
      </c>
      <c r="S371">
        <v>0.36123643430704078</v>
      </c>
      <c r="T371">
        <v>0.40425915131378559</v>
      </c>
      <c r="U371">
        <v>0</v>
      </c>
      <c r="V371">
        <v>0.20221205383832994</v>
      </c>
      <c r="W371">
        <v>0.21560597916651306</v>
      </c>
      <c r="X371">
        <v>5.1977956166126299E-2</v>
      </c>
      <c r="Y371">
        <v>1.0022197278223687E-2</v>
      </c>
    </row>
    <row r="372" spans="1:25" x14ac:dyDescent="0.25">
      <c r="A372" s="1083"/>
      <c r="B372" s="1455">
        <v>122</v>
      </c>
      <c r="C372" s="1087">
        <v>1.0137315333580741</v>
      </c>
      <c r="D372" s="1087">
        <v>0.98073579482156414</v>
      </c>
      <c r="E372" s="1087">
        <v>1.0244744917346849</v>
      </c>
      <c r="F372" s="1087">
        <v>0.98913116391336819</v>
      </c>
      <c r="G372" s="1087">
        <v>1.0389123940854905</v>
      </c>
      <c r="H372" s="1087">
        <v>1.0011210513262732</v>
      </c>
      <c r="I372" s="1087">
        <v>0.9708531834095131</v>
      </c>
      <c r="K372">
        <v>1.8429018609023555</v>
      </c>
      <c r="L372">
        <v>0</v>
      </c>
      <c r="M372">
        <v>3.4520740707191444E-3</v>
      </c>
      <c r="N372">
        <v>0.35317807116045019</v>
      </c>
      <c r="O372">
        <v>0.23808662143137538</v>
      </c>
      <c r="P372">
        <v>1.3212114430245262E-2</v>
      </c>
      <c r="Q372">
        <v>1.6157900628424942E-3</v>
      </c>
      <c r="R372">
        <v>3.4461645982157827E-3</v>
      </c>
      <c r="S372">
        <v>0.35398217495194939</v>
      </c>
      <c r="T372">
        <v>0.39846486177780133</v>
      </c>
      <c r="U372">
        <v>0</v>
      </c>
      <c r="V372">
        <v>0.19854714885558358</v>
      </c>
      <c r="W372">
        <v>0.22158327745524251</v>
      </c>
      <c r="X372">
        <v>5.4858386240879943E-2</v>
      </c>
      <c r="Y372">
        <v>9.3793240084888707E-3</v>
      </c>
    </row>
    <row r="373" spans="1:25" x14ac:dyDescent="0.25">
      <c r="A373" s="1083"/>
      <c r="B373" s="1455">
        <v>123</v>
      </c>
      <c r="C373" s="1087">
        <v>1.0068536630024592</v>
      </c>
      <c r="D373" s="1087">
        <v>0.95587622227867974</v>
      </c>
      <c r="E373" s="1087">
        <v>1.036660082770279</v>
      </c>
      <c r="F373" s="1087">
        <v>1.0430050318047162</v>
      </c>
      <c r="G373" s="1087">
        <v>0.99711059816547143</v>
      </c>
      <c r="H373" s="1087">
        <v>0.9926672804717056</v>
      </c>
      <c r="I373" s="1087">
        <v>0.96299986278748129</v>
      </c>
      <c r="K373">
        <v>1.9009667057207777</v>
      </c>
      <c r="L373">
        <v>0</v>
      </c>
      <c r="M373">
        <v>3.4084407001687351E-3</v>
      </c>
      <c r="N373">
        <v>0.36189272077074874</v>
      </c>
      <c r="O373">
        <v>0.24808109662456335</v>
      </c>
      <c r="P373">
        <v>1.3776537286922854E-2</v>
      </c>
      <c r="Q373">
        <v>1.6647645637894069E-3</v>
      </c>
      <c r="R373">
        <v>3.4025781120901183E-3</v>
      </c>
      <c r="S373">
        <v>0.35725419135824038</v>
      </c>
      <c r="T373">
        <v>0.42024624133087096</v>
      </c>
      <c r="U373">
        <v>0</v>
      </c>
      <c r="V373">
        <v>0.20539406646573297</v>
      </c>
      <c r="W373">
        <v>0.22536752230522564</v>
      </c>
      <c r="X373">
        <v>5.8034731641226911E-2</v>
      </c>
      <c r="Y373">
        <v>9.2606959615361036E-3</v>
      </c>
    </row>
    <row r="374" spans="1:25" x14ac:dyDescent="0.25">
      <c r="A374" s="1083"/>
      <c r="B374" s="1455">
        <v>124</v>
      </c>
      <c r="C374" s="1087">
        <v>0.99020053276354092</v>
      </c>
      <c r="D374" s="1087">
        <v>1.0075529039353894</v>
      </c>
      <c r="E374" s="1087">
        <v>1.0071585520699951</v>
      </c>
      <c r="F374" s="1087">
        <v>0.98031440280333793</v>
      </c>
      <c r="G374" s="1087">
        <v>0.98219873370604271</v>
      </c>
      <c r="H374" s="1087">
        <v>0.965689688685055</v>
      </c>
      <c r="I374" s="1087">
        <v>0.9894804666394087</v>
      </c>
      <c r="K374">
        <v>1.8168237965603342</v>
      </c>
      <c r="L374">
        <v>0</v>
      </c>
      <c r="M374">
        <v>3.4811826113816616E-3</v>
      </c>
      <c r="N374">
        <v>0.33782147012675257</v>
      </c>
      <c r="O374">
        <v>0.23694474369284105</v>
      </c>
      <c r="P374">
        <v>1.3042967370371247E-2</v>
      </c>
      <c r="Q374">
        <v>1.606756669984699E-3</v>
      </c>
      <c r="R374">
        <v>3.4749813112634957E-3</v>
      </c>
      <c r="S374">
        <v>0.35727404301371501</v>
      </c>
      <c r="T374">
        <v>0.39480908900574668</v>
      </c>
      <c r="U374">
        <v>0</v>
      </c>
      <c r="V374">
        <v>0.19876049028245835</v>
      </c>
      <c r="W374">
        <v>0.21422683672628379</v>
      </c>
      <c r="X374">
        <v>5.2885847370319289E-2</v>
      </c>
      <c r="Y374">
        <v>9.4577536019778436E-3</v>
      </c>
    </row>
    <row r="375" spans="1:25" x14ac:dyDescent="0.25">
      <c r="A375" s="1083"/>
      <c r="B375" s="1455">
        <v>125</v>
      </c>
      <c r="C375" s="1087">
        <v>0.97494242021454192</v>
      </c>
      <c r="D375" s="1087">
        <v>1.0228333649387003</v>
      </c>
      <c r="E375" s="1087">
        <v>0.97271607481439393</v>
      </c>
      <c r="F375" s="1087">
        <v>0.99659375040144726</v>
      </c>
      <c r="G375" s="1087">
        <v>1.0172543900342326</v>
      </c>
      <c r="H375" s="1087">
        <v>1.01939748097323</v>
      </c>
      <c r="I375" s="1087">
        <v>0.96008234344982379</v>
      </c>
      <c r="K375">
        <v>1.8466295096734355</v>
      </c>
      <c r="L375">
        <v>0</v>
      </c>
      <c r="M375">
        <v>3.9722194346286559E-3</v>
      </c>
      <c r="N375">
        <v>0.34701775219217296</v>
      </c>
      <c r="O375">
        <v>0.23878390651382964</v>
      </c>
      <c r="P375">
        <v>1.2835542318581914E-2</v>
      </c>
      <c r="Q375">
        <v>1.5633522746491713E-3</v>
      </c>
      <c r="R375">
        <v>3.9655026599388302E-3</v>
      </c>
      <c r="S375">
        <v>0.35827594677151886</v>
      </c>
      <c r="T375">
        <v>0.40115891190917985</v>
      </c>
      <c r="U375">
        <v>0</v>
      </c>
      <c r="V375">
        <v>0.20084997124558265</v>
      </c>
      <c r="W375">
        <v>0.22488266000108298</v>
      </c>
      <c r="X375">
        <v>5.0475392208771293E-2</v>
      </c>
      <c r="Y375">
        <v>1.079279101275297E-2</v>
      </c>
    </row>
    <row r="376" spans="1:25" x14ac:dyDescent="0.25">
      <c r="A376" s="1083"/>
      <c r="B376" s="1455">
        <v>126</v>
      </c>
      <c r="C376" s="1087">
        <v>0.98186913027696832</v>
      </c>
      <c r="D376" s="1087">
        <v>1.008339949844467</v>
      </c>
      <c r="E376" s="1087">
        <v>1.007002636514148</v>
      </c>
      <c r="F376" s="1087">
        <v>1.0373748868643253</v>
      </c>
      <c r="G376" s="1087">
        <v>1.0332494402401433</v>
      </c>
      <c r="H376" s="1087">
        <v>0.99157503775846689</v>
      </c>
      <c r="I376" s="1087">
        <v>1.0035987673892508</v>
      </c>
      <c r="K376">
        <v>1.8880534767468362</v>
      </c>
      <c r="L376">
        <v>0</v>
      </c>
      <c r="M376">
        <v>3.6045300947451409E-3</v>
      </c>
      <c r="N376">
        <v>0.3496413021221032</v>
      </c>
      <c r="O376">
        <v>0.24461320836848882</v>
      </c>
      <c r="P376">
        <v>1.3611389932459196E-2</v>
      </c>
      <c r="Q376">
        <v>1.6196162471057061E-3</v>
      </c>
      <c r="R376">
        <v>3.5982761316183656E-3</v>
      </c>
      <c r="S376">
        <v>0.37006953534566389</v>
      </c>
      <c r="T376">
        <v>0.41778848430344767</v>
      </c>
      <c r="U376">
        <v>0</v>
      </c>
      <c r="V376">
        <v>0.20454007463363669</v>
      </c>
      <c r="W376">
        <v>0.22174377700269929</v>
      </c>
      <c r="X376">
        <v>5.4639021295502202E-2</v>
      </c>
      <c r="Y376">
        <v>9.7933214588571925E-3</v>
      </c>
    </row>
    <row r="377" spans="1:25" x14ac:dyDescent="0.25">
      <c r="A377" s="1083"/>
      <c r="B377" s="1455">
        <v>127</v>
      </c>
      <c r="C377" s="1087">
        <v>1.0083345548556233</v>
      </c>
      <c r="D377" s="1087">
        <v>0.98972917539572425</v>
      </c>
      <c r="E377" s="1087">
        <v>0.98115372235351872</v>
      </c>
      <c r="F377" s="1087">
        <v>1.0081018186826562</v>
      </c>
      <c r="G377" s="1087">
        <v>1.0344689011277439</v>
      </c>
      <c r="H377" s="1087">
        <v>0.99319538287893283</v>
      </c>
      <c r="I377" s="1087">
        <v>1.0164956964756349</v>
      </c>
      <c r="K377">
        <v>1.8420168628349445</v>
      </c>
      <c r="L377">
        <v>0</v>
      </c>
      <c r="M377">
        <v>3.7438413487814871E-3</v>
      </c>
      <c r="N377">
        <v>0.335599617993456</v>
      </c>
      <c r="O377">
        <v>0.23944748305890648</v>
      </c>
      <c r="P377">
        <v>1.3111109014821846E-2</v>
      </c>
      <c r="Q377">
        <v>1.5456041695637217E-3</v>
      </c>
      <c r="R377">
        <v>3.7373731662067545E-3</v>
      </c>
      <c r="S377">
        <v>0.36877043268056259</v>
      </c>
      <c r="T377">
        <v>0.40584193724348144</v>
      </c>
      <c r="U377">
        <v>0</v>
      </c>
      <c r="V377">
        <v>0.20000886653821173</v>
      </c>
      <c r="W377">
        <v>0.21631963176754035</v>
      </c>
      <c r="X377">
        <v>5.1206750817290543E-2</v>
      </c>
      <c r="Y377">
        <v>1.0171897733681658E-2</v>
      </c>
    </row>
    <row r="378" spans="1:25" x14ac:dyDescent="0.25">
      <c r="A378" s="1083"/>
      <c r="B378" s="1455">
        <v>128</v>
      </c>
      <c r="C378" s="1087">
        <v>1.0319915400286204</v>
      </c>
      <c r="D378" s="1087">
        <v>1.0150456949467968</v>
      </c>
      <c r="E378" s="1087">
        <v>1.018588665453964</v>
      </c>
      <c r="F378" s="1087">
        <v>1.0370849212271234</v>
      </c>
      <c r="G378" s="1087">
        <v>1.0411810798935588</v>
      </c>
      <c r="H378" s="1087">
        <v>0.9720210628861301</v>
      </c>
      <c r="I378" s="1087">
        <v>0.9684753770880733</v>
      </c>
      <c r="K378">
        <v>1.8022810421140765</v>
      </c>
      <c r="L378">
        <v>0</v>
      </c>
      <c r="M378">
        <v>3.2688504517104085E-3</v>
      </c>
      <c r="N378">
        <v>0.32846847655879419</v>
      </c>
      <c r="O378">
        <v>0.23783990170196298</v>
      </c>
      <c r="P378">
        <v>1.3166146662966763E-2</v>
      </c>
      <c r="Q378">
        <v>1.5558387356424401E-3</v>
      </c>
      <c r="R378">
        <v>3.2630552538858997E-3</v>
      </c>
      <c r="S378">
        <v>0.33523152821735841</v>
      </c>
      <c r="T378">
        <v>0.41774516683226687</v>
      </c>
      <c r="U378">
        <v>0</v>
      </c>
      <c r="V378">
        <v>0.19880116022085273</v>
      </c>
      <c r="W378">
        <v>0.20682761071890851</v>
      </c>
      <c r="X378">
        <v>5.37700469279455E-2</v>
      </c>
      <c r="Y378">
        <v>8.8809607352020644E-3</v>
      </c>
    </row>
    <row r="379" spans="1:25" x14ac:dyDescent="0.25">
      <c r="A379" s="1083"/>
      <c r="B379" s="1455">
        <v>129</v>
      </c>
      <c r="C379" s="1087">
        <v>1.0339171938664029</v>
      </c>
      <c r="D379" s="1087">
        <v>1.0062724699691037</v>
      </c>
      <c r="E379" s="1087">
        <v>0.99276001331367558</v>
      </c>
      <c r="F379" s="1087">
        <v>1.0013899734859946</v>
      </c>
      <c r="G379" s="1087">
        <v>1.0086112176759225</v>
      </c>
      <c r="H379" s="1087">
        <v>1.0090686564145182</v>
      </c>
      <c r="I379" s="1087">
        <v>0.96307541486032822</v>
      </c>
      <c r="K379">
        <v>1.7954935915270853</v>
      </c>
      <c r="L379">
        <v>0</v>
      </c>
      <c r="M379">
        <v>3.5895885531948566E-3</v>
      </c>
      <c r="N379">
        <v>0.33339223746069024</v>
      </c>
      <c r="O379">
        <v>0.23415109421283709</v>
      </c>
      <c r="P379">
        <v>1.2750533447505071E-2</v>
      </c>
      <c r="Q379">
        <v>1.5161598331279527E-3</v>
      </c>
      <c r="R379">
        <v>3.583468825410792E-3</v>
      </c>
      <c r="S379">
        <v>0.34038757953479065</v>
      </c>
      <c r="T379">
        <v>0.40320964425046124</v>
      </c>
      <c r="U379">
        <v>0</v>
      </c>
      <c r="V379">
        <v>0.19596210255635904</v>
      </c>
      <c r="W379">
        <v>0.21332875552284952</v>
      </c>
      <c r="X379">
        <v>5.1048583583659282E-2</v>
      </c>
      <c r="Y379">
        <v>9.7530208525873578E-3</v>
      </c>
    </row>
    <row r="380" spans="1:25" x14ac:dyDescent="0.25">
      <c r="A380" s="1083"/>
      <c r="B380" s="1455">
        <v>130</v>
      </c>
      <c r="C380" s="1087">
        <v>0.96814195556266214</v>
      </c>
      <c r="D380" s="1087">
        <v>0.9862006370873494</v>
      </c>
      <c r="E380" s="1087">
        <v>1.0317292359814823</v>
      </c>
      <c r="F380" s="1087">
        <v>0.99164630966506662</v>
      </c>
      <c r="G380" s="1087">
        <v>0.96847660923134227</v>
      </c>
      <c r="H380" s="1087">
        <v>1.0062598648956862</v>
      </c>
      <c r="I380" s="1087">
        <v>1.0128308539155073</v>
      </c>
      <c r="K380">
        <v>1.9216734506931266</v>
      </c>
      <c r="L380">
        <v>0</v>
      </c>
      <c r="M380">
        <v>3.5682540937711036E-3</v>
      </c>
      <c r="N380">
        <v>0.3732224914253055</v>
      </c>
      <c r="O380">
        <v>0.24348817605947903</v>
      </c>
      <c r="P380">
        <v>1.3820070546051244E-2</v>
      </c>
      <c r="Q380">
        <v>1.7010325273143013E-3</v>
      </c>
      <c r="R380">
        <v>3.562171418947132E-3</v>
      </c>
      <c r="S380">
        <v>0.38653398313502624</v>
      </c>
      <c r="T380">
        <v>0.39952251832037111</v>
      </c>
      <c r="U380">
        <v>0</v>
      </c>
      <c r="V380">
        <v>0.20346094307298515</v>
      </c>
      <c r="W380">
        <v>0.23312211295427188</v>
      </c>
      <c r="X380">
        <v>5.7113148994262848E-2</v>
      </c>
      <c r="Y380">
        <v>9.6950563328814295E-3</v>
      </c>
    </row>
    <row r="381" spans="1:25" x14ac:dyDescent="0.25">
      <c r="A381" s="1083"/>
      <c r="B381" s="1455">
        <v>131</v>
      </c>
      <c r="C381" s="1087">
        <v>0.96507753666639229</v>
      </c>
      <c r="D381" s="1087">
        <v>1.0090355675449838</v>
      </c>
      <c r="E381" s="1087">
        <v>1.0214665194573236</v>
      </c>
      <c r="F381" s="1087">
        <v>1.0064405827849308</v>
      </c>
      <c r="G381" s="1087">
        <v>1.0257015402584617</v>
      </c>
      <c r="H381" s="1087">
        <v>0.99440759332979412</v>
      </c>
      <c r="I381" s="1087">
        <v>0.99866361016143812</v>
      </c>
      <c r="K381">
        <v>1.897863194190079</v>
      </c>
      <c r="L381">
        <v>0</v>
      </c>
      <c r="M381">
        <v>3.5691533368765135E-3</v>
      </c>
      <c r="N381">
        <v>0.36181867499050063</v>
      </c>
      <c r="O381">
        <v>0.24325506630373525</v>
      </c>
      <c r="P381">
        <v>1.3647260765477787E-2</v>
      </c>
      <c r="Q381">
        <v>1.6727393464844762E-3</v>
      </c>
      <c r="R381">
        <v>3.5629781608880512E-3</v>
      </c>
      <c r="S381">
        <v>0.37522483571373955</v>
      </c>
      <c r="T381">
        <v>0.40541920647458352</v>
      </c>
      <c r="U381">
        <v>0</v>
      </c>
      <c r="V381">
        <v>0.20383035137245115</v>
      </c>
      <c r="W381">
        <v>0.22742411870903667</v>
      </c>
      <c r="X381">
        <v>5.5879863671554557E-2</v>
      </c>
      <c r="Y381">
        <v>9.6972520185022032E-3</v>
      </c>
    </row>
    <row r="382" spans="1:25" x14ac:dyDescent="0.25">
      <c r="A382" s="1083"/>
      <c r="B382" s="1455">
        <v>132</v>
      </c>
      <c r="C382" s="1087">
        <v>0.96444855989599021</v>
      </c>
      <c r="D382" s="1087">
        <v>0.98244627792313</v>
      </c>
      <c r="E382" s="1087">
        <v>1.0130080431379518</v>
      </c>
      <c r="F382" s="1087">
        <v>0.98089725597386102</v>
      </c>
      <c r="G382" s="1087">
        <v>1.0201594716692899</v>
      </c>
      <c r="H382" s="1087">
        <v>1.0219939352776297</v>
      </c>
      <c r="I382" s="1087">
        <v>0.99238896864048909</v>
      </c>
      <c r="K382">
        <v>1.9159147628115143</v>
      </c>
      <c r="L382">
        <v>0</v>
      </c>
      <c r="M382">
        <v>3.7875450841563167E-3</v>
      </c>
      <c r="N382">
        <v>0.37420546573705149</v>
      </c>
      <c r="O382">
        <v>0.2427125468544129</v>
      </c>
      <c r="P382">
        <v>1.3525664239812189E-2</v>
      </c>
      <c r="Q382">
        <v>1.6767594208304288E-3</v>
      </c>
      <c r="R382">
        <v>3.7811902265993983E-3</v>
      </c>
      <c r="S382">
        <v>0.38369436272017932</v>
      </c>
      <c r="T382">
        <v>0.39507883941249455</v>
      </c>
      <c r="U382">
        <v>0</v>
      </c>
      <c r="V382">
        <v>0.20300462483786175</v>
      </c>
      <c r="W382">
        <v>0.23644026185698283</v>
      </c>
      <c r="X382">
        <v>5.5291439261664563E-2</v>
      </c>
      <c r="Y382">
        <v>1.0291153327780361E-2</v>
      </c>
    </row>
    <row r="383" spans="1:25" x14ac:dyDescent="0.25">
      <c r="A383" s="1083"/>
      <c r="B383" s="1455">
        <v>133</v>
      </c>
      <c r="C383" s="1087">
        <v>0.99096832839320181</v>
      </c>
      <c r="D383" s="1087">
        <v>1.026339146274925</v>
      </c>
      <c r="E383" s="1087">
        <v>1.0042304616910804</v>
      </c>
      <c r="F383" s="1087">
        <v>0.99546782840318937</v>
      </c>
      <c r="G383" s="1087">
        <v>1.0275538251682019</v>
      </c>
      <c r="H383" s="1087">
        <v>0.9948893803123714</v>
      </c>
      <c r="I383" s="1087">
        <v>0.96981120681568489</v>
      </c>
      <c r="K383">
        <v>1.826589953533746</v>
      </c>
      <c r="L383">
        <v>0</v>
      </c>
      <c r="M383">
        <v>3.5695667596045903E-3</v>
      </c>
      <c r="N383">
        <v>0.34333469665650573</v>
      </c>
      <c r="O383">
        <v>0.23678881102341745</v>
      </c>
      <c r="P383">
        <v>1.3021276000652057E-2</v>
      </c>
      <c r="Q383">
        <v>1.5887414085842867E-3</v>
      </c>
      <c r="R383">
        <v>3.5633789001523379E-3</v>
      </c>
      <c r="S383">
        <v>0.3514340946577309</v>
      </c>
      <c r="T383">
        <v>0.40089420471460258</v>
      </c>
      <c r="U383">
        <v>0</v>
      </c>
      <c r="V383">
        <v>0.19899911950601351</v>
      </c>
      <c r="W383">
        <v>0.2181199985208222</v>
      </c>
      <c r="X383">
        <v>5.2716856206190113E-2</v>
      </c>
      <c r="Y383">
        <v>9.69834269867593E-3</v>
      </c>
    </row>
    <row r="384" spans="1:25" x14ac:dyDescent="0.25">
      <c r="A384" s="1083"/>
      <c r="B384" s="1455">
        <v>134</v>
      </c>
      <c r="C384" s="1087">
        <v>0.97379155834402276</v>
      </c>
      <c r="D384" s="1087">
        <v>0.99506561387181802</v>
      </c>
      <c r="E384" s="1087">
        <v>1.0096943038516828</v>
      </c>
      <c r="F384" s="1087">
        <v>0.972361214062478</v>
      </c>
      <c r="G384" s="1087">
        <v>0.96423772207387948</v>
      </c>
      <c r="H384" s="1087">
        <v>0.99925290037152137</v>
      </c>
      <c r="I384" s="1087">
        <v>0.96832747483876525</v>
      </c>
      <c r="K384">
        <v>1.8599203905170236</v>
      </c>
      <c r="L384">
        <v>0</v>
      </c>
      <c r="M384">
        <v>3.667746257023298E-3</v>
      </c>
      <c r="N384">
        <v>0.35871171101002558</v>
      </c>
      <c r="O384">
        <v>0.23921169055250938</v>
      </c>
      <c r="P384">
        <v>1.3140947930469753E-2</v>
      </c>
      <c r="Q384">
        <v>1.6464255707094571E-3</v>
      </c>
      <c r="R384">
        <v>3.6614417558966175E-3</v>
      </c>
      <c r="S384">
        <v>0.36405360047547186</v>
      </c>
      <c r="T384">
        <v>0.39162107291315429</v>
      </c>
      <c r="U384">
        <v>0</v>
      </c>
      <c r="V384">
        <v>0.2005149499018048</v>
      </c>
      <c r="W384">
        <v>0.22711636685743067</v>
      </c>
      <c r="X384">
        <v>5.3944692340971989E-2</v>
      </c>
      <c r="Y384">
        <v>9.965237465600147E-3</v>
      </c>
    </row>
    <row r="385" spans="1:25" x14ac:dyDescent="0.25">
      <c r="A385" s="1083"/>
      <c r="B385" s="1455">
        <v>135</v>
      </c>
      <c r="C385" s="1087">
        <v>0.98672344641981047</v>
      </c>
      <c r="D385" s="1087">
        <v>1.0333359908196476</v>
      </c>
      <c r="E385" s="1087">
        <v>0.99200157139440581</v>
      </c>
      <c r="F385" s="1087">
        <v>0.96443818248605839</v>
      </c>
      <c r="G385" s="1087">
        <v>1.005105195192938</v>
      </c>
      <c r="H385" s="1087">
        <v>0.98241159460060701</v>
      </c>
      <c r="I385" s="1087">
        <v>0.98088438953381318</v>
      </c>
      <c r="K385">
        <v>1.7952758920854788</v>
      </c>
      <c r="L385">
        <v>0</v>
      </c>
      <c r="M385">
        <v>3.6162945686557262E-3</v>
      </c>
      <c r="N385">
        <v>0.3350781362289102</v>
      </c>
      <c r="O385">
        <v>0.23280339224318905</v>
      </c>
      <c r="P385">
        <v>1.2721909525051348E-2</v>
      </c>
      <c r="Q385">
        <v>1.570625112375295E-3</v>
      </c>
      <c r="R385">
        <v>3.6099400158470536E-3</v>
      </c>
      <c r="S385">
        <v>0.35329374123401008</v>
      </c>
      <c r="T385">
        <v>0.38832659867577868</v>
      </c>
      <c r="U385">
        <v>0</v>
      </c>
      <c r="V385">
        <v>0.19636008702676253</v>
      </c>
      <c r="W385">
        <v>0.21450973175318216</v>
      </c>
      <c r="X385">
        <v>5.0792958132299365E-2</v>
      </c>
      <c r="Y385">
        <v>9.8250667067292796E-3</v>
      </c>
    </row>
    <row r="386" spans="1:25" x14ac:dyDescent="0.25">
      <c r="A386" s="1083"/>
      <c r="B386" s="1455">
        <v>136</v>
      </c>
      <c r="C386" s="1087">
        <v>1.0279908820530277</v>
      </c>
      <c r="D386" s="1087">
        <v>0.95975090026130661</v>
      </c>
      <c r="E386" s="1087">
        <v>1.0068585164599786</v>
      </c>
      <c r="F386" s="1087">
        <v>1.0023875268415106</v>
      </c>
      <c r="G386" s="1087">
        <v>0.99679943550377004</v>
      </c>
      <c r="H386" s="1087">
        <v>0.97436799433753685</v>
      </c>
      <c r="I386" s="1087">
        <v>1.0026615478586467</v>
      </c>
      <c r="K386">
        <v>1.8309821649636564</v>
      </c>
      <c r="L386">
        <v>0</v>
      </c>
      <c r="M386">
        <v>3.4755916534954787E-3</v>
      </c>
      <c r="N386">
        <v>0.33697981301494057</v>
      </c>
      <c r="O386">
        <v>0.23986789946636541</v>
      </c>
      <c r="P386">
        <v>1.320379826419903E-2</v>
      </c>
      <c r="Q386">
        <v>1.5775727280779841E-3</v>
      </c>
      <c r="R386">
        <v>3.4694973060848209E-3</v>
      </c>
      <c r="S386">
        <v>0.35983288915800882</v>
      </c>
      <c r="T386">
        <v>0.40369692607896329</v>
      </c>
      <c r="U386">
        <v>0</v>
      </c>
      <c r="V386">
        <v>0.19925342433134272</v>
      </c>
      <c r="W386">
        <v>0.21373296055276009</v>
      </c>
      <c r="X386">
        <v>5.3400147768725023E-2</v>
      </c>
      <c r="Y386">
        <v>9.4428279476833146E-3</v>
      </c>
    </row>
    <row r="387" spans="1:25" x14ac:dyDescent="0.25">
      <c r="A387" s="1083"/>
      <c r="B387" s="1455">
        <v>137</v>
      </c>
      <c r="C387" s="1087">
        <v>0.99585283815776793</v>
      </c>
      <c r="D387" s="1087">
        <v>0.98285646657690351</v>
      </c>
      <c r="E387" s="1087">
        <v>0.95845675951879539</v>
      </c>
      <c r="F387" s="1087">
        <v>0.96995239397932598</v>
      </c>
      <c r="G387" s="1087">
        <v>1.007443981618988</v>
      </c>
      <c r="H387" s="1087">
        <v>1.0123169362082236</v>
      </c>
      <c r="I387" s="1087">
        <v>1.0158438754135868</v>
      </c>
      <c r="K387">
        <v>1.8390692319853528</v>
      </c>
      <c r="L387">
        <v>0</v>
      </c>
      <c r="M387">
        <v>4.0609053510285379E-3</v>
      </c>
      <c r="N387">
        <v>0.33962072818105893</v>
      </c>
      <c r="O387">
        <v>0.23671744019594684</v>
      </c>
      <c r="P387">
        <v>1.2777191877635267E-2</v>
      </c>
      <c r="Q387">
        <v>1.53125921398214E-3</v>
      </c>
      <c r="R387">
        <v>4.0540272556497435E-3</v>
      </c>
      <c r="S387">
        <v>0.37786155717514347</v>
      </c>
      <c r="T387">
        <v>0.39035325597957993</v>
      </c>
      <c r="U387">
        <v>0</v>
      </c>
      <c r="V387">
        <v>0.19824268160997544</v>
      </c>
      <c r="W387">
        <v>0.2221108333174957</v>
      </c>
      <c r="X387">
        <v>4.882743674976131E-2</v>
      </c>
      <c r="Y387">
        <v>1.1033725780152947E-2</v>
      </c>
    </row>
    <row r="388" spans="1:25" x14ac:dyDescent="0.25">
      <c r="A388" s="1083"/>
      <c r="B388" s="1455">
        <v>138</v>
      </c>
      <c r="C388" s="1087">
        <v>0.98857351968078122</v>
      </c>
      <c r="D388" s="1087">
        <v>0.99558266058976475</v>
      </c>
      <c r="E388" s="1087">
        <v>1.0019762865405955</v>
      </c>
      <c r="F388" s="1087">
        <v>1.0072355782174236</v>
      </c>
      <c r="G388" s="1087">
        <v>1.0078421900861805</v>
      </c>
      <c r="H388" s="1087">
        <v>0.97558051116510469</v>
      </c>
      <c r="I388" s="1087">
        <v>1.0163705067807094</v>
      </c>
      <c r="K388">
        <v>1.8590395141028657</v>
      </c>
      <c r="L388">
        <v>0</v>
      </c>
      <c r="M388">
        <v>3.5834515525937868E-3</v>
      </c>
      <c r="N388">
        <v>0.34229867864374275</v>
      </c>
      <c r="O388">
        <v>0.24146841455990298</v>
      </c>
      <c r="P388">
        <v>1.3382063072616022E-2</v>
      </c>
      <c r="Q388">
        <v>1.6082291982098906E-3</v>
      </c>
      <c r="R388">
        <v>3.5771437198232679E-3</v>
      </c>
      <c r="S388">
        <v>0.37182715309787612</v>
      </c>
      <c r="T388">
        <v>0.40561951827463971</v>
      </c>
      <c r="U388">
        <v>0</v>
      </c>
      <c r="V388">
        <v>0.20187765255628454</v>
      </c>
      <c r="W388">
        <v>0.21776760497799333</v>
      </c>
      <c r="X388">
        <v>5.3460701554119083E-2</v>
      </c>
      <c r="Y388">
        <v>9.7358060002486133E-3</v>
      </c>
    </row>
    <row r="389" spans="1:25" x14ac:dyDescent="0.25">
      <c r="A389" s="1083"/>
      <c r="B389" s="1455">
        <v>139</v>
      </c>
      <c r="C389" s="1087">
        <v>1.0046449498938506</v>
      </c>
      <c r="D389" s="1087">
        <v>0.98073253471996991</v>
      </c>
      <c r="E389" s="1087">
        <v>1.0249548164035318</v>
      </c>
      <c r="F389" s="1087">
        <v>0.98009689635546093</v>
      </c>
      <c r="G389" s="1087">
        <v>0.99744045229106615</v>
      </c>
      <c r="H389" s="1087">
        <v>0.9823271002244256</v>
      </c>
      <c r="I389" s="1087">
        <v>1.0187880482487217</v>
      </c>
      <c r="K389">
        <v>1.851365643271667</v>
      </c>
      <c r="L389">
        <v>0</v>
      </c>
      <c r="M389">
        <v>3.4143288261578321E-3</v>
      </c>
      <c r="N389">
        <v>0.3498163614854074</v>
      </c>
      <c r="O389">
        <v>0.23807538039350035</v>
      </c>
      <c r="P389">
        <v>1.3409475655086444E-2</v>
      </c>
      <c r="Q389">
        <v>1.6312304884077812E-3</v>
      </c>
      <c r="R389">
        <v>3.4083717752133695E-3</v>
      </c>
      <c r="S389">
        <v>0.37131803747341291</v>
      </c>
      <c r="T389">
        <v>0.39482836946095551</v>
      </c>
      <c r="U389">
        <v>0</v>
      </c>
      <c r="V389">
        <v>0.19871342082077448</v>
      </c>
      <c r="W389">
        <v>0.21940949806169843</v>
      </c>
      <c r="X389">
        <v>5.489336208068863E-2</v>
      </c>
      <c r="Y389">
        <v>9.2764644026770565E-3</v>
      </c>
    </row>
    <row r="390" spans="1:25" x14ac:dyDescent="0.25">
      <c r="A390" s="1083"/>
      <c r="B390" s="1455">
        <v>140</v>
      </c>
      <c r="C390" s="1087">
        <v>0.99755062374604109</v>
      </c>
      <c r="D390" s="1087">
        <v>1.0186811441596288</v>
      </c>
      <c r="E390" s="1087">
        <v>0.99096993494442698</v>
      </c>
      <c r="F390" s="1087">
        <v>0.96523981348650623</v>
      </c>
      <c r="G390" s="1087">
        <v>1.0239011229008508</v>
      </c>
      <c r="H390" s="1087">
        <v>1.0032256361242688</v>
      </c>
      <c r="I390" s="1087">
        <v>1.002996180540813</v>
      </c>
      <c r="K390">
        <v>1.8158229425672821</v>
      </c>
      <c r="L390">
        <v>0</v>
      </c>
      <c r="M390">
        <v>3.6887079985714103E-3</v>
      </c>
      <c r="N390">
        <v>0.34072639534088933</v>
      </c>
      <c r="O390">
        <v>0.23297354342301405</v>
      </c>
      <c r="P390">
        <v>1.2855272303372642E-2</v>
      </c>
      <c r="Q390">
        <v>1.5607553534704322E-3</v>
      </c>
      <c r="R390">
        <v>3.6823730651821328E-3</v>
      </c>
      <c r="S390">
        <v>0.36390185480329085</v>
      </c>
      <c r="T390">
        <v>0.3886433748447341</v>
      </c>
      <c r="U390">
        <v>0</v>
      </c>
      <c r="V390">
        <v>0.19600176582001791</v>
      </c>
      <c r="W390">
        <v>0.21826717605609255</v>
      </c>
      <c r="X390">
        <v>5.0876933966319038E-2</v>
      </c>
      <c r="Y390">
        <v>1.0022205589471068E-2</v>
      </c>
    </row>
    <row r="391" spans="1:25" x14ac:dyDescent="0.25">
      <c r="A391" s="1083"/>
      <c r="B391" s="1455">
        <v>141</v>
      </c>
      <c r="C391" s="1087">
        <v>1.0096158764744136</v>
      </c>
      <c r="D391" s="1087">
        <v>1.0061279218818642</v>
      </c>
      <c r="E391" s="1087">
        <v>0.99973583957269019</v>
      </c>
      <c r="F391" s="1087">
        <v>0.99072977940583806</v>
      </c>
      <c r="G391" s="1087">
        <v>0.9839067083579961</v>
      </c>
      <c r="H391" s="1087">
        <v>0.98255741116511186</v>
      </c>
      <c r="I391" s="1087">
        <v>1.002643840263338</v>
      </c>
      <c r="K391">
        <v>1.8151978518857212</v>
      </c>
      <c r="L391">
        <v>0</v>
      </c>
      <c r="M391">
        <v>3.5297348050764149E-3</v>
      </c>
      <c r="N391">
        <v>0.33487357443344173</v>
      </c>
      <c r="O391">
        <v>0.23589545920543376</v>
      </c>
      <c r="P391">
        <v>1.3026169601624036E-2</v>
      </c>
      <c r="Q391">
        <v>1.5643503798413122E-3</v>
      </c>
      <c r="R391">
        <v>3.523556160372681E-3</v>
      </c>
      <c r="S391">
        <v>0.35828826338957082</v>
      </c>
      <c r="T391">
        <v>0.39895908126224588</v>
      </c>
      <c r="U391">
        <v>0</v>
      </c>
      <c r="V391">
        <v>0.19762508723290334</v>
      </c>
      <c r="W391">
        <v>0.21334206752786652</v>
      </c>
      <c r="X391">
        <v>5.2040019168937662E-2</v>
      </c>
      <c r="Y391">
        <v>9.5899583285583446E-3</v>
      </c>
    </row>
    <row r="392" spans="1:25" x14ac:dyDescent="0.25">
      <c r="A392" s="1083"/>
      <c r="B392" s="1455">
        <v>142</v>
      </c>
      <c r="C392" s="1087">
        <v>0.98099330229912296</v>
      </c>
      <c r="D392" s="1087">
        <v>1.0090219267778693</v>
      </c>
      <c r="E392" s="1087">
        <v>1.018810970440031</v>
      </c>
      <c r="F392" s="1087">
        <v>1.0024034598906013</v>
      </c>
      <c r="G392" s="1087">
        <v>0.9817737329159838</v>
      </c>
      <c r="H392" s="1087">
        <v>0.97710070252160941</v>
      </c>
      <c r="I392" s="1087">
        <v>1.0229486780475157</v>
      </c>
      <c r="K392">
        <v>1.8689631374898172</v>
      </c>
      <c r="L392">
        <v>0</v>
      </c>
      <c r="M392">
        <v>3.4689739941131956E-3</v>
      </c>
      <c r="N392">
        <v>0.34881821371956162</v>
      </c>
      <c r="O392">
        <v>0.24073533707402656</v>
      </c>
      <c r="P392">
        <v>1.3562691644978897E-2</v>
      </c>
      <c r="Q392">
        <v>1.6410074787171858E-3</v>
      </c>
      <c r="R392">
        <v>3.4628657793730074E-3</v>
      </c>
      <c r="S392">
        <v>0.37482293161274161</v>
      </c>
      <c r="T392">
        <v>0.40377659603464777</v>
      </c>
      <c r="U392">
        <v>0</v>
      </c>
      <c r="V392">
        <v>0.20167851078665938</v>
      </c>
      <c r="W392">
        <v>0.21961120213228527</v>
      </c>
      <c r="X392">
        <v>5.489797610288321E-2</v>
      </c>
      <c r="Y392">
        <v>9.4247791180559499E-3</v>
      </c>
    </row>
    <row r="393" spans="1:25" x14ac:dyDescent="0.25">
      <c r="A393" s="1083"/>
      <c r="B393" s="1455">
        <v>143</v>
      </c>
      <c r="C393" s="1087">
        <v>1.0044976260749794</v>
      </c>
      <c r="D393" s="1087">
        <v>0.96688384183055909</v>
      </c>
      <c r="E393" s="1087">
        <v>0.98658947301645428</v>
      </c>
      <c r="F393" s="1087">
        <v>1.0065168891624028</v>
      </c>
      <c r="G393" s="1087">
        <v>0.98321639528674232</v>
      </c>
      <c r="H393" s="1087">
        <v>0.95657543551111013</v>
      </c>
      <c r="I393" s="1087">
        <v>1.0241639471959223</v>
      </c>
      <c r="K393">
        <v>1.8392312267104389</v>
      </c>
      <c r="L393">
        <v>0</v>
      </c>
      <c r="M393">
        <v>3.6251461113404222E-3</v>
      </c>
      <c r="N393">
        <v>0.33038170705378794</v>
      </c>
      <c r="O393">
        <v>0.24212560411980175</v>
      </c>
      <c r="P393">
        <v>1.3208159522584388E-2</v>
      </c>
      <c r="Q393">
        <v>1.5752426983976432E-3</v>
      </c>
      <c r="R393">
        <v>3.6186645710017755E-3</v>
      </c>
      <c r="S393">
        <v>0.37101165736589914</v>
      </c>
      <c r="T393">
        <v>0.40523664273161558</v>
      </c>
      <c r="U393">
        <v>0</v>
      </c>
      <c r="V393">
        <v>0.20155823841546935</v>
      </c>
      <c r="W393">
        <v>0.21222541985896254</v>
      </c>
      <c r="X393">
        <v>5.2066224414447568E-2</v>
      </c>
      <c r="Y393">
        <v>9.8488120698115977E-3</v>
      </c>
    </row>
    <row r="394" spans="1:25" x14ac:dyDescent="0.25">
      <c r="A394" s="1083"/>
      <c r="B394" s="1455">
        <v>144</v>
      </c>
      <c r="C394" s="1087">
        <v>1.017122722812535</v>
      </c>
      <c r="D394" s="1087">
        <v>0.9914754788120852</v>
      </c>
      <c r="E394" s="1087">
        <v>1.0170485671219505</v>
      </c>
      <c r="F394" s="1087">
        <v>1.0322973966512639</v>
      </c>
      <c r="G394" s="1087">
        <v>0.98782450910627795</v>
      </c>
      <c r="H394" s="1087">
        <v>0.98052396780896678</v>
      </c>
      <c r="I394" s="1087">
        <v>0.96473272581991276</v>
      </c>
      <c r="K394">
        <v>1.8366297569707799</v>
      </c>
      <c r="L394">
        <v>0</v>
      </c>
      <c r="M394">
        <v>3.4009858425081384E-3</v>
      </c>
      <c r="N394">
        <v>0.34015323039722212</v>
      </c>
      <c r="O394">
        <v>0.24151824899998819</v>
      </c>
      <c r="P394">
        <v>1.3290565868627688E-2</v>
      </c>
      <c r="Q394">
        <v>1.5908989998177268E-3</v>
      </c>
      <c r="R394">
        <v>3.3950316285353962E-3</v>
      </c>
      <c r="S394">
        <v>0.34480001609665312</v>
      </c>
      <c r="T394">
        <v>0.4158069640845331</v>
      </c>
      <c r="U394">
        <v>0</v>
      </c>
      <c r="V394">
        <v>0.20124990486978658</v>
      </c>
      <c r="W394">
        <v>0.21438864658046375</v>
      </c>
      <c r="X394">
        <v>5.4597078366658808E-2</v>
      </c>
      <c r="Y394">
        <v>9.2401569209977861E-3</v>
      </c>
    </row>
    <row r="395" spans="1:25" x14ac:dyDescent="0.25">
      <c r="A395" s="1083"/>
      <c r="B395" s="1455">
        <v>145</v>
      </c>
      <c r="C395" s="1087">
        <v>1.000052130188289</v>
      </c>
      <c r="D395" s="1087">
        <v>0.99810592738431536</v>
      </c>
      <c r="E395" s="1087">
        <v>1.0166423266595175</v>
      </c>
      <c r="F395" s="1087">
        <v>1.0143085314068965</v>
      </c>
      <c r="G395" s="1087">
        <v>0.99719038788099235</v>
      </c>
      <c r="H395" s="1087">
        <v>0.99506670338020553</v>
      </c>
      <c r="I395" s="1087">
        <v>1.0383400782313226</v>
      </c>
      <c r="K395">
        <v>1.8792238597646806</v>
      </c>
      <c r="L395">
        <v>0</v>
      </c>
      <c r="M395">
        <v>3.5012275639041903E-3</v>
      </c>
      <c r="N395">
        <v>0.34975419086238974</v>
      </c>
      <c r="O395">
        <v>0.24084722816291451</v>
      </c>
      <c r="P395">
        <v>1.3655633361620029E-2</v>
      </c>
      <c r="Q395">
        <v>1.6130546903414592E-3</v>
      </c>
      <c r="R395">
        <v>3.4951828030453562E-3</v>
      </c>
      <c r="S395">
        <v>0.37882021151149287</v>
      </c>
      <c r="T395">
        <v>0.40855856515478117</v>
      </c>
      <c r="U395">
        <v>0</v>
      </c>
      <c r="V395">
        <v>0.20118901548815948</v>
      </c>
      <c r="W395">
        <v>0.22049510919877499</v>
      </c>
      <c r="X395">
        <v>5.4784160691879004E-2</v>
      </c>
      <c r="Y395">
        <v>9.5127354031880919E-3</v>
      </c>
    </row>
    <row r="396" spans="1:25" x14ac:dyDescent="0.25">
      <c r="A396" s="1083"/>
      <c r="B396" s="1455">
        <v>146</v>
      </c>
      <c r="C396" s="1087">
        <v>0.99368898523553995</v>
      </c>
      <c r="D396" s="1087">
        <v>0.99021861586282645</v>
      </c>
      <c r="E396" s="1087">
        <v>1.0274175659642393</v>
      </c>
      <c r="F396" s="1087">
        <v>1.0230429494268285</v>
      </c>
      <c r="G396" s="1087">
        <v>1.0005039687362747</v>
      </c>
      <c r="H396" s="1087">
        <v>1.0185290944567822</v>
      </c>
      <c r="I396" s="1087">
        <v>0.97034298064791424</v>
      </c>
      <c r="K396">
        <v>1.8972554503886514</v>
      </c>
      <c r="L396">
        <v>0</v>
      </c>
      <c r="M396">
        <v>3.5431194786456005E-3</v>
      </c>
      <c r="N396">
        <v>0.36576689422434283</v>
      </c>
      <c r="O396">
        <v>0.24361341542749909</v>
      </c>
      <c r="P396">
        <v>1.3608447507456463E-2</v>
      </c>
      <c r="Q396">
        <v>1.6471368525510764E-3</v>
      </c>
      <c r="R396">
        <v>3.5371501623046092E-3</v>
      </c>
      <c r="S396">
        <v>0.36215876340957565</v>
      </c>
      <c r="T396">
        <v>0.4121445722360752</v>
      </c>
      <c r="U396">
        <v>0</v>
      </c>
      <c r="V396">
        <v>0.20312131702944236</v>
      </c>
      <c r="W396">
        <v>0.22906799276936851</v>
      </c>
      <c r="X396">
        <v>5.6505923528124224E-2</v>
      </c>
      <c r="Y396">
        <v>9.626956720555517E-3</v>
      </c>
    </row>
    <row r="397" spans="1:25" x14ac:dyDescent="0.25">
      <c r="A397" s="1083"/>
      <c r="B397" s="1455">
        <v>147</v>
      </c>
      <c r="C397" s="1087">
        <v>0.98378723263401757</v>
      </c>
      <c r="D397" s="1087">
        <v>1.0331869953465147</v>
      </c>
      <c r="E397" s="1087">
        <v>1.0164824002339907</v>
      </c>
      <c r="F397" s="1087">
        <v>1.0101716095429416</v>
      </c>
      <c r="G397" s="1087">
        <v>1.0101994824197487</v>
      </c>
      <c r="H397" s="1087">
        <v>0.9895937685275179</v>
      </c>
      <c r="I397" s="1087">
        <v>1.010675884799104</v>
      </c>
      <c r="K397">
        <v>1.8578375892856964</v>
      </c>
      <c r="L397">
        <v>0</v>
      </c>
      <c r="M397">
        <v>3.4752595065039834E-3</v>
      </c>
      <c r="N397">
        <v>0.34698468933564619</v>
      </c>
      <c r="O397">
        <v>0.23888820142186196</v>
      </c>
      <c r="P397">
        <v>1.3458052951998315E-2</v>
      </c>
      <c r="Q397">
        <v>1.6169487343556236E-3</v>
      </c>
      <c r="R397">
        <v>3.4691971412266929E-3</v>
      </c>
      <c r="S397">
        <v>0.36673343353074611</v>
      </c>
      <c r="T397">
        <v>0.40689124276618716</v>
      </c>
      <c r="U397">
        <v>0</v>
      </c>
      <c r="V397">
        <v>0.2007551795297618</v>
      </c>
      <c r="W397">
        <v>0.21877072532747535</v>
      </c>
      <c r="X397">
        <v>5.4303167055050824E-2</v>
      </c>
      <c r="Y397">
        <v>9.4420109978888087E-3</v>
      </c>
    </row>
    <row r="398" spans="1:25" x14ac:dyDescent="0.25">
      <c r="A398" s="1083"/>
      <c r="B398" s="1455">
        <v>148</v>
      </c>
      <c r="C398" s="1087">
        <v>1.0042779771221875</v>
      </c>
      <c r="D398" s="1087">
        <v>1.0208157614383409</v>
      </c>
      <c r="E398" s="1087">
        <v>1.0067348007239094</v>
      </c>
      <c r="F398" s="1087">
        <v>0.9686472597484681</v>
      </c>
      <c r="G398" s="1087">
        <v>0.98027831728318693</v>
      </c>
      <c r="H398" s="1087">
        <v>0.9959922989781459</v>
      </c>
      <c r="I398" s="1087">
        <v>0.96948079184062597</v>
      </c>
      <c r="K398">
        <v>1.7994715480099526</v>
      </c>
      <c r="L398">
        <v>0</v>
      </c>
      <c r="M398">
        <v>3.5182399019137072E-3</v>
      </c>
      <c r="N398">
        <v>0.34099402454623351</v>
      </c>
      <c r="O398">
        <v>0.23260475476096087</v>
      </c>
      <c r="P398">
        <v>1.2802170147106324E-2</v>
      </c>
      <c r="Q398">
        <v>1.5752595677880332E-3</v>
      </c>
      <c r="R398">
        <v>3.5121521490045571E-3</v>
      </c>
      <c r="S398">
        <v>0.34790440072840439</v>
      </c>
      <c r="T398">
        <v>0.3901077970292941</v>
      </c>
      <c r="U398">
        <v>0</v>
      </c>
      <c r="V398">
        <v>0.19557071897377176</v>
      </c>
      <c r="W398">
        <v>0.21629564998115744</v>
      </c>
      <c r="X398">
        <v>5.2063939659199358E-2</v>
      </c>
      <c r="Y398">
        <v>9.5589203689456451E-3</v>
      </c>
    </row>
    <row r="399" spans="1:25" x14ac:dyDescent="0.25">
      <c r="A399" s="1083"/>
      <c r="B399" s="1455">
        <v>149</v>
      </c>
      <c r="C399" s="1087">
        <v>0.97587182770312453</v>
      </c>
      <c r="D399" s="1087">
        <v>1.014321987541503</v>
      </c>
      <c r="E399" s="1087">
        <v>1.0193808873906005</v>
      </c>
      <c r="F399" s="1087">
        <v>1.0155384060055939</v>
      </c>
      <c r="G399" s="1087">
        <v>0.99408711400128424</v>
      </c>
      <c r="H399" s="1087">
        <v>0.96805873361249728</v>
      </c>
      <c r="I399" s="1087">
        <v>0.99575815003615231</v>
      </c>
      <c r="K399">
        <v>1.8630955655443238</v>
      </c>
      <c r="L399">
        <v>0</v>
      </c>
      <c r="M399">
        <v>3.4411961530137311E-3</v>
      </c>
      <c r="N399">
        <v>0.34662039354312907</v>
      </c>
      <c r="O399">
        <v>0.2424102621684123</v>
      </c>
      <c r="P399">
        <v>1.3512399169390074E-2</v>
      </c>
      <c r="Q399">
        <v>1.6471565822062605E-3</v>
      </c>
      <c r="R399">
        <v>3.4350758958136035E-3</v>
      </c>
      <c r="S399">
        <v>0.36406240978458893</v>
      </c>
      <c r="T399">
        <v>0.40907101743782065</v>
      </c>
      <c r="U399">
        <v>0</v>
      </c>
      <c r="V399">
        <v>0.20310338017988386</v>
      </c>
      <c r="W399">
        <v>0.21815089350582334</v>
      </c>
      <c r="X399">
        <v>5.5174629214327559E-2</v>
      </c>
      <c r="Y399">
        <v>9.3491442159399068E-3</v>
      </c>
    </row>
    <row r="400" spans="1:25" x14ac:dyDescent="0.25">
      <c r="A400" s="1083"/>
      <c r="B400" s="1455">
        <v>150</v>
      </c>
      <c r="C400" s="1087">
        <v>0.98857262956843761</v>
      </c>
      <c r="D400" s="1087">
        <v>0.9839786094571219</v>
      </c>
      <c r="E400" s="1087">
        <v>0.98112337808422601</v>
      </c>
      <c r="F400" s="1087">
        <v>0.97467908682033</v>
      </c>
      <c r="G400" s="1087">
        <v>0.98316561387011026</v>
      </c>
      <c r="H400" s="1087">
        <v>0.99837660762493774</v>
      </c>
      <c r="I400" s="1087">
        <v>0.96552631847825443</v>
      </c>
      <c r="K400">
        <v>1.8330696219555136</v>
      </c>
      <c r="L400">
        <v>0</v>
      </c>
      <c r="M400">
        <v>3.8501981124011244E-3</v>
      </c>
      <c r="N400">
        <v>0.34510495339579156</v>
      </c>
      <c r="O400">
        <v>0.23838322297283651</v>
      </c>
      <c r="P400">
        <v>1.2796223475499297E-2</v>
      </c>
      <c r="Q400">
        <v>1.5801286756871873E-3</v>
      </c>
      <c r="R400">
        <v>3.8435848234176628E-3</v>
      </c>
      <c r="S400">
        <v>0.35932877704350308</v>
      </c>
      <c r="T400">
        <v>0.39238642689443159</v>
      </c>
      <c r="U400">
        <v>0</v>
      </c>
      <c r="V400">
        <v>0.19951980687052612</v>
      </c>
      <c r="W400">
        <v>0.22245082570070895</v>
      </c>
      <c r="X400">
        <v>5.10648993635665E-2</v>
      </c>
      <c r="Y400">
        <v>1.0460970851946361E-2</v>
      </c>
    </row>
    <row r="401" spans="1:25" x14ac:dyDescent="0.25">
      <c r="A401" s="1083"/>
      <c r="B401" s="1455">
        <v>151</v>
      </c>
      <c r="C401" s="1087">
        <v>1.0033442503437564</v>
      </c>
      <c r="D401" s="1087">
        <v>1.0143260601618485</v>
      </c>
      <c r="E401" s="1087">
        <v>1.0114191144275886</v>
      </c>
      <c r="F401" s="1087">
        <v>1.0071387351823551</v>
      </c>
      <c r="G401" s="1087">
        <v>0.98913273050632755</v>
      </c>
      <c r="H401" s="1087">
        <v>1.0178187861594414</v>
      </c>
      <c r="I401" s="1087">
        <v>0.98431726773672346</v>
      </c>
      <c r="K401">
        <v>1.8539265613567346</v>
      </c>
      <c r="L401">
        <v>0</v>
      </c>
      <c r="M401">
        <v>3.5764812542596201E-3</v>
      </c>
      <c r="N401">
        <v>0.35163995189312741</v>
      </c>
      <c r="O401">
        <v>0.23791357148453229</v>
      </c>
      <c r="P401">
        <v>1.326061041771725E-2</v>
      </c>
      <c r="Q401">
        <v>1.5886259588469825E-3</v>
      </c>
      <c r="R401">
        <v>3.5704306096894451E-3</v>
      </c>
      <c r="S401">
        <v>0.3587060323977701</v>
      </c>
      <c r="T401">
        <v>0.40563841636326664</v>
      </c>
      <c r="U401">
        <v>0</v>
      </c>
      <c r="V401">
        <v>0.19932671037658956</v>
      </c>
      <c r="W401">
        <v>0.22240100558103962</v>
      </c>
      <c r="X401">
        <v>5.3740152400972289E-2</v>
      </c>
      <c r="Y401">
        <v>9.7175351274405089E-3</v>
      </c>
    </row>
    <row r="402" spans="1:25" x14ac:dyDescent="0.25">
      <c r="A402" s="1083"/>
      <c r="B402" s="1455">
        <v>152</v>
      </c>
      <c r="C402" s="1087">
        <v>0.97819278545529553</v>
      </c>
      <c r="D402" s="1087">
        <v>1.0263830736449744</v>
      </c>
      <c r="E402" s="1087">
        <v>1.0122678321785625</v>
      </c>
      <c r="F402" s="1087">
        <v>1.029033698133208</v>
      </c>
      <c r="G402" s="1087">
        <v>0.99207132310397061</v>
      </c>
      <c r="H402" s="1087">
        <v>1.0358368609104434</v>
      </c>
      <c r="I402" s="1087">
        <v>1.0163470439145288</v>
      </c>
      <c r="K402">
        <v>1.9172522816063349</v>
      </c>
      <c r="L402">
        <v>0</v>
      </c>
      <c r="M402">
        <v>3.7033232869192315E-3</v>
      </c>
      <c r="N402">
        <v>0.36506431154194358</v>
      </c>
      <c r="O402">
        <v>0.24237645328391125</v>
      </c>
      <c r="P402">
        <v>1.3749459385201727E-2</v>
      </c>
      <c r="Q402">
        <v>1.6232476296998773E-3</v>
      </c>
      <c r="R402">
        <v>3.6971570666471266E-3</v>
      </c>
      <c r="S402">
        <v>0.38079832746084652</v>
      </c>
      <c r="T402">
        <v>0.41446223771462543</v>
      </c>
      <c r="U402">
        <v>0</v>
      </c>
      <c r="V402">
        <v>0.20330937126013468</v>
      </c>
      <c r="W402">
        <v>0.23077015807311671</v>
      </c>
      <c r="X402">
        <v>5.5042438709214749E-2</v>
      </c>
      <c r="Y402">
        <v>1.0062442767914011E-2</v>
      </c>
    </row>
    <row r="403" spans="1:25" x14ac:dyDescent="0.25">
      <c r="A403" s="1083"/>
      <c r="B403" s="1455">
        <v>153</v>
      </c>
      <c r="C403" s="1087">
        <v>0.99959213322736196</v>
      </c>
      <c r="D403" s="1087">
        <v>1.0320074107369299</v>
      </c>
      <c r="E403" s="1087">
        <v>1.0048178235003835</v>
      </c>
      <c r="F403" s="1087">
        <v>0.9797103997670995</v>
      </c>
      <c r="G403" s="1087">
        <v>0.99164248164042268</v>
      </c>
      <c r="H403" s="1087">
        <v>1.0406557040436171</v>
      </c>
      <c r="I403" s="1087">
        <v>0.98578844712662161</v>
      </c>
      <c r="K403">
        <v>1.8432938181656402</v>
      </c>
      <c r="L403">
        <v>0</v>
      </c>
      <c r="M403">
        <v>3.6860691812894953E-3</v>
      </c>
      <c r="N403">
        <v>0.3552028632150635</v>
      </c>
      <c r="O403">
        <v>0.23337952680649668</v>
      </c>
      <c r="P403">
        <v>1.3037792697857195E-2</v>
      </c>
      <c r="Q403">
        <v>1.5725503958332755E-3</v>
      </c>
      <c r="R403">
        <v>3.6799555610682925E-3</v>
      </c>
      <c r="S403">
        <v>0.36112164159092841</v>
      </c>
      <c r="T403">
        <v>0.3945518804419334</v>
      </c>
      <c r="U403">
        <v>0</v>
      </c>
      <c r="V403">
        <v>0.19644370817506215</v>
      </c>
      <c r="W403">
        <v>0.22557730610729076</v>
      </c>
      <c r="X403">
        <v>5.2397036415191806E-2</v>
      </c>
      <c r="Y403">
        <v>1.0015625940203212E-2</v>
      </c>
    </row>
    <row r="404" spans="1:25" x14ac:dyDescent="0.25">
      <c r="A404" s="1083"/>
      <c r="B404" s="1455">
        <v>154</v>
      </c>
      <c r="C404" s="1087">
        <v>0.99648861098497477</v>
      </c>
      <c r="D404" s="1087">
        <v>1.0036712292593901</v>
      </c>
      <c r="E404" s="1087">
        <v>1.0090508272885792</v>
      </c>
      <c r="F404" s="1087">
        <v>1.0059616330808032</v>
      </c>
      <c r="G404" s="1087">
        <v>1.0217846774435559</v>
      </c>
      <c r="H404" s="1087">
        <v>0.97282082472004905</v>
      </c>
      <c r="I404" s="1087">
        <v>1.0009685585375414</v>
      </c>
      <c r="K404">
        <v>1.8390722957548633</v>
      </c>
      <c r="L404">
        <v>0</v>
      </c>
      <c r="M404">
        <v>3.4786457202530428E-3</v>
      </c>
      <c r="N404">
        <v>0.33953392937889654</v>
      </c>
      <c r="O404">
        <v>0.23963377669926525</v>
      </c>
      <c r="P404">
        <v>1.3281742979766109E-2</v>
      </c>
      <c r="Q404">
        <v>1.6022988440176412E-3</v>
      </c>
      <c r="R404">
        <v>3.4724979027619179E-3</v>
      </c>
      <c r="S404">
        <v>0.36123408893262166</v>
      </c>
      <c r="T404">
        <v>0.40514978313489358</v>
      </c>
      <c r="U404">
        <v>0</v>
      </c>
      <c r="V404">
        <v>0.20051257326647232</v>
      </c>
      <c r="W404">
        <v>0.21505990160426983</v>
      </c>
      <c r="X404">
        <v>5.3619354149459487E-2</v>
      </c>
      <c r="Y404">
        <v>9.4509945826919441E-3</v>
      </c>
    </row>
    <row r="405" spans="1:25" x14ac:dyDescent="0.25">
      <c r="A405" s="1083"/>
      <c r="B405" s="1455">
        <v>155</v>
      </c>
      <c r="C405" s="1087">
        <v>1.0315039769216703</v>
      </c>
      <c r="D405" s="1087">
        <v>1.0044541506979339</v>
      </c>
      <c r="E405" s="1087">
        <v>1.0078396555892122</v>
      </c>
      <c r="F405" s="1087">
        <v>0.9881122777338458</v>
      </c>
      <c r="G405" s="1087">
        <v>1.002078262555208</v>
      </c>
      <c r="H405" s="1087">
        <v>1.0191479542792705</v>
      </c>
      <c r="I405" s="1087">
        <v>0.99335329765619873</v>
      </c>
      <c r="K405">
        <v>1.817726292340297</v>
      </c>
      <c r="L405">
        <v>0</v>
      </c>
      <c r="M405">
        <v>3.5273651429689663E-3</v>
      </c>
      <c r="N405">
        <v>0.34304725476938697</v>
      </c>
      <c r="O405">
        <v>0.2333018250661702</v>
      </c>
      <c r="P405">
        <v>1.3002680279783079E-2</v>
      </c>
      <c r="Q405">
        <v>1.5454374617520368E-3</v>
      </c>
      <c r="R405">
        <v>3.5214131238198122E-3</v>
      </c>
      <c r="S405">
        <v>0.35420496651580557</v>
      </c>
      <c r="T405">
        <v>0.39795368292265643</v>
      </c>
      <c r="U405">
        <v>0</v>
      </c>
      <c r="V405">
        <v>0.19527115442408363</v>
      </c>
      <c r="W405">
        <v>0.21744868830334804</v>
      </c>
      <c r="X405">
        <v>5.2372428926944041E-2</v>
      </c>
      <c r="Y405">
        <v>9.5841256895132405E-3</v>
      </c>
    </row>
    <row r="406" spans="1:25" x14ac:dyDescent="0.25">
      <c r="A406" s="1083"/>
      <c r="B406" s="1455">
        <v>156</v>
      </c>
      <c r="C406" s="1087">
        <v>0.99054112534971306</v>
      </c>
      <c r="D406" s="1087">
        <v>1.0307208027273385</v>
      </c>
      <c r="E406" s="1087">
        <v>0.98491720422115914</v>
      </c>
      <c r="F406" s="1087">
        <v>0.97093891633388474</v>
      </c>
      <c r="G406" s="1087">
        <v>1.019534249102559</v>
      </c>
      <c r="H406" s="1087">
        <v>0.95092060172619786</v>
      </c>
      <c r="I406" s="1087">
        <v>1.0177440240017672</v>
      </c>
      <c r="K406">
        <v>1.78239457528568</v>
      </c>
      <c r="L406">
        <v>0</v>
      </c>
      <c r="M406">
        <v>3.542559436073193E-3</v>
      </c>
      <c r="N406">
        <v>0.3212013374137358</v>
      </c>
      <c r="O406">
        <v>0.23326501876704481</v>
      </c>
      <c r="P406">
        <v>1.2780204702770826E-2</v>
      </c>
      <c r="Q406">
        <v>1.5543097433291585E-3</v>
      </c>
      <c r="R406">
        <v>3.5361306322111161E-3</v>
      </c>
      <c r="S406">
        <v>0.359816312955755</v>
      </c>
      <c r="T406">
        <v>0.39090275577460104</v>
      </c>
      <c r="U406">
        <v>0</v>
      </c>
      <c r="V406">
        <v>0.19660077780578089</v>
      </c>
      <c r="W406">
        <v>0.20654630625299211</v>
      </c>
      <c r="X406">
        <v>5.0109798777801251E-2</v>
      </c>
      <c r="Y406">
        <v>9.6241818957290368E-3</v>
      </c>
    </row>
    <row r="407" spans="1:25" x14ac:dyDescent="0.25">
      <c r="A407" s="1083"/>
      <c r="B407" s="1455">
        <v>157</v>
      </c>
      <c r="C407" s="1087">
        <v>0.98658769533769286</v>
      </c>
      <c r="D407" s="1087">
        <v>1.0428390239115977</v>
      </c>
      <c r="E407" s="1087">
        <v>1.0087126854865316</v>
      </c>
      <c r="F407" s="1087">
        <v>0.98429572556496359</v>
      </c>
      <c r="G407" s="1087">
        <v>1.0157537195771651</v>
      </c>
      <c r="H407" s="1087">
        <v>1.0221842431175452</v>
      </c>
      <c r="I407" s="1087">
        <v>0.96200191265587043</v>
      </c>
      <c r="K407">
        <v>1.8342372618439116</v>
      </c>
      <c r="L407">
        <v>0</v>
      </c>
      <c r="M407">
        <v>3.618932748659136E-3</v>
      </c>
      <c r="N407">
        <v>0.35288959490972105</v>
      </c>
      <c r="O407">
        <v>0.23451308582380501</v>
      </c>
      <c r="P407">
        <v>1.299141228214737E-2</v>
      </c>
      <c r="Q407">
        <v>1.5932138649828798E-3</v>
      </c>
      <c r="R407">
        <v>3.6128133591159365E-3</v>
      </c>
      <c r="S407">
        <v>0.35186283718550893</v>
      </c>
      <c r="T407">
        <v>0.39642183676623954</v>
      </c>
      <c r="U407">
        <v>0</v>
      </c>
      <c r="V407">
        <v>0.1977125599589421</v>
      </c>
      <c r="W407">
        <v>0.22356626082896311</v>
      </c>
      <c r="X407">
        <v>5.285969261323354E-2</v>
      </c>
      <c r="Y407">
        <v>9.8328869999098276E-3</v>
      </c>
    </row>
    <row r="408" spans="1:25" x14ac:dyDescent="0.25">
      <c r="A408" s="1083"/>
      <c r="B408" s="1455">
        <v>158</v>
      </c>
      <c r="C408" s="1087">
        <v>1.0180744893126328</v>
      </c>
      <c r="D408" s="1087">
        <v>0.9672134248575005</v>
      </c>
      <c r="E408" s="1087">
        <v>1.0117191103847349</v>
      </c>
      <c r="F408" s="1087">
        <v>1.016519363758535</v>
      </c>
      <c r="G408" s="1087">
        <v>1.0322452303053347</v>
      </c>
      <c r="H408" s="1087">
        <v>1.0315843900665151</v>
      </c>
      <c r="I408" s="1087">
        <v>1.0321873969844273</v>
      </c>
      <c r="K408">
        <v>1.9042963543668578</v>
      </c>
      <c r="L408">
        <v>0</v>
      </c>
      <c r="M408">
        <v>3.6634110513873237E-3</v>
      </c>
      <c r="N408">
        <v>0.36052872484060666</v>
      </c>
      <c r="O408">
        <v>0.24201445203345059</v>
      </c>
      <c r="P408">
        <v>1.3677484200428115E-2</v>
      </c>
      <c r="Q408">
        <v>1.5962179004559512E-3</v>
      </c>
      <c r="R408">
        <v>3.6573371578533854E-3</v>
      </c>
      <c r="S408">
        <v>0.3832063453977424</v>
      </c>
      <c r="T408">
        <v>0.40941845116501663</v>
      </c>
      <c r="U408">
        <v>0</v>
      </c>
      <c r="V408">
        <v>0.20111921623193524</v>
      </c>
      <c r="W408">
        <v>0.22798050193606648</v>
      </c>
      <c r="X408">
        <v>5.4806968451881835E-2</v>
      </c>
      <c r="Y408">
        <v>9.9540661028068508E-3</v>
      </c>
    </row>
    <row r="409" spans="1:25" x14ac:dyDescent="0.25">
      <c r="A409" s="1083"/>
      <c r="B409" s="1455">
        <v>159</v>
      </c>
      <c r="C409" s="1087">
        <v>0.97651040925316446</v>
      </c>
      <c r="D409" s="1087">
        <v>1.0153433057010739</v>
      </c>
      <c r="E409" s="1087">
        <v>0.997167747128065</v>
      </c>
      <c r="F409" s="1087">
        <v>1.0384360526867653</v>
      </c>
      <c r="G409" s="1087">
        <v>0.9977240024733729</v>
      </c>
      <c r="H409" s="1087">
        <v>1.0213988726639853</v>
      </c>
      <c r="I409" s="1087">
        <v>0.97949688783325894</v>
      </c>
      <c r="K409">
        <v>1.8990685934335965</v>
      </c>
      <c r="L409">
        <v>0</v>
      </c>
      <c r="M409">
        <v>3.7950072207178142E-3</v>
      </c>
      <c r="N409">
        <v>0.35725267243229686</v>
      </c>
      <c r="O409">
        <v>0.24456040133198786</v>
      </c>
      <c r="P409">
        <v>1.3479406160928293E-2</v>
      </c>
      <c r="Q409">
        <v>1.6070894321039051E-3</v>
      </c>
      <c r="R409">
        <v>3.7886088487825995E-3</v>
      </c>
      <c r="S409">
        <v>0.36704768309251218</v>
      </c>
      <c r="T409">
        <v>0.4181538810878368</v>
      </c>
      <c r="U409">
        <v>0</v>
      </c>
      <c r="V409">
        <v>0.20479213861335011</v>
      </c>
      <c r="W409">
        <v>0.22796532346128309</v>
      </c>
      <c r="X409">
        <v>5.390505182141879E-2</v>
      </c>
      <c r="Y409">
        <v>1.031134437181489E-2</v>
      </c>
    </row>
    <row r="410" spans="1:25" x14ac:dyDescent="0.25">
      <c r="A410" s="1083"/>
      <c r="B410" s="1455">
        <v>160</v>
      </c>
      <c r="C410" s="1087">
        <v>1.0313044134616327</v>
      </c>
      <c r="D410" s="1087">
        <v>0.97638021763973604</v>
      </c>
      <c r="E410" s="1087">
        <v>0.99715939002455467</v>
      </c>
      <c r="F410" s="1087">
        <v>1.0062568831091474</v>
      </c>
      <c r="G410" s="1087">
        <v>1.0159394789175105</v>
      </c>
      <c r="H410" s="1087">
        <v>1.0019744365298133</v>
      </c>
      <c r="I410" s="1087">
        <v>0.99573018635065458</v>
      </c>
      <c r="K410">
        <v>1.8310060203862042</v>
      </c>
      <c r="L410">
        <v>0</v>
      </c>
      <c r="M410">
        <v>3.6002146126213612E-3</v>
      </c>
      <c r="N410">
        <v>0.3388987943385493</v>
      </c>
      <c r="O410">
        <v>0.23808643287671205</v>
      </c>
      <c r="P410">
        <v>1.3085354767738155E-2</v>
      </c>
      <c r="Q410">
        <v>1.5456948081430603E-3</v>
      </c>
      <c r="R410">
        <v>3.5940605136162789E-3</v>
      </c>
      <c r="S410">
        <v>0.35759031964285687</v>
      </c>
      <c r="T410">
        <v>0.40519603219595918</v>
      </c>
      <c r="U410">
        <v>0</v>
      </c>
      <c r="V410">
        <v>0.19827210761656225</v>
      </c>
      <c r="W410">
        <v>0.2162547225281593</v>
      </c>
      <c r="X410">
        <v>5.2300867774193703E-2</v>
      </c>
      <c r="Y410">
        <v>9.7818479363336163E-3</v>
      </c>
    </row>
    <row r="411" spans="1:25" x14ac:dyDescent="0.25">
      <c r="A411" s="1083"/>
      <c r="B411" s="1455">
        <v>161</v>
      </c>
      <c r="C411" s="1087">
        <v>1.0046106073015144</v>
      </c>
      <c r="D411" s="1087">
        <v>0.99812609819889775</v>
      </c>
      <c r="E411" s="1087">
        <v>0.98191174642002144</v>
      </c>
      <c r="F411" s="1087">
        <v>0.97212786975604026</v>
      </c>
      <c r="G411" s="1087">
        <v>1.0135251216723977</v>
      </c>
      <c r="H411" s="1087">
        <v>0.97228416900231807</v>
      </c>
      <c r="I411" s="1087">
        <v>1.0010281394422806</v>
      </c>
      <c r="K411">
        <v>1.796586955891041</v>
      </c>
      <c r="L411">
        <v>0</v>
      </c>
      <c r="M411">
        <v>3.6559603465243225E-3</v>
      </c>
      <c r="N411">
        <v>0.32846898078491621</v>
      </c>
      <c r="O411">
        <v>0.23480066721476325</v>
      </c>
      <c r="P411">
        <v>1.2750020462245187E-2</v>
      </c>
      <c r="Q411">
        <v>1.5473612726823814E-3</v>
      </c>
      <c r="R411">
        <v>3.6495000847813243E-3</v>
      </c>
      <c r="S411">
        <v>0.35901879673769693</v>
      </c>
      <c r="T411">
        <v>0.39136393962786681</v>
      </c>
      <c r="U411">
        <v>0</v>
      </c>
      <c r="V411">
        <v>0.19685161252924177</v>
      </c>
      <c r="W411">
        <v>0.21162173046630434</v>
      </c>
      <c r="X411">
        <v>5.0237570883673345E-2</v>
      </c>
      <c r="Y411">
        <v>9.9327361733951413E-3</v>
      </c>
    </row>
    <row r="412" spans="1:25" x14ac:dyDescent="0.25">
      <c r="A412" s="1083"/>
      <c r="B412" s="1455">
        <v>162</v>
      </c>
      <c r="C412" s="1087">
        <v>1.0019442720135743</v>
      </c>
      <c r="D412" s="1087">
        <v>0.98249173338491003</v>
      </c>
      <c r="E412" s="1087">
        <v>1.0109398450472775</v>
      </c>
      <c r="F412" s="1087">
        <v>1.0038925947010562</v>
      </c>
      <c r="G412" s="1087">
        <v>0.96273144452379067</v>
      </c>
      <c r="H412" s="1087">
        <v>0.98716667445934325</v>
      </c>
      <c r="I412" s="1087">
        <v>1.0046777380054268</v>
      </c>
      <c r="K412">
        <v>1.8594540525780974</v>
      </c>
      <c r="L412">
        <v>0</v>
      </c>
      <c r="M412">
        <v>3.5376815498353825E-3</v>
      </c>
      <c r="N412">
        <v>0.34730169552719647</v>
      </c>
      <c r="O412">
        <v>0.24088296654721089</v>
      </c>
      <c r="P412">
        <v>1.3381082199769093E-2</v>
      </c>
      <c r="Q412">
        <v>1.6104491208745282E-3</v>
      </c>
      <c r="R412">
        <v>3.5315386417177864E-3</v>
      </c>
      <c r="S412">
        <v>0.367543530117311</v>
      </c>
      <c r="T412">
        <v>0.40432805214633377</v>
      </c>
      <c r="U412">
        <v>0</v>
      </c>
      <c r="V412">
        <v>0.20089727885686082</v>
      </c>
      <c r="W412">
        <v>0.21972243515395515</v>
      </c>
      <c r="X412">
        <v>5.4181021805344287E-2</v>
      </c>
      <c r="Y412">
        <v>9.6116840113554501E-3</v>
      </c>
    </row>
    <row r="413" spans="1:25" x14ac:dyDescent="0.25">
      <c r="A413" s="1083"/>
      <c r="B413" s="1455">
        <v>163</v>
      </c>
      <c r="C413" s="1087">
        <v>0.99233225405260905</v>
      </c>
      <c r="D413" s="1087">
        <v>0.99878590173053627</v>
      </c>
      <c r="E413" s="1087">
        <v>0.98356210166199143</v>
      </c>
      <c r="F413" s="1087">
        <v>0.97672390286623056</v>
      </c>
      <c r="G413" s="1087">
        <v>1.0135731981107126</v>
      </c>
      <c r="H413" s="1087">
        <v>1.0200914986513447</v>
      </c>
      <c r="I413" s="1087">
        <v>0.95147978307089731</v>
      </c>
      <c r="K413">
        <v>1.8322692690539688</v>
      </c>
      <c r="L413">
        <v>0</v>
      </c>
      <c r="M413">
        <v>3.8687369126895704E-3</v>
      </c>
      <c r="N413">
        <v>0.34937197907696593</v>
      </c>
      <c r="O413">
        <v>0.23676739715348519</v>
      </c>
      <c r="P413">
        <v>1.2741656211874704E-2</v>
      </c>
      <c r="Q413">
        <v>1.5688744177227954E-3</v>
      </c>
      <c r="R413">
        <v>3.8622204208008364E-3</v>
      </c>
      <c r="S413">
        <v>0.35367695168054869</v>
      </c>
      <c r="T413">
        <v>0.39322387876430637</v>
      </c>
      <c r="U413">
        <v>0</v>
      </c>
      <c r="V413">
        <v>0.1985306355503717</v>
      </c>
      <c r="W413">
        <v>0.22485381880667157</v>
      </c>
      <c r="X413">
        <v>5.1028903079109844E-2</v>
      </c>
      <c r="Y413">
        <v>1.0511690804800336E-2</v>
      </c>
    </row>
    <row r="414" spans="1:25" x14ac:dyDescent="0.25">
      <c r="A414" s="1083"/>
      <c r="B414" s="1455">
        <v>164</v>
      </c>
      <c r="C414" s="1087">
        <v>1.0318069998826636</v>
      </c>
      <c r="D414" s="1087">
        <v>0.961097797557666</v>
      </c>
      <c r="E414" s="1087">
        <v>1.008179803011225</v>
      </c>
      <c r="F414" s="1087">
        <v>1.0090856608864269</v>
      </c>
      <c r="G414" s="1087">
        <v>0.98994428384841371</v>
      </c>
      <c r="H414" s="1087">
        <v>1.0181059246838216</v>
      </c>
      <c r="I414" s="1087">
        <v>0.98209007618209732</v>
      </c>
      <c r="K414">
        <v>1.8563940094847713</v>
      </c>
      <c r="L414">
        <v>0</v>
      </c>
      <c r="M414">
        <v>3.6056612059424098E-3</v>
      </c>
      <c r="N414">
        <v>0.35102889625562828</v>
      </c>
      <c r="O414">
        <v>0.24009267006471691</v>
      </c>
      <c r="P414">
        <v>1.3238617994179094E-2</v>
      </c>
      <c r="Q414">
        <v>1.5730613049054465E-3</v>
      </c>
      <c r="R414">
        <v>3.5996092017698423E-3</v>
      </c>
      <c r="S414">
        <v>0.35860430877726274</v>
      </c>
      <c r="T414">
        <v>0.40640262331101334</v>
      </c>
      <c r="U414">
        <v>0</v>
      </c>
      <c r="V414">
        <v>0.19937178297206809</v>
      </c>
      <c r="W414">
        <v>0.22246104095120317</v>
      </c>
      <c r="X414">
        <v>5.3830110221602993E-2</v>
      </c>
      <c r="Y414">
        <v>9.7969496363630587E-3</v>
      </c>
    </row>
    <row r="415" spans="1:25" x14ac:dyDescent="0.25">
      <c r="A415" s="1083"/>
      <c r="B415" s="1455">
        <v>165</v>
      </c>
      <c r="C415" s="1087">
        <v>1.0090886821657934</v>
      </c>
      <c r="D415" s="1087">
        <v>0.99220127708714356</v>
      </c>
      <c r="E415" s="1087">
        <v>1.0214756918233248</v>
      </c>
      <c r="F415" s="1087">
        <v>0.99347416018972423</v>
      </c>
      <c r="G415" s="1087">
        <v>0.97414814491010959</v>
      </c>
      <c r="H415" s="1087">
        <v>0.98893525809926097</v>
      </c>
      <c r="I415" s="1087">
        <v>0.96122808245397229</v>
      </c>
      <c r="K415">
        <v>1.828603933414426</v>
      </c>
      <c r="L415">
        <v>0</v>
      </c>
      <c r="M415">
        <v>3.4253849905187235E-3</v>
      </c>
      <c r="N415">
        <v>0.34725208690474507</v>
      </c>
      <c r="O415">
        <v>0.23796633914868359</v>
      </c>
      <c r="P415">
        <v>1.3123022656240373E-2</v>
      </c>
      <c r="Q415">
        <v>1.6106012051510081E-3</v>
      </c>
      <c r="R415">
        <v>3.419439376487247E-3</v>
      </c>
      <c r="S415">
        <v>0.34767726736659227</v>
      </c>
      <c r="T415">
        <v>0.40019606619005571</v>
      </c>
      <c r="U415">
        <v>0</v>
      </c>
      <c r="V415">
        <v>0.19878007719092161</v>
      </c>
      <c r="W415">
        <v>0.2182669384470316</v>
      </c>
      <c r="X415">
        <v>5.4430893154126574E-2</v>
      </c>
      <c r="Y415">
        <v>9.3065867649107722E-3</v>
      </c>
    </row>
    <row r="416" spans="1:25" x14ac:dyDescent="0.25">
      <c r="A416" s="1083"/>
      <c r="B416" s="1455">
        <v>166</v>
      </c>
      <c r="C416" s="1087">
        <v>0.99959187850947517</v>
      </c>
      <c r="D416" s="1087">
        <v>1.025398952011344</v>
      </c>
      <c r="E416" s="1087">
        <v>1.0179038753967002</v>
      </c>
      <c r="F416" s="1087">
        <v>1.0286720696978495</v>
      </c>
      <c r="G416" s="1087">
        <v>0.99668517440136473</v>
      </c>
      <c r="H416" s="1087">
        <v>0.95916330219247925</v>
      </c>
      <c r="I416" s="1087">
        <v>0.97342779156777337</v>
      </c>
      <c r="K416">
        <v>1.8193210804969489</v>
      </c>
      <c r="L416">
        <v>0</v>
      </c>
      <c r="M416">
        <v>3.3182255832838389E-3</v>
      </c>
      <c r="N416">
        <v>0.33272628513822045</v>
      </c>
      <c r="O416">
        <v>0.23982140828170989</v>
      </c>
      <c r="P416">
        <v>1.3260872535883246E-2</v>
      </c>
      <c r="Q416">
        <v>1.5986049475520141E-3</v>
      </c>
      <c r="R416">
        <v>3.3122584074443788E-3</v>
      </c>
      <c r="S416">
        <v>0.3437561274031829</v>
      </c>
      <c r="T416">
        <v>0.41435208752258529</v>
      </c>
      <c r="U416">
        <v>0</v>
      </c>
      <c r="V416">
        <v>0.20099739935154018</v>
      </c>
      <c r="W416">
        <v>0.20959707854921011</v>
      </c>
      <c r="X416">
        <v>5.4202308443530862E-2</v>
      </c>
      <c r="Y416">
        <v>9.0148754993730328E-3</v>
      </c>
    </row>
    <row r="417" spans="1:25" x14ac:dyDescent="0.25">
      <c r="A417" s="1083"/>
      <c r="B417" s="1455">
        <v>167</v>
      </c>
      <c r="C417" s="1087">
        <v>0.98116262727327364</v>
      </c>
      <c r="D417" s="1087">
        <v>0.99759195592816496</v>
      </c>
      <c r="E417" s="1087">
        <v>0.98357550091453738</v>
      </c>
      <c r="F417" s="1087">
        <v>1.0242490442344194</v>
      </c>
      <c r="G417" s="1087">
        <v>1.012925091662576</v>
      </c>
      <c r="H417" s="1087">
        <v>1.0045021597089583</v>
      </c>
      <c r="I417" s="1087">
        <v>1.0339082067510594</v>
      </c>
      <c r="K417">
        <v>1.8966234248400495</v>
      </c>
      <c r="L417">
        <v>0</v>
      </c>
      <c r="M417">
        <v>3.8558935576076744E-3</v>
      </c>
      <c r="N417">
        <v>0.34821746000389214</v>
      </c>
      <c r="O417">
        <v>0.24392521705358686</v>
      </c>
      <c r="P417">
        <v>1.3508095328186242E-2</v>
      </c>
      <c r="Q417">
        <v>1.587516805041801E-3</v>
      </c>
      <c r="R417">
        <v>3.8492999077267605E-3</v>
      </c>
      <c r="S417">
        <v>0.38599358269335726</v>
      </c>
      <c r="T417">
        <v>0.41235733156096693</v>
      </c>
      <c r="U417">
        <v>0</v>
      </c>
      <c r="V417">
        <v>0.20393908454818774</v>
      </c>
      <c r="W417">
        <v>0.22410887723541961</v>
      </c>
      <c r="X417">
        <v>5.2516327833830617E-2</v>
      </c>
      <c r="Y417">
        <v>1.0476525427458687E-2</v>
      </c>
    </row>
    <row r="418" spans="1:25" x14ac:dyDescent="0.25">
      <c r="A418" s="1083"/>
      <c r="B418" s="1455">
        <v>168</v>
      </c>
      <c r="C418" s="1087">
        <v>0.99761768621215574</v>
      </c>
      <c r="D418" s="1087">
        <v>1.0176127395589298</v>
      </c>
      <c r="E418" s="1087">
        <v>1.0162156496870598</v>
      </c>
      <c r="F418" s="1087">
        <v>1.0034773647691588</v>
      </c>
      <c r="G418" s="1087">
        <v>1.0043537805379332</v>
      </c>
      <c r="H418" s="1087">
        <v>0.9604688302272536</v>
      </c>
      <c r="I418" s="1087">
        <v>1.0176968536221946</v>
      </c>
      <c r="K418">
        <v>1.8271523987300167</v>
      </c>
      <c r="L418">
        <v>0</v>
      </c>
      <c r="M418">
        <v>3.3553837764477403E-3</v>
      </c>
      <c r="N418">
        <v>0.33472703679832833</v>
      </c>
      <c r="O418">
        <v>0.23793220864453132</v>
      </c>
      <c r="P418">
        <v>1.3333611325523789E-2</v>
      </c>
      <c r="Q418">
        <v>1.6037971697028953E-3</v>
      </c>
      <c r="R418">
        <v>3.3493657336294835E-3</v>
      </c>
      <c r="S418">
        <v>0.36187854994882779</v>
      </c>
      <c r="T418">
        <v>0.40419319936790299</v>
      </c>
      <c r="U418">
        <v>0</v>
      </c>
      <c r="V418">
        <v>0.19948781260089235</v>
      </c>
      <c r="W418">
        <v>0.21107713423582711</v>
      </c>
      <c r="X418">
        <v>5.3809197272474081E-2</v>
      </c>
      <c r="Y418">
        <v>9.1158694088221016E-3</v>
      </c>
    </row>
    <row r="419" spans="1:25" x14ac:dyDescent="0.25">
      <c r="A419" s="1083"/>
      <c r="B419" s="1455">
        <v>169</v>
      </c>
      <c r="C419" s="1087">
        <v>0.99684111993028646</v>
      </c>
      <c r="D419" s="1087">
        <v>1.0047078308628696</v>
      </c>
      <c r="E419" s="1087">
        <v>1.0362727094868716</v>
      </c>
      <c r="F419" s="1087">
        <v>1.0082599714824234</v>
      </c>
      <c r="G419" s="1087">
        <v>0.989707121336316</v>
      </c>
      <c r="H419" s="1087">
        <v>0.98457591011010093</v>
      </c>
      <c r="I419" s="1087">
        <v>0.98418140014825384</v>
      </c>
      <c r="K419">
        <v>1.8573766662722577</v>
      </c>
      <c r="L419">
        <v>0</v>
      </c>
      <c r="M419">
        <v>3.3262960134916035E-3</v>
      </c>
      <c r="N419">
        <v>0.35274548188869143</v>
      </c>
      <c r="O419">
        <v>0.24015477301465538</v>
      </c>
      <c r="P419">
        <v>1.3511880324948881E-2</v>
      </c>
      <c r="Q419">
        <v>1.6476389363558764E-3</v>
      </c>
      <c r="R419">
        <v>3.3204867565040162E-3</v>
      </c>
      <c r="S419">
        <v>0.35725274899872411</v>
      </c>
      <c r="T419">
        <v>0.40624437988434059</v>
      </c>
      <c r="U419">
        <v>0</v>
      </c>
      <c r="V419">
        <v>0.20078348202895246</v>
      </c>
      <c r="W419">
        <v>0.21972285160671667</v>
      </c>
      <c r="X419">
        <v>5.6281968492820987E-2</v>
      </c>
      <c r="Y419">
        <v>9.0372703530388308E-3</v>
      </c>
    </row>
    <row r="420" spans="1:25" x14ac:dyDescent="0.25">
      <c r="A420" s="1083"/>
      <c r="B420" s="1455">
        <v>170</v>
      </c>
      <c r="C420" s="1087">
        <v>0.9790293802205009</v>
      </c>
      <c r="D420" s="1087">
        <v>1.0040488013935138</v>
      </c>
      <c r="E420" s="1087">
        <v>0.97849817450874144</v>
      </c>
      <c r="F420" s="1087">
        <v>1.013982158245869</v>
      </c>
      <c r="G420" s="1087">
        <v>1.0052501969191108</v>
      </c>
      <c r="H420" s="1087">
        <v>0.9730240256711663</v>
      </c>
      <c r="I420" s="1087">
        <v>1.0271707682698736</v>
      </c>
      <c r="K420">
        <v>1.8583664859996292</v>
      </c>
      <c r="L420">
        <v>0</v>
      </c>
      <c r="M420">
        <v>3.7689939866747328E-3</v>
      </c>
      <c r="N420">
        <v>0.33511025132842859</v>
      </c>
      <c r="O420">
        <v>0.2422605102187379</v>
      </c>
      <c r="P420">
        <v>1.3264570785488554E-2</v>
      </c>
      <c r="Q420">
        <v>1.5782288932502477E-3</v>
      </c>
      <c r="R420">
        <v>3.7623343986787081E-3</v>
      </c>
      <c r="S420">
        <v>0.37690851243296525</v>
      </c>
      <c r="T420">
        <v>0.40819316761403329</v>
      </c>
      <c r="U420">
        <v>0</v>
      </c>
      <c r="V420">
        <v>0.20291624810412864</v>
      </c>
      <c r="W420">
        <v>0.21636840180613301</v>
      </c>
      <c r="X420">
        <v>5.1533420424455571E-2</v>
      </c>
      <c r="Y420">
        <v>1.0239833980002245E-2</v>
      </c>
    </row>
    <row r="421" spans="1:25" x14ac:dyDescent="0.25">
      <c r="A421" s="1083"/>
      <c r="B421" s="1455">
        <v>171</v>
      </c>
      <c r="C421" s="1087">
        <v>0.99761645051139869</v>
      </c>
      <c r="D421" s="1087">
        <v>1.0246482324061277</v>
      </c>
      <c r="E421" s="1087">
        <v>1.033388980097893</v>
      </c>
      <c r="F421" s="1087">
        <v>1.0100374612545586</v>
      </c>
      <c r="G421" s="1087">
        <v>0.98281179119912343</v>
      </c>
      <c r="H421" s="1087">
        <v>0.97907576583205924</v>
      </c>
      <c r="I421" s="1087">
        <v>0.98239637805478774</v>
      </c>
      <c r="K421">
        <v>1.8374369674097242</v>
      </c>
      <c r="L421">
        <v>0</v>
      </c>
      <c r="M421">
        <v>3.2894357358047581E-3</v>
      </c>
      <c r="N421">
        <v>0.34578274740228732</v>
      </c>
      <c r="O421">
        <v>0.23824651010316023</v>
      </c>
      <c r="P421">
        <v>1.3398506678847937E-2</v>
      </c>
      <c r="Q421">
        <v>1.6285442873789917E-3</v>
      </c>
      <c r="R421">
        <v>3.2836421905105412E-3</v>
      </c>
      <c r="S421">
        <v>0.35146209090930219</v>
      </c>
      <c r="T421">
        <v>0.406942483055166</v>
      </c>
      <c r="U421">
        <v>0</v>
      </c>
      <c r="V421">
        <v>0.19978097427437466</v>
      </c>
      <c r="W421">
        <v>0.21576423368349198</v>
      </c>
      <c r="X421">
        <v>5.5499678970793817E-2</v>
      </c>
      <c r="Y421">
        <v>8.9369915902125074E-3</v>
      </c>
    </row>
    <row r="422" spans="1:25" x14ac:dyDescent="0.25">
      <c r="A422" s="1083"/>
      <c r="B422" s="1455">
        <v>172</v>
      </c>
      <c r="C422" s="1087">
        <v>1.0011113066002937</v>
      </c>
      <c r="D422" s="1087">
        <v>0.95996761692665877</v>
      </c>
      <c r="E422" s="1087">
        <v>0.96309877168436198</v>
      </c>
      <c r="F422" s="1087">
        <v>0.96457410767902696</v>
      </c>
      <c r="G422" s="1087">
        <v>0.99523035469883125</v>
      </c>
      <c r="H422" s="1087">
        <v>1.000434204882799</v>
      </c>
      <c r="I422" s="1087">
        <v>0.99317267259667963</v>
      </c>
      <c r="K422">
        <v>1.8302333039939653</v>
      </c>
      <c r="L422">
        <v>0</v>
      </c>
      <c r="M422">
        <v>4.0044868259649785E-3</v>
      </c>
      <c r="N422">
        <v>0.33968910161706112</v>
      </c>
      <c r="O422">
        <v>0.23775001598876333</v>
      </c>
      <c r="P422">
        <v>1.2695301570877959E-2</v>
      </c>
      <c r="Q422">
        <v>1.5454229436956003E-3</v>
      </c>
      <c r="R422">
        <v>3.9976449285512227E-3</v>
      </c>
      <c r="S422">
        <v>0.37016296588307407</v>
      </c>
      <c r="T422">
        <v>0.38821514317810218</v>
      </c>
      <c r="U422">
        <v>0</v>
      </c>
      <c r="V422">
        <v>0.19844825086729792</v>
      </c>
      <c r="W422">
        <v>0.22149280841977598</v>
      </c>
      <c r="X422">
        <v>4.9360863750512372E-2</v>
      </c>
      <c r="Y422">
        <v>1.0880271672219902E-2</v>
      </c>
    </row>
    <row r="423" spans="1:25" x14ac:dyDescent="0.25">
      <c r="A423" s="1083"/>
      <c r="B423" s="1455">
        <v>173</v>
      </c>
      <c r="C423" s="1087">
        <v>0.99250438466498159</v>
      </c>
      <c r="D423" s="1087">
        <v>1.0359446323255073</v>
      </c>
      <c r="E423" s="1087">
        <v>0.97753013793204246</v>
      </c>
      <c r="F423" s="1087">
        <v>0.98100527123303372</v>
      </c>
      <c r="G423" s="1087">
        <v>0.98479717665878619</v>
      </c>
      <c r="H423" s="1087">
        <v>0.98583603484968907</v>
      </c>
      <c r="I423" s="1087">
        <v>0.97058068378143836</v>
      </c>
      <c r="K423">
        <v>1.7883591544103177</v>
      </c>
      <c r="L423">
        <v>0</v>
      </c>
      <c r="M423">
        <v>3.7108855272853991E-3</v>
      </c>
      <c r="N423">
        <v>0.32897388868294786</v>
      </c>
      <c r="O423">
        <v>0.23362325406925102</v>
      </c>
      <c r="P423">
        <v>1.2602137562581684E-2</v>
      </c>
      <c r="Q423">
        <v>1.5358453040048973E-3</v>
      </c>
      <c r="R423">
        <v>3.7043852043779739E-3</v>
      </c>
      <c r="S423">
        <v>0.34750439996390431</v>
      </c>
      <c r="T423">
        <v>0.3949121823577097</v>
      </c>
      <c r="U423">
        <v>0</v>
      </c>
      <c r="V423">
        <v>0.19695262910087036</v>
      </c>
      <c r="W423">
        <v>0.21253703979524377</v>
      </c>
      <c r="X423">
        <v>4.9642162520649194E-2</v>
      </c>
      <c r="Y423">
        <v>1.0082115376062415E-2</v>
      </c>
    </row>
    <row r="424" spans="1:25" x14ac:dyDescent="0.25">
      <c r="A424" s="1083"/>
      <c r="B424" s="1455">
        <v>174</v>
      </c>
      <c r="C424" s="1087">
        <v>1.0003400692194235</v>
      </c>
      <c r="D424" s="1087">
        <v>1.0028114755065705</v>
      </c>
      <c r="E424" s="1087">
        <v>1.0025841709064531</v>
      </c>
      <c r="F424" s="1087">
        <v>0.99102764347936934</v>
      </c>
      <c r="G424" s="1087">
        <v>1.0428702229091307</v>
      </c>
      <c r="H424" s="1087">
        <v>1.0229645853766169</v>
      </c>
      <c r="I424" s="1087">
        <v>1.0248844576697371</v>
      </c>
      <c r="K424">
        <v>1.8695034209576593</v>
      </c>
      <c r="L424">
        <v>0</v>
      </c>
      <c r="M424">
        <v>3.694090257282455E-3</v>
      </c>
      <c r="N424">
        <v>0.353550460994001</v>
      </c>
      <c r="O424">
        <v>0.23740240250500066</v>
      </c>
      <c r="P424">
        <v>1.3339450554053176E-2</v>
      </c>
      <c r="Q424">
        <v>1.5857453405725146E-3</v>
      </c>
      <c r="R424">
        <v>3.6878823606748276E-3</v>
      </c>
      <c r="S424">
        <v>0.37784404284343565</v>
      </c>
      <c r="T424">
        <v>0.39909614655351894</v>
      </c>
      <c r="U424">
        <v>0</v>
      </c>
      <c r="V424">
        <v>0.19882309471351006</v>
      </c>
      <c r="W424">
        <v>0.22484062761195597</v>
      </c>
      <c r="X424">
        <v>5.2990457662555383E-2</v>
      </c>
      <c r="Y424">
        <v>1.0037200075663416E-2</v>
      </c>
    </row>
    <row r="425" spans="1:25" x14ac:dyDescent="0.25">
      <c r="A425" s="1083"/>
      <c r="B425" s="1455">
        <v>175</v>
      </c>
      <c r="C425" s="1087">
        <v>0.98409482158684858</v>
      </c>
      <c r="D425" s="1087">
        <v>0.98662745535628571</v>
      </c>
      <c r="E425" s="1087">
        <v>1.0130659476823096</v>
      </c>
      <c r="F425" s="1087">
        <v>0.98589613019809164</v>
      </c>
      <c r="G425" s="1087">
        <v>0.9899275965436497</v>
      </c>
      <c r="H425" s="1087">
        <v>0.99582301342088675</v>
      </c>
      <c r="I425" s="1087">
        <v>0.9698152073445816</v>
      </c>
      <c r="K425">
        <v>1.8616155152953142</v>
      </c>
      <c r="L425">
        <v>0</v>
      </c>
      <c r="M425">
        <v>3.6089982080801607E-3</v>
      </c>
      <c r="N425">
        <v>0.3566122002656934</v>
      </c>
      <c r="O425">
        <v>0.24049903857131857</v>
      </c>
      <c r="P425">
        <v>1.3227365215649472E-2</v>
      </c>
      <c r="Q425">
        <v>1.6405963483567469E-3</v>
      </c>
      <c r="R425">
        <v>3.6027815261996474E-3</v>
      </c>
      <c r="S425">
        <v>0.36194569492682199</v>
      </c>
      <c r="T425">
        <v>0.39709259960325055</v>
      </c>
      <c r="U425">
        <v>0</v>
      </c>
      <c r="V425">
        <v>0.20104868438547088</v>
      </c>
      <c r="W425">
        <v>0.22531595312803898</v>
      </c>
      <c r="X425">
        <v>5.4434015874887727E-2</v>
      </c>
      <c r="Y425">
        <v>9.8055836577045207E-3</v>
      </c>
    </row>
    <row r="426" spans="1:25" x14ac:dyDescent="0.25">
      <c r="A426" s="1083"/>
      <c r="B426" s="1455">
        <v>176</v>
      </c>
      <c r="C426" s="1087">
        <v>0.98826538466243474</v>
      </c>
      <c r="D426" s="1087">
        <v>0.97314135377621946</v>
      </c>
      <c r="E426" s="1087">
        <v>0.99761940260627635</v>
      </c>
      <c r="F426" s="1087">
        <v>1.0041114849290651</v>
      </c>
      <c r="G426" s="1087">
        <v>0.97266441124676495</v>
      </c>
      <c r="H426" s="1087">
        <v>0.97592243038278814</v>
      </c>
      <c r="I426" s="1087">
        <v>1.0161181200237785</v>
      </c>
      <c r="K426">
        <v>1.8710046445623099</v>
      </c>
      <c r="L426">
        <v>0</v>
      </c>
      <c r="M426">
        <v>3.6625228364538884E-3</v>
      </c>
      <c r="N426">
        <v>0.34523298275044501</v>
      </c>
      <c r="O426">
        <v>0.24333678289688715</v>
      </c>
      <c r="P426">
        <v>1.3398947351513712E-2</v>
      </c>
      <c r="Q426">
        <v>1.6159481706939389E-3</v>
      </c>
      <c r="R426">
        <v>3.6560982304833364E-3</v>
      </c>
      <c r="S426">
        <v>0.37658651882143224</v>
      </c>
      <c r="T426">
        <v>0.40433492424847123</v>
      </c>
      <c r="U426">
        <v>0</v>
      </c>
      <c r="V426">
        <v>0.2028282074669765</v>
      </c>
      <c r="W426">
        <v>0.22023319734159416</v>
      </c>
      <c r="X426">
        <v>5.3492865969345701E-2</v>
      </c>
      <c r="Y426">
        <v>9.9506941509178784E-3</v>
      </c>
    </row>
    <row r="427" spans="1:25" x14ac:dyDescent="0.25">
      <c r="A427" s="1083"/>
      <c r="B427" s="1455">
        <v>177</v>
      </c>
      <c r="C427" s="1087">
        <v>0.97151257024991777</v>
      </c>
      <c r="D427" s="1087">
        <v>0.97721278337878104</v>
      </c>
      <c r="E427" s="1087">
        <v>1.0110125760180566</v>
      </c>
      <c r="F427" s="1087">
        <v>1.0037398708433185</v>
      </c>
      <c r="G427" s="1087">
        <v>0.98072945736015849</v>
      </c>
      <c r="H427" s="1087">
        <v>0.99501039660396096</v>
      </c>
      <c r="I427" s="1087">
        <v>1.0402737985588097</v>
      </c>
      <c r="K427">
        <v>1.9211439183752252</v>
      </c>
      <c r="L427">
        <v>0</v>
      </c>
      <c r="M427">
        <v>3.6872751450249108E-3</v>
      </c>
      <c r="N427">
        <v>0.36207327675386147</v>
      </c>
      <c r="O427">
        <v>0.24515932119509451</v>
      </c>
      <c r="P427">
        <v>1.3811042586341454E-2</v>
      </c>
      <c r="Q427">
        <v>1.6646062664185512E-3</v>
      </c>
      <c r="R427">
        <v>3.6809270949166059E-3</v>
      </c>
      <c r="S427">
        <v>0.3951861513772833</v>
      </c>
      <c r="T427">
        <v>0.4042669868116352</v>
      </c>
      <c r="U427">
        <v>0</v>
      </c>
      <c r="V427">
        <v>0.20451570287071749</v>
      </c>
      <c r="W427">
        <v>0.22905743779620374</v>
      </c>
      <c r="X427">
        <v>5.5397470632704178E-2</v>
      </c>
      <c r="Y427">
        <v>1.0018270135072274E-2</v>
      </c>
    </row>
    <row r="428" spans="1:25" x14ac:dyDescent="0.25">
      <c r="A428" s="1083"/>
      <c r="B428" s="1455">
        <v>178</v>
      </c>
      <c r="C428" s="1087">
        <v>1.0060761484986909</v>
      </c>
      <c r="D428" s="1087">
        <v>1.011221192975152</v>
      </c>
      <c r="E428" s="1087">
        <v>0.99140213630553853</v>
      </c>
      <c r="F428" s="1087">
        <v>1.0375285494876079</v>
      </c>
      <c r="G428" s="1087">
        <v>0.99873923490436867</v>
      </c>
      <c r="H428" s="1087">
        <v>0.96855897310792238</v>
      </c>
      <c r="I428" s="1087">
        <v>0.99989620686885494</v>
      </c>
      <c r="K428">
        <v>1.8292014891051227</v>
      </c>
      <c r="L428">
        <v>0</v>
      </c>
      <c r="M428">
        <v>3.5411356536937193E-3</v>
      </c>
      <c r="N428">
        <v>0.32750739760253028</v>
      </c>
      <c r="O428">
        <v>0.24106164061051152</v>
      </c>
      <c r="P428">
        <v>1.3208598669582385E-2</v>
      </c>
      <c r="Q428">
        <v>1.5528041834466941E-3</v>
      </c>
      <c r="R428">
        <v>3.5348414677824208E-3</v>
      </c>
      <c r="S428">
        <v>0.35491973764103102</v>
      </c>
      <c r="T428">
        <v>0.41775235276147937</v>
      </c>
      <c r="U428">
        <v>0</v>
      </c>
      <c r="V428">
        <v>0.20163375810215198</v>
      </c>
      <c r="W428">
        <v>0.20974214402429278</v>
      </c>
      <c r="X428">
        <v>5.2208676480880928E-2</v>
      </c>
      <c r="Y428">
        <v>9.6206732151270652E-3</v>
      </c>
    </row>
    <row r="429" spans="1:25" x14ac:dyDescent="0.25">
      <c r="A429" s="1083"/>
      <c r="B429" s="1455">
        <v>179</v>
      </c>
      <c r="C429" s="1087">
        <v>1.0268269500253229</v>
      </c>
      <c r="D429" s="1087">
        <v>1.0348571974353671</v>
      </c>
      <c r="E429" s="1087">
        <v>0.9932086416063588</v>
      </c>
      <c r="F429" s="1087">
        <v>0.99933002906443202</v>
      </c>
      <c r="G429" s="1087">
        <v>0.98656419967093256</v>
      </c>
      <c r="H429" s="1087">
        <v>1.0036792708421682</v>
      </c>
      <c r="I429" s="1087">
        <v>1.0136887240614072</v>
      </c>
      <c r="K429">
        <v>1.7977828397413531</v>
      </c>
      <c r="L429">
        <v>0</v>
      </c>
      <c r="M429">
        <v>3.5373296830850855E-3</v>
      </c>
      <c r="N429">
        <v>0.32898357301916437</v>
      </c>
      <c r="O429">
        <v>0.23196335948581676</v>
      </c>
      <c r="P429">
        <v>1.2919193178163051E-2</v>
      </c>
      <c r="Q429">
        <v>1.5103441614517242E-3</v>
      </c>
      <c r="R429">
        <v>3.5312419365175728E-3</v>
      </c>
      <c r="S429">
        <v>0.35424656500381652</v>
      </c>
      <c r="T429">
        <v>0.40238291057423958</v>
      </c>
      <c r="U429">
        <v>0</v>
      </c>
      <c r="V429">
        <v>0.19503621331700477</v>
      </c>
      <c r="W429">
        <v>0.21044845712768132</v>
      </c>
      <c r="X429">
        <v>5.0687435142971526E-2</v>
      </c>
      <c r="Y429">
        <v>9.6108764776093106E-3</v>
      </c>
    </row>
    <row r="430" spans="1:25" x14ac:dyDescent="0.25">
      <c r="A430" s="1083"/>
      <c r="B430" s="1455">
        <v>180</v>
      </c>
      <c r="C430" s="1087">
        <v>0.99304803498061789</v>
      </c>
      <c r="D430" s="1087">
        <v>1.0066673356385558</v>
      </c>
      <c r="E430" s="1087">
        <v>1.0088662579817071</v>
      </c>
      <c r="F430" s="1087">
        <v>0.99709325046960606</v>
      </c>
      <c r="G430" s="1087">
        <v>1.0403712901219573</v>
      </c>
      <c r="H430" s="1087">
        <v>1.0059975506172412</v>
      </c>
      <c r="I430" s="1087">
        <v>0.98936220410748699</v>
      </c>
      <c r="K430">
        <v>1.8567725711215737</v>
      </c>
      <c r="L430">
        <v>0</v>
      </c>
      <c r="M430">
        <v>3.6053237759182915E-3</v>
      </c>
      <c r="N430">
        <v>0.35172063309111201</v>
      </c>
      <c r="O430">
        <v>0.23871088355732833</v>
      </c>
      <c r="P430">
        <v>1.3256748402455156E-2</v>
      </c>
      <c r="Q430">
        <v>1.6056200476005898E-3</v>
      </c>
      <c r="R430">
        <v>3.5991596792314781E-3</v>
      </c>
      <c r="S430">
        <v>0.36366723675485652</v>
      </c>
      <c r="T430">
        <v>0.40157693103471953</v>
      </c>
      <c r="U430">
        <v>0</v>
      </c>
      <c r="V430">
        <v>0.19996375052255105</v>
      </c>
      <c r="W430">
        <v>0.22280444846475836</v>
      </c>
      <c r="X430">
        <v>5.3676757158679547E-2</v>
      </c>
      <c r="Y430">
        <v>9.7957261841986956E-3</v>
      </c>
    </row>
    <row r="431" spans="1:25" x14ac:dyDescent="0.25">
      <c r="A431" s="1083"/>
      <c r="B431" s="1455">
        <v>181</v>
      </c>
      <c r="C431" s="1087">
        <v>1.0302797470433103</v>
      </c>
      <c r="D431" s="1087">
        <v>0.97475987881884207</v>
      </c>
      <c r="E431" s="1087">
        <v>0.96808174019567494</v>
      </c>
      <c r="F431" s="1087">
        <v>0.99016134009809087</v>
      </c>
      <c r="G431" s="1087">
        <v>1.018588381126261</v>
      </c>
      <c r="H431" s="1087">
        <v>1.0347376876725032</v>
      </c>
      <c r="I431" s="1087">
        <v>0.99988173900155686</v>
      </c>
      <c r="K431">
        <v>1.833090147737815</v>
      </c>
      <c r="L431">
        <v>0</v>
      </c>
      <c r="M431">
        <v>3.9526657696129517E-3</v>
      </c>
      <c r="N431">
        <v>0.34046221867411375</v>
      </c>
      <c r="O431">
        <v>0.23606157054759436</v>
      </c>
      <c r="P431">
        <v>1.2796124707224962E-2</v>
      </c>
      <c r="Q431">
        <v>1.5006026175276297E-3</v>
      </c>
      <c r="R431">
        <v>3.9461247565337372E-3</v>
      </c>
      <c r="S431">
        <v>0.36528728523746007</v>
      </c>
      <c r="T431">
        <v>0.39854246526832765</v>
      </c>
      <c r="U431">
        <v>0</v>
      </c>
      <c r="V431">
        <v>0.19690865516509995</v>
      </c>
      <c r="W431">
        <v>0.22128866907986167</v>
      </c>
      <c r="X431">
        <v>4.9509046706073846E-2</v>
      </c>
      <c r="Y431">
        <v>1.074005074760845E-2</v>
      </c>
    </row>
    <row r="432" spans="1:25" x14ac:dyDescent="0.25">
      <c r="A432" s="1083"/>
      <c r="B432" s="1455">
        <v>182</v>
      </c>
      <c r="C432" s="1087">
        <v>1.0010126862251101</v>
      </c>
      <c r="D432" s="1087">
        <v>1.0017729918102618</v>
      </c>
      <c r="E432" s="1087">
        <v>0.97145864592279241</v>
      </c>
      <c r="F432" s="1087">
        <v>1.0122306472764975</v>
      </c>
      <c r="G432" s="1087">
        <v>0.99864405070633377</v>
      </c>
      <c r="H432" s="1087">
        <v>0.99144133786861954</v>
      </c>
      <c r="I432" s="1087">
        <v>0.98621588988846665</v>
      </c>
      <c r="K432">
        <v>1.8272537657530363</v>
      </c>
      <c r="L432">
        <v>0</v>
      </c>
      <c r="M432">
        <v>3.8146461266056393E-3</v>
      </c>
      <c r="N432">
        <v>0.33195881255919801</v>
      </c>
      <c r="O432">
        <v>0.23946125516428426</v>
      </c>
      <c r="P432">
        <v>1.289222934534255E-2</v>
      </c>
      <c r="Q432">
        <v>1.5332750484394779E-3</v>
      </c>
      <c r="R432">
        <v>3.808032700896611E-3</v>
      </c>
      <c r="S432">
        <v>0.35757275080321838</v>
      </c>
      <c r="T432">
        <v>0.4074456759383529</v>
      </c>
      <c r="U432">
        <v>0</v>
      </c>
      <c r="V432">
        <v>0.20043617305067843</v>
      </c>
      <c r="W432">
        <v>0.21529649305761278</v>
      </c>
      <c r="X432">
        <v>5.0299504517418825E-2</v>
      </c>
      <c r="Y432">
        <v>1.0364209694198101E-2</v>
      </c>
    </row>
    <row r="433" spans="1:25" x14ac:dyDescent="0.25">
      <c r="A433" s="1083"/>
      <c r="B433" s="1455">
        <v>183</v>
      </c>
      <c r="C433" s="1087">
        <v>0.96391175180998179</v>
      </c>
      <c r="D433" s="1087">
        <v>0.98194371570775796</v>
      </c>
      <c r="E433" s="1087">
        <v>1.0000651740079016</v>
      </c>
      <c r="F433" s="1087">
        <v>1.0184980531311016</v>
      </c>
      <c r="G433" s="1087">
        <v>0.97890565854570533</v>
      </c>
      <c r="H433" s="1087">
        <v>1.0244899987749643</v>
      </c>
      <c r="I433" s="1087">
        <v>0.99699300899088739</v>
      </c>
      <c r="K433">
        <v>1.9376924311754891</v>
      </c>
      <c r="L433">
        <v>0</v>
      </c>
      <c r="M433">
        <v>3.9033752202252323E-3</v>
      </c>
      <c r="N433">
        <v>0.37072277039411183</v>
      </c>
      <c r="O433">
        <v>0.24727610499019886</v>
      </c>
      <c r="P433">
        <v>1.3681663025894037E-2</v>
      </c>
      <c r="Q433">
        <v>1.65512952533041E-3</v>
      </c>
      <c r="R433">
        <v>3.8968447237912058E-3</v>
      </c>
      <c r="S433">
        <v>0.38618239868670889</v>
      </c>
      <c r="T433">
        <v>0.41014317870993677</v>
      </c>
      <c r="U433">
        <v>0</v>
      </c>
      <c r="V433">
        <v>0.20634891471758213</v>
      </c>
      <c r="W433">
        <v>0.23613236117264705</v>
      </c>
      <c r="X433">
        <v>5.4950513705868641E-2</v>
      </c>
      <c r="Y433">
        <v>1.0605926743641709E-2</v>
      </c>
    </row>
    <row r="434" spans="1:25" x14ac:dyDescent="0.25">
      <c r="A434" s="1083"/>
      <c r="B434" s="1455">
        <v>184</v>
      </c>
      <c r="C434" s="1087">
        <v>1.0312164854181589</v>
      </c>
      <c r="D434" s="1087">
        <v>1.012546049763154</v>
      </c>
      <c r="E434" s="1087">
        <v>1.0333211462286871</v>
      </c>
      <c r="F434" s="1087">
        <v>1.0200651299265058</v>
      </c>
      <c r="G434" s="1087">
        <v>1.0177549585515759</v>
      </c>
      <c r="H434" s="1087">
        <v>1.0017410302363299</v>
      </c>
      <c r="I434" s="1087">
        <v>0.96904994224738594</v>
      </c>
      <c r="K434">
        <v>1.8246401335313611</v>
      </c>
      <c r="L434">
        <v>0</v>
      </c>
      <c r="M434">
        <v>3.2761318764002647E-3</v>
      </c>
      <c r="N434">
        <v>0.3443276604486879</v>
      </c>
      <c r="O434">
        <v>0.23652088708427277</v>
      </c>
      <c r="P434">
        <v>1.3284263480041478E-2</v>
      </c>
      <c r="Q434">
        <v>1.5828744731648137E-3</v>
      </c>
      <c r="R434">
        <v>3.2704996158712278E-3</v>
      </c>
      <c r="S434">
        <v>0.34137759398321138</v>
      </c>
      <c r="T434">
        <v>0.41098218576726481</v>
      </c>
      <c r="U434">
        <v>0</v>
      </c>
      <c r="V434">
        <v>0.19770408581734011</v>
      </c>
      <c r="W434">
        <v>0.21486515903021358</v>
      </c>
      <c r="X434">
        <v>5.5099833873201366E-2</v>
      </c>
      <c r="Y434">
        <v>8.9012218344928611E-3</v>
      </c>
    </row>
    <row r="435" spans="1:25" x14ac:dyDescent="0.25">
      <c r="A435" s="1083"/>
      <c r="B435" s="1455">
        <v>185</v>
      </c>
      <c r="C435" s="1087">
        <v>0.99836168412571658</v>
      </c>
      <c r="D435" s="1087">
        <v>0.97749531516282118</v>
      </c>
      <c r="E435" s="1087">
        <v>1.0350962571208595</v>
      </c>
      <c r="F435" s="1087">
        <v>1.0076041149830799</v>
      </c>
      <c r="G435" s="1087">
        <v>1.0027635244550046</v>
      </c>
      <c r="H435" s="1087">
        <v>0.97777460176147368</v>
      </c>
      <c r="I435" s="1087">
        <v>0.99510969920876235</v>
      </c>
      <c r="K435">
        <v>1.8722960186207618</v>
      </c>
      <c r="L435">
        <v>0</v>
      </c>
      <c r="M435">
        <v>3.3557215789976899E-3</v>
      </c>
      <c r="N435">
        <v>0.35459205917496295</v>
      </c>
      <c r="O435">
        <v>0.24262583636256285</v>
      </c>
      <c r="P435">
        <v>1.3621682536559645E-2</v>
      </c>
      <c r="Q435">
        <v>1.6612523141417846E-3</v>
      </c>
      <c r="R435">
        <v>3.3498429033235353E-3</v>
      </c>
      <c r="S435">
        <v>0.36494381253894043</v>
      </c>
      <c r="T435">
        <v>0.40597276369467644</v>
      </c>
      <c r="U435">
        <v>0</v>
      </c>
      <c r="V435">
        <v>0.20202559769001696</v>
      </c>
      <c r="W435">
        <v>0.22103120516608177</v>
      </c>
      <c r="X435">
        <v>5.671051971105958E-2</v>
      </c>
      <c r="Y435">
        <v>9.1171681074303616E-3</v>
      </c>
    </row>
    <row r="436" spans="1:25" x14ac:dyDescent="0.25">
      <c r="A436" s="1083"/>
      <c r="B436" s="1455">
        <v>186</v>
      </c>
      <c r="C436" s="1087">
        <v>1.0158287774396271</v>
      </c>
      <c r="D436" s="1087">
        <v>1.012007846663062</v>
      </c>
      <c r="E436" s="1087">
        <v>1.0107062489118592</v>
      </c>
      <c r="F436" s="1087">
        <v>0.98830622973135551</v>
      </c>
      <c r="G436" s="1087">
        <v>0.97381049064544545</v>
      </c>
      <c r="H436" s="1087">
        <v>0.96375463552571083</v>
      </c>
      <c r="I436" s="1087">
        <v>0.99804618411734447</v>
      </c>
      <c r="K436">
        <v>1.7925241920032717</v>
      </c>
      <c r="L436">
        <v>0</v>
      </c>
      <c r="M436">
        <v>3.3539023879056366E-3</v>
      </c>
      <c r="N436">
        <v>0.32900887424641845</v>
      </c>
      <c r="O436">
        <v>0.23445841368850812</v>
      </c>
      <c r="P436">
        <v>1.2992491030333335E-2</v>
      </c>
      <c r="Q436">
        <v>1.5693527537661834E-3</v>
      </c>
      <c r="R436">
        <v>3.3479118895618108E-3</v>
      </c>
      <c r="S436">
        <v>0.35010867001555085</v>
      </c>
      <c r="T436">
        <v>0.39804907404422663</v>
      </c>
      <c r="U436">
        <v>0</v>
      </c>
      <c r="V436">
        <v>0.19652576242869191</v>
      </c>
      <c r="W436">
        <v>0.20817951235065973</v>
      </c>
      <c r="X436">
        <v>5.2526119418928305E-2</v>
      </c>
      <c r="Y436">
        <v>9.1119125245294613E-3</v>
      </c>
    </row>
    <row r="437" spans="1:25" x14ac:dyDescent="0.25">
      <c r="A437" s="1083"/>
      <c r="B437" s="1455">
        <v>187</v>
      </c>
      <c r="C437" s="1087">
        <v>0.99638547765585095</v>
      </c>
      <c r="D437" s="1087">
        <v>0.98813525159913329</v>
      </c>
      <c r="E437" s="1087">
        <v>0.97752146925359007</v>
      </c>
      <c r="F437" s="1087">
        <v>0.98754446608066893</v>
      </c>
      <c r="G437" s="1087">
        <v>1.0189775092428814</v>
      </c>
      <c r="H437" s="1087">
        <v>1.025198986442224</v>
      </c>
      <c r="I437" s="1087">
        <v>0.9860616866875227</v>
      </c>
      <c r="K437">
        <v>1.8552904331457396</v>
      </c>
      <c r="L437">
        <v>0</v>
      </c>
      <c r="M437">
        <v>3.943161596604264E-3</v>
      </c>
      <c r="N437">
        <v>0.34958354259300278</v>
      </c>
      <c r="O437">
        <v>0.2385476514359782</v>
      </c>
      <c r="P437">
        <v>1.2948409618953728E-2</v>
      </c>
      <c r="Q437">
        <v>1.5590373548800588E-3</v>
      </c>
      <c r="R437">
        <v>3.9365629372358872E-3</v>
      </c>
      <c r="S437">
        <v>0.36807252064161505</v>
      </c>
      <c r="T437">
        <v>0.39754454094178932</v>
      </c>
      <c r="U437">
        <v>0</v>
      </c>
      <c r="V437">
        <v>0.19956772834461695</v>
      </c>
      <c r="W437">
        <v>0.22585336762226488</v>
      </c>
      <c r="X437">
        <v>5.0906206624471415E-2</v>
      </c>
      <c r="Y437">
        <v>1.0714026627532588E-2</v>
      </c>
    </row>
    <row r="438" spans="1:25" x14ac:dyDescent="0.25">
      <c r="A438" s="1083"/>
      <c r="B438" s="1455">
        <v>188</v>
      </c>
      <c r="C438" s="1087">
        <v>1.0306576179069038</v>
      </c>
      <c r="D438" s="1087">
        <v>1.0314103139834616</v>
      </c>
      <c r="E438" s="1087">
        <v>1.0195613379531845</v>
      </c>
      <c r="F438" s="1087">
        <v>0.96705232606739089</v>
      </c>
      <c r="G438" s="1087">
        <v>0.99940964100693652</v>
      </c>
      <c r="H438" s="1087">
        <v>0.99215023545896086</v>
      </c>
      <c r="I438" s="1087">
        <v>0.98963032671468443</v>
      </c>
      <c r="K438">
        <v>1.7725584951858326</v>
      </c>
      <c r="L438">
        <v>0</v>
      </c>
      <c r="M438">
        <v>3.3074660610524055E-3</v>
      </c>
      <c r="N438">
        <v>0.33334639417787215</v>
      </c>
      <c r="O438">
        <v>0.22855278717835345</v>
      </c>
      <c r="P438">
        <v>1.2809715053800042E-2</v>
      </c>
      <c r="Q438">
        <v>1.5495074571001324E-3</v>
      </c>
      <c r="R438">
        <v>3.3017118604848896E-3</v>
      </c>
      <c r="S438">
        <v>0.34353982342529799</v>
      </c>
      <c r="T438">
        <v>0.38954131629236377</v>
      </c>
      <c r="U438">
        <v>0</v>
      </c>
      <c r="V438">
        <v>0.19226658523499887</v>
      </c>
      <c r="W438">
        <v>0.20977338711050841</v>
      </c>
      <c r="X438">
        <v>5.2198562180887573E-2</v>
      </c>
      <c r="Y438">
        <v>8.9861712752175773E-3</v>
      </c>
    </row>
    <row r="439" spans="1:25" x14ac:dyDescent="0.25">
      <c r="A439" s="1083"/>
      <c r="B439" s="1455">
        <v>189</v>
      </c>
      <c r="C439" s="1087">
        <v>0.96919272315180338</v>
      </c>
      <c r="D439" s="1087">
        <v>0.99690406053225544</v>
      </c>
      <c r="E439" s="1087">
        <v>0.98915544482105688</v>
      </c>
      <c r="F439" s="1087">
        <v>1.009088978037413</v>
      </c>
      <c r="G439" s="1087">
        <v>1.0332391195213484</v>
      </c>
      <c r="H439" s="1087">
        <v>0.99509903454159232</v>
      </c>
      <c r="I439" s="1087">
        <v>1.0108707695705967</v>
      </c>
      <c r="K439">
        <v>1.8896027338301031</v>
      </c>
      <c r="L439">
        <v>0</v>
      </c>
      <c r="M439">
        <v>3.824487035194541E-3</v>
      </c>
      <c r="N439">
        <v>0.3513131202272331</v>
      </c>
      <c r="O439">
        <v>0.24378367618518293</v>
      </c>
      <c r="P439">
        <v>1.3409706253498063E-2</v>
      </c>
      <c r="Q439">
        <v>1.6172217184409212E-3</v>
      </c>
      <c r="R439">
        <v>3.8178857238285193E-3</v>
      </c>
      <c r="S439">
        <v>0.38047920198468854</v>
      </c>
      <c r="T439">
        <v>0.40628775148511531</v>
      </c>
      <c r="U439">
        <v>0</v>
      </c>
      <c r="V439">
        <v>0.20404122110122802</v>
      </c>
      <c r="W439">
        <v>0.22530617434556946</v>
      </c>
      <c r="X439">
        <v>5.2980235465942792E-2</v>
      </c>
      <c r="Y439">
        <v>1.0391026374570617E-2</v>
      </c>
    </row>
    <row r="440" spans="1:25" x14ac:dyDescent="0.25">
      <c r="A440" s="1083"/>
      <c r="B440" s="1455">
        <v>190</v>
      </c>
      <c r="C440" s="1087">
        <v>1.0022908254287777</v>
      </c>
      <c r="D440" s="1087">
        <v>0.97387686357215242</v>
      </c>
      <c r="E440" s="1087">
        <v>1.0037464428187093</v>
      </c>
      <c r="F440" s="1087">
        <v>0.99900122781789591</v>
      </c>
      <c r="G440" s="1087">
        <v>1.0376692636224139</v>
      </c>
      <c r="H440" s="1087">
        <v>1.006926945360866</v>
      </c>
      <c r="I440" s="1087">
        <v>1.0085892684970925</v>
      </c>
      <c r="K440">
        <v>1.874878433535125</v>
      </c>
      <c r="L440">
        <v>0</v>
      </c>
      <c r="M440">
        <v>3.6781344905837238E-3</v>
      </c>
      <c r="N440">
        <v>0.35326689353523349</v>
      </c>
      <c r="O440">
        <v>0.24102340950364509</v>
      </c>
      <c r="P440">
        <v>1.3373347561905037E-2</v>
      </c>
      <c r="Q440">
        <v>1.6032839413236423E-3</v>
      </c>
      <c r="R440">
        <v>3.671880583107837E-3</v>
      </c>
      <c r="S440">
        <v>0.37422552696110034</v>
      </c>
      <c r="T440">
        <v>0.40231423508614461</v>
      </c>
      <c r="U440">
        <v>0</v>
      </c>
      <c r="V440">
        <v>0.20085885836078995</v>
      </c>
      <c r="W440">
        <v>0.22449758813187487</v>
      </c>
      <c r="X440">
        <v>5.3727895848471249E-2</v>
      </c>
      <c r="Y440">
        <v>9.9936485121106203E-3</v>
      </c>
    </row>
    <row r="441" spans="1:25" x14ac:dyDescent="0.25">
      <c r="A441" s="1083"/>
      <c r="B441" s="1455">
        <v>191</v>
      </c>
      <c r="C441" s="1087">
        <v>1.0036378083899207</v>
      </c>
      <c r="D441" s="1087">
        <v>1.0283856478282891</v>
      </c>
      <c r="E441" s="1087">
        <v>1.0182988080894244</v>
      </c>
      <c r="F441" s="1087">
        <v>0.96390421408236238</v>
      </c>
      <c r="G441" s="1087">
        <v>0.98729273030451048</v>
      </c>
      <c r="H441" s="1087">
        <v>0.98890060538454005</v>
      </c>
      <c r="I441" s="1087">
        <v>1.0419810460781307</v>
      </c>
      <c r="K441">
        <v>1.8195198348274195</v>
      </c>
      <c r="L441">
        <v>0</v>
      </c>
      <c r="M441">
        <v>3.3999828936549393E-3</v>
      </c>
      <c r="N441">
        <v>0.34135325910709602</v>
      </c>
      <c r="O441">
        <v>0.23156918433436174</v>
      </c>
      <c r="P441">
        <v>1.3203056178365875E-2</v>
      </c>
      <c r="Q441">
        <v>1.5909724876010242E-3</v>
      </c>
      <c r="R441">
        <v>3.3940514903022349E-3</v>
      </c>
      <c r="S441">
        <v>0.37145835410520067</v>
      </c>
      <c r="T441">
        <v>0.38826574374572276</v>
      </c>
      <c r="U441">
        <v>0</v>
      </c>
      <c r="V441">
        <v>0.19491764631255584</v>
      </c>
      <c r="W441">
        <v>0.21497920174508481</v>
      </c>
      <c r="X441">
        <v>5.2950858906951136E-2</v>
      </c>
      <c r="Y441">
        <v>9.2374893078296019E-3</v>
      </c>
    </row>
    <row r="442" spans="1:25" x14ac:dyDescent="0.25">
      <c r="A442" s="1083"/>
      <c r="B442" s="1455">
        <v>192</v>
      </c>
      <c r="C442" s="1087">
        <v>1.0075850333425316</v>
      </c>
      <c r="D442" s="1087">
        <v>0.9929054078244709</v>
      </c>
      <c r="E442" s="1087">
        <v>1.012569104593247</v>
      </c>
      <c r="F442" s="1087">
        <v>0.98006257612409231</v>
      </c>
      <c r="G442" s="1087">
        <v>0.99470533537741879</v>
      </c>
      <c r="H442" s="1087">
        <v>1.03109296818837</v>
      </c>
      <c r="I442" s="1087">
        <v>0.95808876064362314</v>
      </c>
      <c r="K442">
        <v>1.8473870032393307</v>
      </c>
      <c r="L442">
        <v>0</v>
      </c>
      <c r="M442">
        <v>3.6411571801700272E-3</v>
      </c>
      <c r="N442">
        <v>0.3592660054620902</v>
      </c>
      <c r="O442">
        <v>0.23634862534245879</v>
      </c>
      <c r="P442">
        <v>1.303604320657158E-2</v>
      </c>
      <c r="Q442">
        <v>1.5974478799966436E-3</v>
      </c>
      <c r="R442">
        <v>3.6350946450422928E-3</v>
      </c>
      <c r="S442">
        <v>0.35412187143222784</v>
      </c>
      <c r="T442">
        <v>0.39474002288164145</v>
      </c>
      <c r="U442">
        <v>0</v>
      </c>
      <c r="V442">
        <v>0.19768557404492124</v>
      </c>
      <c r="W442">
        <v>0.2270624924427446</v>
      </c>
      <c r="X442">
        <v>5.3641453766626331E-2</v>
      </c>
      <c r="Y442">
        <v>9.8935293151774326E-3</v>
      </c>
    </row>
    <row r="443" spans="1:25" x14ac:dyDescent="0.25">
      <c r="A443" s="1083"/>
      <c r="B443" s="1455">
        <v>193</v>
      </c>
      <c r="C443" s="1087">
        <v>1.0225638182876666</v>
      </c>
      <c r="D443" s="1087">
        <v>0.97628041246408903</v>
      </c>
      <c r="E443" s="1087">
        <v>0.99982733448159933</v>
      </c>
      <c r="F443" s="1087">
        <v>0.99459681682007406</v>
      </c>
      <c r="G443" s="1087">
        <v>1.0062551196595244</v>
      </c>
      <c r="H443" s="1087">
        <v>1.0037529019016922</v>
      </c>
      <c r="I443" s="1087">
        <v>0.96962333479574681</v>
      </c>
      <c r="K443">
        <v>1.8269978024093929</v>
      </c>
      <c r="L443">
        <v>0</v>
      </c>
      <c r="M443">
        <v>3.6179470357128101E-3</v>
      </c>
      <c r="N443">
        <v>0.34335351102724293</v>
      </c>
      <c r="O443">
        <v>0.23778863648080215</v>
      </c>
      <c r="P443">
        <v>1.2964183642289098E-2</v>
      </c>
      <c r="Q443">
        <v>1.5634124926759362E-3</v>
      </c>
      <c r="R443">
        <v>3.6117738528202267E-3</v>
      </c>
      <c r="S443">
        <v>0.35155551611971947</v>
      </c>
      <c r="T443">
        <v>0.4005168580826457</v>
      </c>
      <c r="U443">
        <v>0</v>
      </c>
      <c r="V443">
        <v>0.19819224299507601</v>
      </c>
      <c r="W443">
        <v>0.21873197916366066</v>
      </c>
      <c r="X443">
        <v>5.2507577781725344E-2</v>
      </c>
      <c r="Y443">
        <v>9.8300578064460624E-3</v>
      </c>
    </row>
    <row r="444" spans="1:25" x14ac:dyDescent="0.25">
      <c r="A444" s="1083"/>
      <c r="B444" s="1455">
        <v>194</v>
      </c>
      <c r="C444" s="1087">
        <v>0.99604740944172088</v>
      </c>
      <c r="D444" s="1087">
        <v>0.99315894407490513</v>
      </c>
      <c r="E444" s="1087">
        <v>0.98495844458113702</v>
      </c>
      <c r="F444" s="1087">
        <v>1.0089103232087122</v>
      </c>
      <c r="G444" s="1087">
        <v>0.99562030137053559</v>
      </c>
      <c r="H444" s="1087">
        <v>0.99191073173530953</v>
      </c>
      <c r="I444" s="1087">
        <v>1.0386857505597222</v>
      </c>
      <c r="K444">
        <v>1.8642800043219678</v>
      </c>
      <c r="L444">
        <v>0</v>
      </c>
      <c r="M444">
        <v>3.7489555362493036E-3</v>
      </c>
      <c r="N444">
        <v>0.33998656970874092</v>
      </c>
      <c r="O444">
        <v>0.24074092047186249</v>
      </c>
      <c r="P444">
        <v>1.332901091774409E-2</v>
      </c>
      <c r="Q444">
        <v>1.5689106758415285E-3</v>
      </c>
      <c r="R444">
        <v>3.7424671747129236E-3</v>
      </c>
      <c r="S444">
        <v>0.38054545517369359</v>
      </c>
      <c r="T444">
        <v>0.40619040103775012</v>
      </c>
      <c r="U444">
        <v>0</v>
      </c>
      <c r="V444">
        <v>0.20123254288336434</v>
      </c>
      <c r="W444">
        <v>0.21862032264425216</v>
      </c>
      <c r="X444">
        <v>5.1886597224657022E-2</v>
      </c>
      <c r="Y444">
        <v>1.0185761945595999E-2</v>
      </c>
    </row>
    <row r="445" spans="1:25" x14ac:dyDescent="0.25">
      <c r="A445" s="1083"/>
      <c r="B445" s="1455">
        <v>195</v>
      </c>
      <c r="C445" s="1087">
        <v>0.99756455089144769</v>
      </c>
      <c r="D445" s="1087">
        <v>1.0176915585439437</v>
      </c>
      <c r="E445" s="1087">
        <v>0.97823318082409205</v>
      </c>
      <c r="F445" s="1087">
        <v>1.004466667838273</v>
      </c>
      <c r="G445" s="1087">
        <v>0.95812977493066398</v>
      </c>
      <c r="H445" s="1087">
        <v>1.0079458097523109</v>
      </c>
      <c r="I445" s="1087">
        <v>0.9958010952879488</v>
      </c>
      <c r="K445">
        <v>1.8353075480791849</v>
      </c>
      <c r="L445">
        <v>0</v>
      </c>
      <c r="M445">
        <v>3.8056336678903811E-3</v>
      </c>
      <c r="N445">
        <v>0.33811361320038086</v>
      </c>
      <c r="O445">
        <v>0.23749997747226045</v>
      </c>
      <c r="P445">
        <v>1.2964869407633722E-2</v>
      </c>
      <c r="Q445">
        <v>1.5401256422547891E-3</v>
      </c>
      <c r="R445">
        <v>3.7991294940339024E-3</v>
      </c>
      <c r="S445">
        <v>0.36218426034631257</v>
      </c>
      <c r="T445">
        <v>0.4043609817904964</v>
      </c>
      <c r="U445">
        <v>0</v>
      </c>
      <c r="V445">
        <v>0.1993451687895266</v>
      </c>
      <c r="W445">
        <v>0.21834430615298883</v>
      </c>
      <c r="X445">
        <v>5.0620771351126373E-2</v>
      </c>
      <c r="Y445">
        <v>1.0339978100059162E-2</v>
      </c>
    </row>
    <row r="446" spans="1:25" x14ac:dyDescent="0.25">
      <c r="A446" s="1083"/>
      <c r="B446" s="1455">
        <v>196</v>
      </c>
      <c r="C446" s="1087">
        <v>1.0407789447485019</v>
      </c>
      <c r="D446" s="1087">
        <v>0.9586170095109956</v>
      </c>
      <c r="E446" s="1087">
        <v>0.9632647130855112</v>
      </c>
      <c r="F446" s="1087">
        <v>1.0096684461015784</v>
      </c>
      <c r="G446" s="1087">
        <v>1.021145500175503</v>
      </c>
      <c r="H446" s="1087">
        <v>0.99641200574735755</v>
      </c>
      <c r="I446" s="1087">
        <v>0.97741670974373296</v>
      </c>
      <c r="K446">
        <v>1.805767388847477</v>
      </c>
      <c r="L446">
        <v>0</v>
      </c>
      <c r="M446">
        <v>3.8395446919803236E-3</v>
      </c>
      <c r="N446">
        <v>0.32586103947849326</v>
      </c>
      <c r="O446">
        <v>0.23872369711122457</v>
      </c>
      <c r="P446">
        <v>1.2669902493004537E-2</v>
      </c>
      <c r="Q446">
        <v>1.4876271001916038E-3</v>
      </c>
      <c r="R446">
        <v>3.8329620768914503E-3</v>
      </c>
      <c r="S446">
        <v>0.3500526200624221</v>
      </c>
      <c r="T446">
        <v>0.40636538993531635</v>
      </c>
      <c r="U446">
        <v>0</v>
      </c>
      <c r="V446">
        <v>0.19837681520609288</v>
      </c>
      <c r="W446">
        <v>0.21245362982251026</v>
      </c>
      <c r="X446">
        <v>4.9351191015621014E-2</v>
      </c>
      <c r="Y446">
        <v>1.0432059237689464E-2</v>
      </c>
    </row>
    <row r="447" spans="1:25" x14ac:dyDescent="0.25">
      <c r="A447" s="1083"/>
      <c r="B447" s="1455">
        <v>197</v>
      </c>
      <c r="C447" s="1087">
        <v>1.002726125023875</v>
      </c>
      <c r="D447" s="1087">
        <v>1.011363435162298</v>
      </c>
      <c r="E447" s="1087">
        <v>1.0128771668767496</v>
      </c>
      <c r="F447" s="1087">
        <v>0.98636943444047853</v>
      </c>
      <c r="G447" s="1087">
        <v>1.0165133879968409</v>
      </c>
      <c r="H447" s="1087">
        <v>1.012668189418265</v>
      </c>
      <c r="I447" s="1087">
        <v>0.97566156229874124</v>
      </c>
      <c r="K447">
        <v>1.8372437610177159</v>
      </c>
      <c r="L447">
        <v>0</v>
      </c>
      <c r="M447">
        <v>3.5557396607219806E-3</v>
      </c>
      <c r="N447">
        <v>0.35115552412903422</v>
      </c>
      <c r="O447">
        <v>0.23587932158976899</v>
      </c>
      <c r="P447">
        <v>1.3093911707057756E-2</v>
      </c>
      <c r="Q447">
        <v>1.5939252713274871E-3</v>
      </c>
      <c r="R447">
        <v>3.5496962837669823E-3</v>
      </c>
      <c r="S447">
        <v>0.35546754996552604</v>
      </c>
      <c r="T447">
        <v>0.39728209530610975</v>
      </c>
      <c r="U447">
        <v>0</v>
      </c>
      <c r="V447">
        <v>0.19778401952513094</v>
      </c>
      <c r="W447">
        <v>0.22189421530555742</v>
      </c>
      <c r="X447">
        <v>5.3438138467810238E-2</v>
      </c>
      <c r="Y447">
        <v>9.6611031273482716E-3</v>
      </c>
    </row>
    <row r="448" spans="1:25" x14ac:dyDescent="0.25">
      <c r="A448" s="1083"/>
      <c r="B448" s="1455">
        <v>198</v>
      </c>
      <c r="C448" s="1087">
        <v>1.0070445949503375</v>
      </c>
      <c r="D448" s="1087">
        <v>0.98760788703833502</v>
      </c>
      <c r="E448" s="1087">
        <v>1.0351517373448054</v>
      </c>
      <c r="F448" s="1087">
        <v>0.96311487332542411</v>
      </c>
      <c r="G448" s="1087">
        <v>0.97820209011974413</v>
      </c>
      <c r="H448" s="1087">
        <v>0.95708182565518485</v>
      </c>
      <c r="I448" s="1087">
        <v>0.98622672513513254</v>
      </c>
      <c r="K448">
        <v>1.8065636076996523</v>
      </c>
      <c r="L448">
        <v>0</v>
      </c>
      <c r="M448">
        <v>3.2373536127470494E-3</v>
      </c>
      <c r="N448">
        <v>0.34212815692413845</v>
      </c>
      <c r="O448">
        <v>0.23519717344241675</v>
      </c>
      <c r="P448">
        <v>1.3126082938063903E-2</v>
      </c>
      <c r="Q448">
        <v>1.6402576430438111E-3</v>
      </c>
      <c r="R448">
        <v>3.2315502301224382E-3</v>
      </c>
      <c r="S448">
        <v>0.35278870013137631</v>
      </c>
      <c r="T448">
        <v>0.38804797962751569</v>
      </c>
      <c r="U448">
        <v>0</v>
      </c>
      <c r="V448">
        <v>0.19666850340513897</v>
      </c>
      <c r="W448">
        <v>0.21325476298158347</v>
      </c>
      <c r="X448">
        <v>5.4922579542853997E-2</v>
      </c>
      <c r="Y448">
        <v>8.7952144461462146E-3</v>
      </c>
    </row>
    <row r="449" spans="1:25" x14ac:dyDescent="0.25">
      <c r="A449" s="1083"/>
      <c r="B449" s="1455">
        <v>199</v>
      </c>
      <c r="C449" s="1087">
        <v>0.99136061805410769</v>
      </c>
      <c r="D449" s="1087">
        <v>1.0361530739769791</v>
      </c>
      <c r="E449" s="1087">
        <v>1.0063872592009129</v>
      </c>
      <c r="F449" s="1087">
        <v>1.0018132548211576</v>
      </c>
      <c r="G449" s="1087">
        <v>0.98219296476266571</v>
      </c>
      <c r="H449" s="1087">
        <v>0.95525113477056078</v>
      </c>
      <c r="I449" s="1087">
        <v>0.96216534944605248</v>
      </c>
      <c r="K449">
        <v>1.7920703967793721</v>
      </c>
      <c r="L449">
        <v>0</v>
      </c>
      <c r="M449">
        <v>3.3932549350771017E-3</v>
      </c>
      <c r="N449">
        <v>0.32850627107676683</v>
      </c>
      <c r="O449">
        <v>0.23656073444237932</v>
      </c>
      <c r="P449">
        <v>1.291888044676342E-2</v>
      </c>
      <c r="Q449">
        <v>1.5857090054195427E-3</v>
      </c>
      <c r="R449">
        <v>3.3871201728908839E-3</v>
      </c>
      <c r="S449">
        <v>0.33986982546079969</v>
      </c>
      <c r="T449">
        <v>0.4034627723909705</v>
      </c>
      <c r="U449">
        <v>0</v>
      </c>
      <c r="V449">
        <v>0.1990062695061468</v>
      </c>
      <c r="W449">
        <v>0.2084195841324285</v>
      </c>
      <c r="X449">
        <v>5.2527860533138425E-2</v>
      </c>
      <c r="Y449">
        <v>9.2186245467440753E-3</v>
      </c>
    </row>
    <row r="450" spans="1:25" x14ac:dyDescent="0.25">
      <c r="A450" s="1083"/>
      <c r="B450" s="1455">
        <v>200</v>
      </c>
      <c r="C450" s="1087">
        <v>1.0198308350980765</v>
      </c>
      <c r="D450" s="1087">
        <v>0.97273474784574543</v>
      </c>
      <c r="E450" s="1087">
        <v>0.96524659581301553</v>
      </c>
      <c r="F450" s="1087">
        <v>1.007561690081916</v>
      </c>
      <c r="G450" s="1087">
        <v>1.0076409103662938</v>
      </c>
      <c r="H450" s="1087">
        <v>0.97882605282643831</v>
      </c>
      <c r="I450" s="1087">
        <v>0.9971303445080909</v>
      </c>
      <c r="K450">
        <v>1.8135362197343425</v>
      </c>
      <c r="L450">
        <v>0</v>
      </c>
      <c r="M450">
        <v>3.8036615887305451E-3</v>
      </c>
      <c r="N450">
        <v>0.32476794552373822</v>
      </c>
      <c r="O450">
        <v>0.239502120802949</v>
      </c>
      <c r="P450">
        <v>1.2804511796231986E-2</v>
      </c>
      <c r="Q450">
        <v>1.5125824976171918E-3</v>
      </c>
      <c r="R450">
        <v>3.7970097985197079E-3</v>
      </c>
      <c r="S450">
        <v>0.35835941778887165</v>
      </c>
      <c r="T450">
        <v>0.40552926048018439</v>
      </c>
      <c r="U450">
        <v>0</v>
      </c>
      <c r="V450">
        <v>0.19957748413219314</v>
      </c>
      <c r="W450">
        <v>0.21147174984609676</v>
      </c>
      <c r="X450">
        <v>4.9683589669044265E-2</v>
      </c>
      <c r="Y450">
        <v>1.0334208987626962E-2</v>
      </c>
    </row>
    <row r="451" spans="1:25" x14ac:dyDescent="0.25">
      <c r="A451" s="1083"/>
      <c r="B451" s="1455">
        <v>201</v>
      </c>
      <c r="C451" s="1087">
        <v>1.0310938129582774</v>
      </c>
      <c r="D451" s="1087">
        <v>1.0327892213205359</v>
      </c>
      <c r="E451" s="1087">
        <v>1.0041901843754932</v>
      </c>
      <c r="F451" s="1087">
        <v>1.0186981516959528</v>
      </c>
      <c r="G451" s="1087">
        <v>0.9656068369123888</v>
      </c>
      <c r="H451" s="1087">
        <v>1.0007767149127631</v>
      </c>
      <c r="I451" s="1087">
        <v>0.99898579248042063</v>
      </c>
      <c r="K451">
        <v>1.8046312995228668</v>
      </c>
      <c r="L451">
        <v>0</v>
      </c>
      <c r="M451">
        <v>3.4371694565992999E-3</v>
      </c>
      <c r="N451">
        <v>0.33056206775527808</v>
      </c>
      <c r="O451">
        <v>0.23394954901457024</v>
      </c>
      <c r="P451">
        <v>1.3060493128710807E-2</v>
      </c>
      <c r="Q451">
        <v>1.5230280038522519E-3</v>
      </c>
      <c r="R451">
        <v>3.4312367958056096E-3</v>
      </c>
      <c r="S451">
        <v>0.34761370072454406</v>
      </c>
      <c r="T451">
        <v>0.41024925717661592</v>
      </c>
      <c r="U451">
        <v>0</v>
      </c>
      <c r="V451">
        <v>0.19636013604507435</v>
      </c>
      <c r="W451">
        <v>0.2100108356550246</v>
      </c>
      <c r="X451">
        <v>5.1969469228711887E-2</v>
      </c>
      <c r="Y451">
        <v>9.3386954512771226E-3</v>
      </c>
    </row>
    <row r="452" spans="1:25" x14ac:dyDescent="0.25">
      <c r="A452" s="1083"/>
      <c r="B452" s="1455">
        <v>202</v>
      </c>
      <c r="C452" s="1087">
        <v>1.0132959007041331</v>
      </c>
      <c r="D452" s="1087">
        <v>1.0078642786911165</v>
      </c>
      <c r="E452" s="1087">
        <v>0.98884264319631365</v>
      </c>
      <c r="F452" s="1087">
        <v>1.011379916248085</v>
      </c>
      <c r="G452" s="1087">
        <v>0.99053646636570525</v>
      </c>
      <c r="H452" s="1087">
        <v>1.0112770028633289</v>
      </c>
      <c r="I452" s="1087">
        <v>0.98415782577843758</v>
      </c>
      <c r="K452">
        <v>1.8316119361092766</v>
      </c>
      <c r="L452">
        <v>0</v>
      </c>
      <c r="M452">
        <v>3.6974034926466615E-3</v>
      </c>
      <c r="N452">
        <v>0.33932346279335962</v>
      </c>
      <c r="O452">
        <v>0.23751908107698602</v>
      </c>
      <c r="P452">
        <v>1.3003380472275165E-2</v>
      </c>
      <c r="Q452">
        <v>1.5395661920416495E-3</v>
      </c>
      <c r="R452">
        <v>3.6911130384948564E-3</v>
      </c>
      <c r="S452">
        <v>0.35497125853411082</v>
      </c>
      <c r="T452">
        <v>0.40720824618409884</v>
      </c>
      <c r="U452">
        <v>0</v>
      </c>
      <c r="V452">
        <v>0.19883584755985445</v>
      </c>
      <c r="W452">
        <v>0.21765978782376261</v>
      </c>
      <c r="X452">
        <v>5.1511603011242066E-2</v>
      </c>
      <c r="Y452">
        <v>1.0045992915696873E-2</v>
      </c>
    </row>
    <row r="453" spans="1:25" x14ac:dyDescent="0.25">
      <c r="A453" s="1083"/>
      <c r="B453" s="1455">
        <v>203</v>
      </c>
      <c r="C453" s="1087">
        <v>0.97896269272518788</v>
      </c>
      <c r="D453" s="1087">
        <v>1.0209395041106832</v>
      </c>
      <c r="E453" s="1087">
        <v>0.98717948331883787</v>
      </c>
      <c r="F453" s="1087">
        <v>0.9705123418836642</v>
      </c>
      <c r="G453" s="1087">
        <v>0.97817007669162881</v>
      </c>
      <c r="H453" s="1087">
        <v>1.0270976426042904</v>
      </c>
      <c r="I453" s="1087">
        <v>1.0333175672244774</v>
      </c>
      <c r="K453">
        <v>1.8680691223790389</v>
      </c>
      <c r="L453">
        <v>0</v>
      </c>
      <c r="M453">
        <v>3.8734552292780367E-3</v>
      </c>
      <c r="N453">
        <v>0.35368737751300944</v>
      </c>
      <c r="O453">
        <v>0.23555695381197425</v>
      </c>
      <c r="P453">
        <v>1.3177406063281365E-2</v>
      </c>
      <c r="Q453">
        <v>1.5825406268767787E-3</v>
      </c>
      <c r="R453">
        <v>3.8669556138598584E-3</v>
      </c>
      <c r="S453">
        <v>0.38602717470497055</v>
      </c>
      <c r="T453">
        <v>0.39074418594707183</v>
      </c>
      <c r="U453">
        <v>0</v>
      </c>
      <c r="V453">
        <v>0.19832111403242969</v>
      </c>
      <c r="W453">
        <v>0.22711157877017671</v>
      </c>
      <c r="X453">
        <v>5.1342712085313054E-2</v>
      </c>
      <c r="Y453">
        <v>1.0524578439351019E-2</v>
      </c>
    </row>
    <row r="454" spans="1:25" x14ac:dyDescent="0.25">
      <c r="A454" s="1083"/>
      <c r="B454" s="1455">
        <v>204</v>
      </c>
      <c r="C454" s="1087">
        <v>1.0152923227046686</v>
      </c>
      <c r="D454" s="1087">
        <v>1.017725405838757</v>
      </c>
      <c r="E454" s="1087">
        <v>1.0170071871849944</v>
      </c>
      <c r="F454" s="1087">
        <v>0.9541581120205197</v>
      </c>
      <c r="G454" s="1087">
        <v>0.99249372364915922</v>
      </c>
      <c r="H454" s="1087">
        <v>0.96286961067895382</v>
      </c>
      <c r="I454" s="1087">
        <v>0.97600885859295272</v>
      </c>
      <c r="K454">
        <v>1.7624738640578621</v>
      </c>
      <c r="L454">
        <v>0</v>
      </c>
      <c r="M454">
        <v>3.2995035848440869E-3</v>
      </c>
      <c r="N454">
        <v>0.32994904525576318</v>
      </c>
      <c r="O454">
        <v>0.23003729031382786</v>
      </c>
      <c r="P454">
        <v>1.2699829652159048E-2</v>
      </c>
      <c r="Q454">
        <v>1.5771261248067789E-3</v>
      </c>
      <c r="R454">
        <v>3.2936001592456556E-3</v>
      </c>
      <c r="S454">
        <v>0.34140811763498352</v>
      </c>
      <c r="T454">
        <v>0.38433240186603462</v>
      </c>
      <c r="U454">
        <v>0</v>
      </c>
      <c r="V454">
        <v>0.19338883480986799</v>
      </c>
      <c r="W454">
        <v>0.20796255524529869</v>
      </c>
      <c r="X454">
        <v>5.2160472682253607E-2</v>
      </c>
      <c r="Y454">
        <v>8.9640938984659763E-3</v>
      </c>
    </row>
    <row r="455" spans="1:25" x14ac:dyDescent="0.25">
      <c r="A455" s="1083"/>
      <c r="B455" s="1455">
        <v>205</v>
      </c>
      <c r="C455" s="1087">
        <v>0.98843556867017845</v>
      </c>
      <c r="D455" s="1087">
        <v>1.0202839600781615</v>
      </c>
      <c r="E455" s="1087">
        <v>1.0227476827851929</v>
      </c>
      <c r="F455" s="1087">
        <v>1.0155617602010047</v>
      </c>
      <c r="G455" s="1087">
        <v>0.97351562116508017</v>
      </c>
      <c r="H455" s="1087">
        <v>1.0157617583130951</v>
      </c>
      <c r="I455" s="1087">
        <v>0.98181430692186455</v>
      </c>
      <c r="K455">
        <v>1.8773471594651794</v>
      </c>
      <c r="L455">
        <v>0</v>
      </c>
      <c r="M455">
        <v>3.5288639397735061E-3</v>
      </c>
      <c r="N455">
        <v>0.35914559892656267</v>
      </c>
      <c r="O455">
        <v>0.24029242080801133</v>
      </c>
      <c r="P455">
        <v>1.349113815616442E-2</v>
      </c>
      <c r="Q455">
        <v>1.6281801383539916E-3</v>
      </c>
      <c r="R455">
        <v>3.5228771319111853E-3</v>
      </c>
      <c r="S455">
        <v>0.36178826651045315</v>
      </c>
      <c r="T455">
        <v>0.40910144864972942</v>
      </c>
      <c r="U455">
        <v>0</v>
      </c>
      <c r="V455">
        <v>0.20141352686692943</v>
      </c>
      <c r="W455">
        <v>0.22556626902744845</v>
      </c>
      <c r="X455">
        <v>5.5338186952461225E-2</v>
      </c>
      <c r="Y455">
        <v>9.5881102369278215E-3</v>
      </c>
    </row>
    <row r="456" spans="1:25" x14ac:dyDescent="0.25">
      <c r="A456" s="1083"/>
      <c r="B456" s="1455">
        <v>206</v>
      </c>
      <c r="C456" s="1087">
        <v>0.99204254156424032</v>
      </c>
      <c r="D456" s="1087">
        <v>1.0231294967777718</v>
      </c>
      <c r="E456" s="1087">
        <v>0.97402746534718299</v>
      </c>
      <c r="F456" s="1087">
        <v>1.0018027104584473</v>
      </c>
      <c r="G456" s="1087">
        <v>0.98022966923964794</v>
      </c>
      <c r="H456" s="1087">
        <v>1.0097236030111667</v>
      </c>
      <c r="I456" s="1087">
        <v>0.99678374166387484</v>
      </c>
      <c r="K456">
        <v>1.8360217300104318</v>
      </c>
      <c r="L456">
        <v>0</v>
      </c>
      <c r="M456">
        <v>3.8555485434887998E-3</v>
      </c>
      <c r="N456">
        <v>0.33817299629752134</v>
      </c>
      <c r="O456">
        <v>0.23727516092552145</v>
      </c>
      <c r="P456">
        <v>1.2930725147055967E-2</v>
      </c>
      <c r="Q456">
        <v>1.5384045367907954E-3</v>
      </c>
      <c r="R456">
        <v>3.8489659185536882E-3</v>
      </c>
      <c r="S456">
        <v>0.36376527335741243</v>
      </c>
      <c r="T456">
        <v>0.40326348189238498</v>
      </c>
      <c r="U456">
        <v>0</v>
      </c>
      <c r="V456">
        <v>0.19940869495503716</v>
      </c>
      <c r="W456">
        <v>0.21896773468413863</v>
      </c>
      <c r="X456">
        <v>5.0230224420474048E-2</v>
      </c>
      <c r="Y456">
        <v>1.0475616419029086E-2</v>
      </c>
    </row>
    <row r="457" spans="1:25" x14ac:dyDescent="0.25">
      <c r="A457" s="1083"/>
      <c r="B457" s="1455">
        <v>207</v>
      </c>
      <c r="C457" s="1087">
        <v>0.99092131609621381</v>
      </c>
      <c r="D457" s="1087">
        <v>0.98219383591047105</v>
      </c>
      <c r="E457" s="1087">
        <v>1.0035095396802707</v>
      </c>
      <c r="F457" s="1087">
        <v>1.006551354992548</v>
      </c>
      <c r="G457" s="1087">
        <v>0.99888690768580457</v>
      </c>
      <c r="H457" s="1087">
        <v>0.99574210586225098</v>
      </c>
      <c r="I457" s="1087">
        <v>1.0065216362601797</v>
      </c>
      <c r="K457">
        <v>1.878099961541696</v>
      </c>
      <c r="L457">
        <v>0</v>
      </c>
      <c r="M457">
        <v>3.6640421171274377E-3</v>
      </c>
      <c r="N457">
        <v>0.35165170027840742</v>
      </c>
      <c r="O457">
        <v>0.24246827340356644</v>
      </c>
      <c r="P457">
        <v>1.342752826524397E-2</v>
      </c>
      <c r="Q457">
        <v>1.6157655242328393E-3</v>
      </c>
      <c r="R457">
        <v>3.6577348772370301E-3</v>
      </c>
      <c r="S457">
        <v>0.37388622143500017</v>
      </c>
      <c r="T457">
        <v>0.40535334699211062</v>
      </c>
      <c r="U457">
        <v>0</v>
      </c>
      <c r="V457">
        <v>0.20229196034100938</v>
      </c>
      <c r="W457">
        <v>0.22350413998777088</v>
      </c>
      <c r="X457">
        <v>5.3952183990384518E-2</v>
      </c>
      <c r="Y457">
        <v>9.9551485638609705E-3</v>
      </c>
    </row>
    <row r="458" spans="1:25" x14ac:dyDescent="0.25">
      <c r="A458" s="1083"/>
      <c r="B458" s="1455">
        <v>208</v>
      </c>
      <c r="C458" s="1087">
        <v>1.03793501735127</v>
      </c>
      <c r="D458" s="1087">
        <v>0.98450290190548317</v>
      </c>
      <c r="E458" s="1087">
        <v>0.98584911849829449</v>
      </c>
      <c r="F458" s="1087">
        <v>0.998916459084497</v>
      </c>
      <c r="G458" s="1087">
        <v>0.98281314360099581</v>
      </c>
      <c r="H458" s="1087">
        <v>1.0128347058370588</v>
      </c>
      <c r="I458" s="1087">
        <v>0.98646667045731085</v>
      </c>
      <c r="K458">
        <v>1.8116759243896476</v>
      </c>
      <c r="L458">
        <v>0</v>
      </c>
      <c r="M458">
        <v>3.6837749297003951E-3</v>
      </c>
      <c r="N458">
        <v>0.33499831315525724</v>
      </c>
      <c r="O458">
        <v>0.23547703138189741</v>
      </c>
      <c r="P458">
        <v>1.2835813519183436E-2</v>
      </c>
      <c r="Q458">
        <v>1.5123213239813852E-3</v>
      </c>
      <c r="R458">
        <v>3.6775379235484944E-3</v>
      </c>
      <c r="S458">
        <v>0.35213876722464243</v>
      </c>
      <c r="T458">
        <v>0.40217217504345315</v>
      </c>
      <c r="U458">
        <v>0</v>
      </c>
      <c r="V458">
        <v>0.19646379519877968</v>
      </c>
      <c r="W458">
        <v>0.21529157056689327</v>
      </c>
      <c r="X458">
        <v>5.0783328053863729E-2</v>
      </c>
      <c r="Y458">
        <v>1.0009045927848317E-2</v>
      </c>
    </row>
    <row r="459" spans="1:25" x14ac:dyDescent="0.25">
      <c r="A459" s="1083"/>
      <c r="B459" s="1455">
        <v>209</v>
      </c>
      <c r="C459" s="1087">
        <v>1.036201272708589</v>
      </c>
      <c r="D459" s="1087">
        <v>1.0294034198611213</v>
      </c>
      <c r="E459" s="1087">
        <v>1.0241046502726165</v>
      </c>
      <c r="F459" s="1087">
        <v>1.0082125691125554</v>
      </c>
      <c r="G459" s="1087">
        <v>1.0014412190427313</v>
      </c>
      <c r="H459" s="1087">
        <v>1.0187064707888951</v>
      </c>
      <c r="I459" s="1087">
        <v>1.0050188693706008</v>
      </c>
      <c r="K459">
        <v>1.8206715007980976</v>
      </c>
      <c r="L459">
        <v>0</v>
      </c>
      <c r="M459">
        <v>3.3485386049655732E-3</v>
      </c>
      <c r="N459">
        <v>0.34220559972331882</v>
      </c>
      <c r="O459">
        <v>0.23280830242006395</v>
      </c>
      <c r="P459">
        <v>1.3241692632321793E-2</v>
      </c>
      <c r="Q459">
        <v>1.5498201786198211E-3</v>
      </c>
      <c r="R459">
        <v>3.3428638919381372E-3</v>
      </c>
      <c r="S459">
        <v>0.3519635086560346</v>
      </c>
      <c r="T459">
        <v>0.40614938021367791</v>
      </c>
      <c r="U459">
        <v>0</v>
      </c>
      <c r="V459">
        <v>0.19526904776032544</v>
      </c>
      <c r="W459">
        <v>0.21474789256407847</v>
      </c>
      <c r="X459">
        <v>5.3643757823610735E-2</v>
      </c>
      <c r="Y459">
        <v>9.0981735390697951E-3</v>
      </c>
    </row>
    <row r="460" spans="1:25" x14ac:dyDescent="0.25">
      <c r="A460" s="1083"/>
      <c r="B460" s="1455">
        <v>210</v>
      </c>
      <c r="C460" s="1087">
        <v>1.0326248463915846</v>
      </c>
      <c r="D460" s="1087">
        <v>1.0145871274971052</v>
      </c>
      <c r="E460" s="1087">
        <v>1.0139995255619922</v>
      </c>
      <c r="F460" s="1087">
        <v>1.031836799254304</v>
      </c>
      <c r="G460" s="1087">
        <v>0.96144149063988704</v>
      </c>
      <c r="H460" s="1087">
        <v>1.0209572101947342</v>
      </c>
      <c r="I460" s="1087">
        <v>0.9921490543147109</v>
      </c>
      <c r="K460">
        <v>1.8408936416478898</v>
      </c>
      <c r="L460">
        <v>0</v>
      </c>
      <c r="M460">
        <v>3.4648664813020829E-3</v>
      </c>
      <c r="N460">
        <v>0.3433581030914501</v>
      </c>
      <c r="O460">
        <v>0.23716812831106518</v>
      </c>
      <c r="P460">
        <v>1.3312812389714367E-2</v>
      </c>
      <c r="Q460">
        <v>1.5476426336951952E-3</v>
      </c>
      <c r="R460">
        <v>3.4590190186193667E-3</v>
      </c>
      <c r="S460">
        <v>0.35172498759801485</v>
      </c>
      <c r="T460">
        <v>0.41560216521643834</v>
      </c>
      <c r="U460">
        <v>0</v>
      </c>
      <c r="V460">
        <v>0.19830151943915669</v>
      </c>
      <c r="W460">
        <v>0.21681647283497035</v>
      </c>
      <c r="X460">
        <v>5.3653348092699109E-2</v>
      </c>
      <c r="Y460">
        <v>9.4143095033688805E-3</v>
      </c>
    </row>
    <row r="461" spans="1:25" x14ac:dyDescent="0.25">
      <c r="A461" s="1083"/>
      <c r="B461" s="1455">
        <v>211</v>
      </c>
      <c r="C461" s="1087">
        <v>0.98473274526243837</v>
      </c>
      <c r="D461" s="1087">
        <v>0.99924304892567306</v>
      </c>
      <c r="E461" s="1087">
        <v>0.98859519751129421</v>
      </c>
      <c r="F461" s="1087">
        <v>0.97512220558518592</v>
      </c>
      <c r="G461" s="1087">
        <v>0.98639571188484609</v>
      </c>
      <c r="H461" s="1087">
        <v>0.98460624346251235</v>
      </c>
      <c r="I461" s="1087">
        <v>1.0169660693283009</v>
      </c>
      <c r="K461">
        <v>1.8404167764577692</v>
      </c>
      <c r="L461">
        <v>0</v>
      </c>
      <c r="M461">
        <v>3.7234563766751854E-3</v>
      </c>
      <c r="N461">
        <v>0.34144123496155515</v>
      </c>
      <c r="O461">
        <v>0.23751646276234825</v>
      </c>
      <c r="P461">
        <v>1.3069430421677557E-2</v>
      </c>
      <c r="Q461">
        <v>1.5892545239634976E-3</v>
      </c>
      <c r="R461">
        <v>3.7169578978973822E-3</v>
      </c>
      <c r="S461">
        <v>0.37424550033122012</v>
      </c>
      <c r="T461">
        <v>0.3926084847639883</v>
      </c>
      <c r="U461">
        <v>0</v>
      </c>
      <c r="V461">
        <v>0.19921866812859471</v>
      </c>
      <c r="W461">
        <v>0.2190523914251761</v>
      </c>
      <c r="X461">
        <v>5.1565513514788622E-2</v>
      </c>
      <c r="Y461">
        <v>1.0116334103234939E-2</v>
      </c>
    </row>
    <row r="462" spans="1:25" x14ac:dyDescent="0.25">
      <c r="A462" s="1083"/>
      <c r="B462" s="1455">
        <v>212</v>
      </c>
      <c r="C462" s="1087">
        <v>1.0150063037457118</v>
      </c>
      <c r="D462" s="1087">
        <v>1.0038498492256345</v>
      </c>
      <c r="E462" s="1087">
        <v>0.98872611293492652</v>
      </c>
      <c r="F462" s="1087">
        <v>1.0131889987776617</v>
      </c>
      <c r="G462" s="1087">
        <v>0.97203256509017044</v>
      </c>
      <c r="H462" s="1087">
        <v>0.97057871456350497</v>
      </c>
      <c r="I462" s="1087">
        <v>1.0064690827238156</v>
      </c>
      <c r="K462">
        <v>1.8110830195828436</v>
      </c>
      <c r="L462">
        <v>0</v>
      </c>
      <c r="M462">
        <v>3.5511147607239744E-3</v>
      </c>
      <c r="N462">
        <v>0.32575911612470126</v>
      </c>
      <c r="O462">
        <v>0.2379198458437306</v>
      </c>
      <c r="P462">
        <v>1.3027217173891955E-2</v>
      </c>
      <c r="Q462">
        <v>1.5392352078163109E-3</v>
      </c>
      <c r="R462">
        <v>3.5448233765759079E-3</v>
      </c>
      <c r="S462">
        <v>0.35590474652773507</v>
      </c>
      <c r="T462">
        <v>0.40793592090927205</v>
      </c>
      <c r="U462">
        <v>0</v>
      </c>
      <c r="V462">
        <v>0.19902081100996208</v>
      </c>
      <c r="W462">
        <v>0.20897425165234867</v>
      </c>
      <c r="X462">
        <v>5.1360325837202445E-2</v>
      </c>
      <c r="Y462">
        <v>9.6478406803275855E-3</v>
      </c>
    </row>
    <row r="463" spans="1:25" x14ac:dyDescent="0.25">
      <c r="A463" s="1083"/>
      <c r="B463" s="1455">
        <v>213</v>
      </c>
      <c r="C463" s="1087">
        <v>1.0015192462349634</v>
      </c>
      <c r="D463" s="1087">
        <v>0.98532152955826768</v>
      </c>
      <c r="E463" s="1087">
        <v>1.0018504708078237</v>
      </c>
      <c r="F463" s="1087">
        <v>0.99623087003764466</v>
      </c>
      <c r="G463" s="1087">
        <v>0.97614468766939544</v>
      </c>
      <c r="H463" s="1087">
        <v>0.95367823498968374</v>
      </c>
      <c r="I463" s="1087">
        <v>0.96846366824864416</v>
      </c>
      <c r="K463">
        <v>1.8088623686804064</v>
      </c>
      <c r="L463">
        <v>0</v>
      </c>
      <c r="M463">
        <v>3.4778749909584183E-3</v>
      </c>
      <c r="N463">
        <v>0.3320736717780452</v>
      </c>
      <c r="O463">
        <v>0.23960358518143454</v>
      </c>
      <c r="P463">
        <v>1.2967991922228186E-2</v>
      </c>
      <c r="Q463">
        <v>1.5938196991563021E-3</v>
      </c>
      <c r="R463">
        <v>3.4716212283855013E-3</v>
      </c>
      <c r="S463">
        <v>0.3478545108302955</v>
      </c>
      <c r="T463">
        <v>0.40118709896002747</v>
      </c>
      <c r="U463">
        <v>0</v>
      </c>
      <c r="V463">
        <v>0.2000710209151268</v>
      </c>
      <c r="W463">
        <v>0.21127912432746654</v>
      </c>
      <c r="X463">
        <v>5.2789190265164161E-2</v>
      </c>
      <c r="Y463">
        <v>9.448608564034967E-3</v>
      </c>
    </row>
    <row r="464" spans="1:25" x14ac:dyDescent="0.25">
      <c r="A464" s="1083"/>
      <c r="B464" s="1455">
        <v>214</v>
      </c>
      <c r="C464" s="1087">
        <v>1.0006078011689383</v>
      </c>
      <c r="D464" s="1087">
        <v>1.0300303039435419</v>
      </c>
      <c r="E464" s="1087">
        <v>1.0055646901192459</v>
      </c>
      <c r="F464" s="1087">
        <v>0.98609401001341257</v>
      </c>
      <c r="G464" s="1087">
        <v>1.0108917157964741</v>
      </c>
      <c r="H464" s="1087">
        <v>0.98403202105109633</v>
      </c>
      <c r="I464" s="1087">
        <v>1.0296280513271694</v>
      </c>
      <c r="K464">
        <v>1.8210211252899569</v>
      </c>
      <c r="L464">
        <v>0</v>
      </c>
      <c r="M464">
        <v>3.480193084085099E-3</v>
      </c>
      <c r="N464">
        <v>0.33609686485179019</v>
      </c>
      <c r="O464">
        <v>0.23420019098001507</v>
      </c>
      <c r="P464">
        <v>1.3165513618356774E-2</v>
      </c>
      <c r="Q464">
        <v>1.5734079764811596E-3</v>
      </c>
      <c r="R464">
        <v>3.4740903211513846E-3</v>
      </c>
      <c r="S464">
        <v>0.36679937504863552</v>
      </c>
      <c r="T464">
        <v>0.39712718579501666</v>
      </c>
      <c r="U464">
        <v>0</v>
      </c>
      <c r="V464">
        <v>0.19698489521062498</v>
      </c>
      <c r="W464">
        <v>0.21334453930342218</v>
      </c>
      <c r="X464">
        <v>5.2279926647938048E-2</v>
      </c>
      <c r="Y464">
        <v>9.4553286206074897E-3</v>
      </c>
    </row>
    <row r="465" spans="1:25" x14ac:dyDescent="0.25">
      <c r="A465" s="1083"/>
      <c r="B465" s="1455">
        <v>215</v>
      </c>
      <c r="C465" s="1087">
        <v>1.0025004457399438</v>
      </c>
      <c r="D465" s="1087">
        <v>1.014949151343977</v>
      </c>
      <c r="E465" s="1087">
        <v>0.9651768892606829</v>
      </c>
      <c r="F465" s="1087">
        <v>1.0089039648184956</v>
      </c>
      <c r="G465" s="1087">
        <v>0.98014189707873345</v>
      </c>
      <c r="H465" s="1087">
        <v>0.97490542795910551</v>
      </c>
      <c r="I465" s="1087">
        <v>0.96173947208457367</v>
      </c>
      <c r="K465">
        <v>1.7900599102721937</v>
      </c>
      <c r="L465">
        <v>0</v>
      </c>
      <c r="M465">
        <v>3.7667854288473018E-3</v>
      </c>
      <c r="N465">
        <v>0.32154508793168135</v>
      </c>
      <c r="O465">
        <v>0.23749476261396332</v>
      </c>
      <c r="P465">
        <v>1.2599225733051103E-2</v>
      </c>
      <c r="Q465">
        <v>1.5126896901165086E-3</v>
      </c>
      <c r="R465">
        <v>3.7601317207166737E-3</v>
      </c>
      <c r="S465">
        <v>0.34274625371949086</v>
      </c>
      <c r="T465">
        <v>0.40606909162084498</v>
      </c>
      <c r="U465">
        <v>0</v>
      </c>
      <c r="V465">
        <v>0.1992568662341789</v>
      </c>
      <c r="W465">
        <v>0.20938255710874887</v>
      </c>
      <c r="X465">
        <v>4.9226190311545827E-2</v>
      </c>
      <c r="Y465">
        <v>1.0233839016702181E-2</v>
      </c>
    </row>
    <row r="466" spans="1:25" x14ac:dyDescent="0.25">
      <c r="A466" s="1083"/>
      <c r="B466" s="1455">
        <v>216</v>
      </c>
      <c r="C466" s="1087">
        <v>0.97670142616479771</v>
      </c>
      <c r="D466" s="1087">
        <v>0.99869779592046515</v>
      </c>
      <c r="E466" s="1087">
        <v>0.98560129888277948</v>
      </c>
      <c r="F466" s="1087">
        <v>0.99555815148557436</v>
      </c>
      <c r="G466" s="1087">
        <v>0.95783452318884654</v>
      </c>
      <c r="H466" s="1087">
        <v>0.97571209160015748</v>
      </c>
      <c r="I466" s="1087">
        <v>1.0190942269341361</v>
      </c>
      <c r="K466">
        <v>1.8561025131235096</v>
      </c>
      <c r="L466">
        <v>0</v>
      </c>
      <c r="M466">
        <v>3.7444441701480939E-3</v>
      </c>
      <c r="N466">
        <v>0.34023471121920312</v>
      </c>
      <c r="O466">
        <v>0.24098859011634133</v>
      </c>
      <c r="P466">
        <v>1.3217805726100077E-2</v>
      </c>
      <c r="Q466">
        <v>1.5975337661834515E-3</v>
      </c>
      <c r="R466">
        <v>3.7378506500247224E-3</v>
      </c>
      <c r="S466">
        <v>0.37652605198798256</v>
      </c>
      <c r="T466">
        <v>0.40081861252645451</v>
      </c>
      <c r="U466">
        <v>0</v>
      </c>
      <c r="V466">
        <v>0.20190492079902339</v>
      </c>
      <c r="W466">
        <v>0.21869104479000076</v>
      </c>
      <c r="X466">
        <v>5.1956638425108982E-2</v>
      </c>
      <c r="Y466">
        <v>1.0173197287231673E-2</v>
      </c>
    </row>
    <row r="467" spans="1:25" x14ac:dyDescent="0.25">
      <c r="A467" s="1083"/>
      <c r="B467" s="1455">
        <v>217</v>
      </c>
      <c r="C467" s="1087">
        <v>1.0423080690362925</v>
      </c>
      <c r="D467" s="1087">
        <v>1.0046426504278303</v>
      </c>
      <c r="E467" s="1087">
        <v>0.99867955507217887</v>
      </c>
      <c r="F467" s="1087">
        <v>1.0107087205349745</v>
      </c>
      <c r="G467" s="1087">
        <v>0.97563414798650228</v>
      </c>
      <c r="H467" s="1087">
        <v>0.96796746353657637</v>
      </c>
      <c r="I467" s="1087">
        <v>0.99190620352873382</v>
      </c>
      <c r="K467">
        <v>1.7763370588083582</v>
      </c>
      <c r="L467">
        <v>0</v>
      </c>
      <c r="M467">
        <v>3.3769751367944134E-3</v>
      </c>
      <c r="N467">
        <v>0.31934126897618903</v>
      </c>
      <c r="O467">
        <v>0.23446913926428034</v>
      </c>
      <c r="P467">
        <v>1.2868149731203914E-2</v>
      </c>
      <c r="Q467">
        <v>1.5144736392741706E-3</v>
      </c>
      <c r="R467">
        <v>3.3709737975252557E-3</v>
      </c>
      <c r="S467">
        <v>0.34102896116595999</v>
      </c>
      <c r="T467">
        <v>0.40699797844131408</v>
      </c>
      <c r="U467">
        <v>0</v>
      </c>
      <c r="V467">
        <v>0.19600859646863886</v>
      </c>
      <c r="W467">
        <v>0.20358110605732868</v>
      </c>
      <c r="X467">
        <v>5.1358706967787063E-2</v>
      </c>
      <c r="Y467">
        <v>9.1746794356500454E-3</v>
      </c>
    </row>
    <row r="468" spans="1:25" x14ac:dyDescent="0.25">
      <c r="A468" s="1083"/>
      <c r="B468" s="1455">
        <v>218</v>
      </c>
      <c r="C468" s="1087">
        <v>0.9957164731742012</v>
      </c>
      <c r="D468" s="1087">
        <v>1.0080082899893428</v>
      </c>
      <c r="E468" s="1087">
        <v>1.0462578878561584</v>
      </c>
      <c r="F468" s="1087">
        <v>1.0129743629261752</v>
      </c>
      <c r="G468" s="1087">
        <v>1.0233664203406818</v>
      </c>
      <c r="H468" s="1087">
        <v>0.99845443708053261</v>
      </c>
      <c r="I468" s="1087">
        <v>1.0036844986700322</v>
      </c>
      <c r="K468">
        <v>1.8832257054792629</v>
      </c>
      <c r="L468">
        <v>0</v>
      </c>
      <c r="M468">
        <v>3.3023959035779465E-3</v>
      </c>
      <c r="N468">
        <v>0.36102216986494762</v>
      </c>
      <c r="O468">
        <v>0.2406589266738976</v>
      </c>
      <c r="P468">
        <v>1.3776386191038822E-2</v>
      </c>
      <c r="Q468">
        <v>1.664586897976914E-3</v>
      </c>
      <c r="R468">
        <v>3.2967058707852222E-3</v>
      </c>
      <c r="S468">
        <v>0.36672533981916589</v>
      </c>
      <c r="T468">
        <v>0.40820692591915575</v>
      </c>
      <c r="U468">
        <v>0</v>
      </c>
      <c r="V468">
        <v>0.20119335962849288</v>
      </c>
      <c r="W468">
        <v>0.22352211242108369</v>
      </c>
      <c r="X468">
        <v>5.748904147481549E-2</v>
      </c>
      <c r="Y468">
        <v>8.9725466214791404E-3</v>
      </c>
    </row>
    <row r="469" spans="1:25" x14ac:dyDescent="0.25">
      <c r="A469" s="1083"/>
      <c r="B469" s="1455">
        <v>219</v>
      </c>
      <c r="C469" s="1087">
        <v>0.99579257137086052</v>
      </c>
      <c r="D469" s="1087">
        <v>1.041268562872856</v>
      </c>
      <c r="E469" s="1087">
        <v>0.99688865347453115</v>
      </c>
      <c r="F469" s="1087">
        <v>1.0067195834196834</v>
      </c>
      <c r="G469" s="1087">
        <v>1.0142014704484899</v>
      </c>
      <c r="H469" s="1087">
        <v>0.9695591800110811</v>
      </c>
      <c r="I469" s="1087">
        <v>1.0021773608542506</v>
      </c>
      <c r="K469">
        <v>1.8067829213660009</v>
      </c>
      <c r="L469">
        <v>0</v>
      </c>
      <c r="M469">
        <v>3.4864243225680483E-3</v>
      </c>
      <c r="N469">
        <v>0.32789221316521278</v>
      </c>
      <c r="O469">
        <v>0.23594786356672345</v>
      </c>
      <c r="P469">
        <v>1.3039799157577452E-2</v>
      </c>
      <c r="Q469">
        <v>1.559691644530897E-3</v>
      </c>
      <c r="R469">
        <v>3.4802092620856585E-3</v>
      </c>
      <c r="S469">
        <v>0.35390687586960135</v>
      </c>
      <c r="T469">
        <v>0.40538070279093508</v>
      </c>
      <c r="U469">
        <v>0</v>
      </c>
      <c r="V469">
        <v>0.198619224357448</v>
      </c>
      <c r="W469">
        <v>0.2092667890014997</v>
      </c>
      <c r="X469">
        <v>5.1703994512231337E-2</v>
      </c>
      <c r="Y469">
        <v>9.4719823607222458E-3</v>
      </c>
    </row>
    <row r="470" spans="1:25" x14ac:dyDescent="0.25">
      <c r="A470" s="1083"/>
      <c r="B470" s="1455">
        <v>220</v>
      </c>
      <c r="C470" s="1087">
        <v>0.97190696133457688</v>
      </c>
      <c r="D470" s="1087">
        <v>0.99561787014905356</v>
      </c>
      <c r="E470" s="1087">
        <v>1.0107135801968707</v>
      </c>
      <c r="F470" s="1087">
        <v>0.99562339764299745</v>
      </c>
      <c r="G470" s="1087">
        <v>1.0107891948726582</v>
      </c>
      <c r="H470" s="1087">
        <v>1.0194362782639053</v>
      </c>
      <c r="I470" s="1087">
        <v>1.0076954998984038</v>
      </c>
      <c r="K470">
        <v>1.9088462887973692</v>
      </c>
      <c r="L470">
        <v>0</v>
      </c>
      <c r="M470">
        <v>3.7408614389322164E-3</v>
      </c>
      <c r="N470">
        <v>0.36701402439540859</v>
      </c>
      <c r="O470">
        <v>0.24226004402941628</v>
      </c>
      <c r="P470">
        <v>1.3575728412927337E-2</v>
      </c>
      <c r="Q470">
        <v>1.6510348693931265E-3</v>
      </c>
      <c r="R470">
        <v>3.7345592890675899E-3</v>
      </c>
      <c r="S470">
        <v>0.38332690328392144</v>
      </c>
      <c r="T470">
        <v>0.40099617269129223</v>
      </c>
      <c r="U470">
        <v>0</v>
      </c>
      <c r="V470">
        <v>0.20275871852199789</v>
      </c>
      <c r="W470">
        <v>0.23222611734564794</v>
      </c>
      <c r="X470">
        <v>5.4879608109522714E-2</v>
      </c>
      <c r="Y470">
        <v>1.0164239287703204E-2</v>
      </c>
    </row>
    <row r="471" spans="1:25" x14ac:dyDescent="0.25">
      <c r="A471" s="1083"/>
      <c r="B471" s="1455">
        <v>221</v>
      </c>
      <c r="C471" s="1087">
        <v>0.99404187513722464</v>
      </c>
      <c r="D471" s="1087">
        <v>1.0164903138611974</v>
      </c>
      <c r="E471" s="1087">
        <v>0.99434990461381689</v>
      </c>
      <c r="F471" s="1087">
        <v>0.99478240127027395</v>
      </c>
      <c r="G471" s="1087">
        <v>0.96589473645732904</v>
      </c>
      <c r="H471" s="1087">
        <v>1.0312909087625113</v>
      </c>
      <c r="I471" s="1087">
        <v>0.98971279232638465</v>
      </c>
      <c r="K471">
        <v>1.8586411817046509</v>
      </c>
      <c r="L471">
        <v>0</v>
      </c>
      <c r="M471">
        <v>3.7836745998875974E-3</v>
      </c>
      <c r="N471">
        <v>0.35314076505640424</v>
      </c>
      <c r="O471">
        <v>0.23714993669810952</v>
      </c>
      <c r="P471">
        <v>1.3117784238230156E-2</v>
      </c>
      <c r="Q471">
        <v>1.5732915890448299E-3</v>
      </c>
      <c r="R471">
        <v>3.7773556174375313E-3</v>
      </c>
      <c r="S471">
        <v>0.36584887605702454</v>
      </c>
      <c r="T471">
        <v>0.40055864455938756</v>
      </c>
      <c r="U471">
        <v>0</v>
      </c>
      <c r="V471">
        <v>0.19905875938025855</v>
      </c>
      <c r="W471">
        <v>0.22573985582495773</v>
      </c>
      <c r="X471">
        <v>5.2178870497962673E-2</v>
      </c>
      <c r="Y471">
        <v>1.0280716785720326E-2</v>
      </c>
    </row>
    <row r="472" spans="1:25" x14ac:dyDescent="0.25">
      <c r="A472" s="1083"/>
      <c r="B472" s="1455">
        <v>222</v>
      </c>
      <c r="C472" s="1087">
        <v>1.0174945214077582</v>
      </c>
      <c r="D472" s="1087">
        <v>0.98510235558967985</v>
      </c>
      <c r="E472" s="1087">
        <v>0.99004881013384249</v>
      </c>
      <c r="F472" s="1087">
        <v>0.99394507426723178</v>
      </c>
      <c r="G472" s="1087">
        <v>1.0381674068637676</v>
      </c>
      <c r="H472" s="1087">
        <v>1.0128825409050322</v>
      </c>
      <c r="I472" s="1087">
        <v>0.96813637320971868</v>
      </c>
      <c r="K472">
        <v>1.827266464666079</v>
      </c>
      <c r="L472">
        <v>0</v>
      </c>
      <c r="M472">
        <v>3.7249612053758909E-3</v>
      </c>
      <c r="N472">
        <v>0.34311697961053034</v>
      </c>
      <c r="O472">
        <v>0.23728029153217584</v>
      </c>
      <c r="P472">
        <v>1.2877026008909064E-2</v>
      </c>
      <c r="Q472">
        <v>1.5492877629863292E-3</v>
      </c>
      <c r="R472">
        <v>3.7186547583395748E-3</v>
      </c>
      <c r="S472">
        <v>0.35248863935680352</v>
      </c>
      <c r="T472">
        <v>0.40019572793046138</v>
      </c>
      <c r="U472">
        <v>0</v>
      </c>
      <c r="V472">
        <v>0.19812862037534659</v>
      </c>
      <c r="W472">
        <v>0.21992601627967723</v>
      </c>
      <c r="X472">
        <v>5.1589229858234671E-2</v>
      </c>
      <c r="Y472">
        <v>1.0120952397988691E-2</v>
      </c>
    </row>
    <row r="473" spans="1:25" x14ac:dyDescent="0.25">
      <c r="A473" s="1083"/>
      <c r="B473" s="1455">
        <v>223</v>
      </c>
      <c r="C473" s="1087">
        <v>1.010170506457776</v>
      </c>
      <c r="D473" s="1087">
        <v>0.98985340836941482</v>
      </c>
      <c r="E473" s="1087">
        <v>1.0151513255613054</v>
      </c>
      <c r="F473" s="1087">
        <v>1.0155940501741461</v>
      </c>
      <c r="G473" s="1087">
        <v>1.0035641967653652</v>
      </c>
      <c r="H473" s="1087">
        <v>0.99448413049544049</v>
      </c>
      <c r="I473" s="1087">
        <v>1.0025285251186491</v>
      </c>
      <c r="K473">
        <v>1.8590065159297904</v>
      </c>
      <c r="L473">
        <v>0</v>
      </c>
      <c r="M473">
        <v>3.4902697395002972E-3</v>
      </c>
      <c r="N473">
        <v>0.34707889985523011</v>
      </c>
      <c r="O473">
        <v>0.24057946001549368</v>
      </c>
      <c r="P473">
        <v>1.3430713545209666E-2</v>
      </c>
      <c r="Q473">
        <v>1.5996868938646027E-3</v>
      </c>
      <c r="R473">
        <v>3.4842472341034512E-3</v>
      </c>
      <c r="S473">
        <v>0.36363405226679657</v>
      </c>
      <c r="T473">
        <v>0.40906708804617459</v>
      </c>
      <c r="U473">
        <v>0</v>
      </c>
      <c r="V473">
        <v>0.20065173868234076</v>
      </c>
      <c r="W473">
        <v>0.21901004750144676</v>
      </c>
      <c r="X473">
        <v>5.4477879239192492E-2</v>
      </c>
      <c r="Y473">
        <v>9.4829723894375613E-3</v>
      </c>
    </row>
    <row r="474" spans="1:25" x14ac:dyDescent="0.25">
      <c r="A474" s="1083"/>
      <c r="B474" s="1455">
        <v>224</v>
      </c>
      <c r="C474" s="1087">
        <v>0.97889084365572032</v>
      </c>
      <c r="D474" s="1087">
        <v>1.0129973707213025</v>
      </c>
      <c r="E474" s="1087">
        <v>1.0144291389836693</v>
      </c>
      <c r="F474" s="1087">
        <v>1.0119109541909368</v>
      </c>
      <c r="G474" s="1087">
        <v>0.99257684628689491</v>
      </c>
      <c r="H474" s="1087">
        <v>0.98730558745472574</v>
      </c>
      <c r="I474" s="1087">
        <v>0.97620332017917488</v>
      </c>
      <c r="K474">
        <v>1.8629930982376242</v>
      </c>
      <c r="L474">
        <v>0</v>
      </c>
      <c r="M474">
        <v>3.5369699666820465E-3</v>
      </c>
      <c r="N474">
        <v>0.35094304454391556</v>
      </c>
      <c r="O474">
        <v>0.24166604206787135</v>
      </c>
      <c r="P474">
        <v>1.337109448107518E-2</v>
      </c>
      <c r="Q474">
        <v>1.6343639047799708E-3</v>
      </c>
      <c r="R474">
        <v>3.530803084098881E-3</v>
      </c>
      <c r="S474">
        <v>0.35947175375280516</v>
      </c>
      <c r="T474">
        <v>0.40757911433246302</v>
      </c>
      <c r="U474">
        <v>0</v>
      </c>
      <c r="V474">
        <v>0.20249629749827247</v>
      </c>
      <c r="W474">
        <v>0.22154720356611654</v>
      </c>
      <c r="X474">
        <v>5.4680668906913303E-2</v>
      </c>
      <c r="Y474">
        <v>9.6096820659932938E-3</v>
      </c>
    </row>
    <row r="475" spans="1:25" x14ac:dyDescent="0.25">
      <c r="A475" s="1083"/>
      <c r="B475" s="1455">
        <v>225</v>
      </c>
      <c r="C475" s="1087">
        <v>1.0373601286795155</v>
      </c>
      <c r="D475" s="1087">
        <v>1.0239625252126219</v>
      </c>
      <c r="E475" s="1087">
        <v>1.0050088316222092</v>
      </c>
      <c r="F475" s="1087">
        <v>0.96969693676747193</v>
      </c>
      <c r="G475" s="1087">
        <v>0.97469797777737754</v>
      </c>
      <c r="H475" s="1087">
        <v>0.99554822783268693</v>
      </c>
      <c r="I475" s="1087">
        <v>1.0174062428447161</v>
      </c>
      <c r="K475">
        <v>1.7761249343084562</v>
      </c>
      <c r="L475">
        <v>0</v>
      </c>
      <c r="M475">
        <v>3.410381672162348E-3</v>
      </c>
      <c r="N475">
        <v>0.32880394900915572</v>
      </c>
      <c r="O475">
        <v>0.22859796383441652</v>
      </c>
      <c r="P475">
        <v>1.2810184383135434E-2</v>
      </c>
      <c r="Q475">
        <v>1.5203567999574135E-3</v>
      </c>
      <c r="R475">
        <v>3.4044744756184979E-3</v>
      </c>
      <c r="S475">
        <v>0.35273565870329787</v>
      </c>
      <c r="T475">
        <v>0.39052035508731986</v>
      </c>
      <c r="U475">
        <v>0</v>
      </c>
      <c r="V475">
        <v>0.19210764199842653</v>
      </c>
      <c r="W475">
        <v>0.20878742235816597</v>
      </c>
      <c r="X475">
        <v>5.0981452093201145E-2</v>
      </c>
      <c r="Y475">
        <v>9.265857237924285E-3</v>
      </c>
    </row>
    <row r="476" spans="1:25" x14ac:dyDescent="0.25">
      <c r="A476" s="1083"/>
      <c r="B476" s="1455">
        <v>226</v>
      </c>
      <c r="C476" s="1087">
        <v>1.0029185608515903</v>
      </c>
      <c r="D476" s="1087">
        <v>0.9840731334137417</v>
      </c>
      <c r="E476" s="1087">
        <v>0.98797294326978047</v>
      </c>
      <c r="F476" s="1087">
        <v>1.0303657309829271</v>
      </c>
      <c r="G476" s="1087">
        <v>1.0421526756589439</v>
      </c>
      <c r="H476" s="1087">
        <v>0.98395827751339537</v>
      </c>
      <c r="I476" s="1087">
        <v>1.0137408711931593</v>
      </c>
      <c r="K476">
        <v>1.8621949790104675</v>
      </c>
      <c r="L476">
        <v>0</v>
      </c>
      <c r="M476">
        <v>3.6889487945355633E-3</v>
      </c>
      <c r="N476">
        <v>0.33763552733106611</v>
      </c>
      <c r="O476">
        <v>0.24338169243736879</v>
      </c>
      <c r="P476">
        <v>1.334618652759406E-2</v>
      </c>
      <c r="Q476">
        <v>1.5689675322578798E-3</v>
      </c>
      <c r="R476">
        <v>3.6825208268175722E-3</v>
      </c>
      <c r="S476">
        <v>0.36930687309137389</v>
      </c>
      <c r="T476">
        <v>0.41484705164994212</v>
      </c>
      <c r="U476">
        <v>0</v>
      </c>
      <c r="V476">
        <v>0.20284208683186963</v>
      </c>
      <c r="W476">
        <v>0.21669581228039908</v>
      </c>
      <c r="X476">
        <v>5.2554601548380563E-2</v>
      </c>
      <c r="Y476">
        <v>1.0022607747933125E-2</v>
      </c>
    </row>
    <row r="477" spans="1:25" x14ac:dyDescent="0.25">
      <c r="A477" s="1083"/>
      <c r="B477" s="1455">
        <v>227</v>
      </c>
      <c r="C477" s="1087">
        <v>0.98150994549232184</v>
      </c>
      <c r="D477" s="1087">
        <v>0.9872616236893591</v>
      </c>
      <c r="E477" s="1087">
        <v>1.001660978338454</v>
      </c>
      <c r="F477" s="1087">
        <v>1.0273192179898791</v>
      </c>
      <c r="G477" s="1087">
        <v>0.96710331531123761</v>
      </c>
      <c r="H477" s="1087">
        <v>0.96240688394503349</v>
      </c>
      <c r="I477" s="1087">
        <v>0.96071360029026653</v>
      </c>
      <c r="K477">
        <v>1.8550132820033012</v>
      </c>
      <c r="L477">
        <v>0</v>
      </c>
      <c r="M477">
        <v>3.5791314075205244E-3</v>
      </c>
      <c r="N477">
        <v>0.34154973801693123</v>
      </c>
      <c r="O477">
        <v>0.24556811817612764</v>
      </c>
      <c r="P477">
        <v>1.3276644920429128E-2</v>
      </c>
      <c r="Q477">
        <v>1.6247047841449383E-3</v>
      </c>
      <c r="R477">
        <v>3.5727527004968344E-3</v>
      </c>
      <c r="S477">
        <v>0.35329390951580986</v>
      </c>
      <c r="T477">
        <v>0.41370534944515847</v>
      </c>
      <c r="U477">
        <v>0</v>
      </c>
      <c r="V477">
        <v>0.20484109046487245</v>
      </c>
      <c r="W477">
        <v>0.2173338896936472</v>
      </c>
      <c r="X477">
        <v>5.4102360600061475E-2</v>
      </c>
      <c r="Y477">
        <v>9.7238550931411927E-3</v>
      </c>
    </row>
    <row r="478" spans="1:25" x14ac:dyDescent="0.25">
      <c r="A478" s="1083"/>
      <c r="B478" s="1455">
        <v>228</v>
      </c>
      <c r="C478" s="1087">
        <v>1.0146477467524155</v>
      </c>
      <c r="D478" s="1087">
        <v>0.98334653229790259</v>
      </c>
      <c r="E478" s="1087">
        <v>1.0061101015489795</v>
      </c>
      <c r="F478" s="1087">
        <v>1.0185808651245598</v>
      </c>
      <c r="G478" s="1087">
        <v>0.97735618427910809</v>
      </c>
      <c r="H478" s="1087">
        <v>0.99849927827150764</v>
      </c>
      <c r="I478" s="1087">
        <v>1.0022416109514976</v>
      </c>
      <c r="K478">
        <v>1.8580979034972926</v>
      </c>
      <c r="L478">
        <v>0</v>
      </c>
      <c r="M478">
        <v>3.5668063756362262E-3</v>
      </c>
      <c r="N478">
        <v>0.345047681849666</v>
      </c>
      <c r="O478">
        <v>0.2409170065942946</v>
      </c>
      <c r="P478">
        <v>1.3361438333877564E-2</v>
      </c>
      <c r="Q478">
        <v>1.5816083295192725E-3</v>
      </c>
      <c r="R478">
        <v>3.560682202107058E-3</v>
      </c>
      <c r="S478">
        <v>0.36387463068215109</v>
      </c>
      <c r="T478">
        <v>0.41021391614915775</v>
      </c>
      <c r="U478">
        <v>0</v>
      </c>
      <c r="V478">
        <v>0.20073026961420024</v>
      </c>
      <c r="W478">
        <v>0.2189519567266574</v>
      </c>
      <c r="X478">
        <v>5.3734516215733413E-2</v>
      </c>
      <c r="Y478">
        <v>9.691003175562948E-3</v>
      </c>
    </row>
    <row r="479" spans="1:25" x14ac:dyDescent="0.25">
      <c r="A479" s="1083"/>
      <c r="B479" s="1455">
        <v>229</v>
      </c>
      <c r="C479" s="1087">
        <v>0.98484323259313433</v>
      </c>
      <c r="D479" s="1087">
        <v>1.0178023121123583</v>
      </c>
      <c r="E479" s="1087">
        <v>0.96684596781941368</v>
      </c>
      <c r="F479" s="1087">
        <v>1.0093163043505824</v>
      </c>
      <c r="G479" s="1087">
        <v>0.96540724605391282</v>
      </c>
      <c r="H479" s="1087">
        <v>1.0096702474242512</v>
      </c>
      <c r="I479" s="1087">
        <v>1.0043548655897194</v>
      </c>
      <c r="K479">
        <v>1.8519646125059095</v>
      </c>
      <c r="L479">
        <v>0</v>
      </c>
      <c r="M479">
        <v>3.951970279784704E-3</v>
      </c>
      <c r="N479">
        <v>0.33910054816503826</v>
      </c>
      <c r="O479">
        <v>0.23945015187679553</v>
      </c>
      <c r="P479">
        <v>1.300702650856601E-2</v>
      </c>
      <c r="Q479">
        <v>1.540869350400032E-3</v>
      </c>
      <c r="R479">
        <v>3.9452278121897746E-3</v>
      </c>
      <c r="S479">
        <v>0.37018593529003707</v>
      </c>
      <c r="T479">
        <v>0.40624500798349233</v>
      </c>
      <c r="U479">
        <v>0</v>
      </c>
      <c r="V479">
        <v>0.20106928506722968</v>
      </c>
      <c r="W479">
        <v>0.22057811418978954</v>
      </c>
      <c r="X479">
        <v>5.0056806981372631E-2</v>
      </c>
      <c r="Y479">
        <v>1.0737609560781805E-2</v>
      </c>
    </row>
    <row r="480" spans="1:25" x14ac:dyDescent="0.25">
      <c r="A480" s="1083"/>
      <c r="B480" s="1455">
        <v>230</v>
      </c>
      <c r="C480" s="1087">
        <v>1.0334386936421773</v>
      </c>
      <c r="D480" s="1087">
        <v>1.0144262724258193</v>
      </c>
      <c r="E480" s="1087">
        <v>0.97748297536970241</v>
      </c>
      <c r="F480" s="1087">
        <v>0.97765639956886763</v>
      </c>
      <c r="G480" s="1087">
        <v>0.98980754612218025</v>
      </c>
      <c r="H480" s="1087">
        <v>1.0012306981465882</v>
      </c>
      <c r="I480" s="1087">
        <v>1.0039581601612659</v>
      </c>
      <c r="K480">
        <v>1.7765945058043706</v>
      </c>
      <c r="L480">
        <v>0</v>
      </c>
      <c r="M480">
        <v>3.6605562518444317E-3</v>
      </c>
      <c r="N480">
        <v>0.32447567324983784</v>
      </c>
      <c r="O480">
        <v>0.23048228851192779</v>
      </c>
      <c r="P480">
        <v>1.2596191088885258E-2</v>
      </c>
      <c r="Q480">
        <v>1.4873717576353433E-3</v>
      </c>
      <c r="R480">
        <v>3.6542601634434089E-3</v>
      </c>
      <c r="S480">
        <v>0.35189950169543288</v>
      </c>
      <c r="T480">
        <v>0.39356379016483195</v>
      </c>
      <c r="U480">
        <v>0</v>
      </c>
      <c r="V480">
        <v>0.19349606006899972</v>
      </c>
      <c r="W480">
        <v>0.20963720365597252</v>
      </c>
      <c r="X480">
        <v>4.9017030160894329E-2</v>
      </c>
      <c r="Y480">
        <v>9.9456915383538246E-3</v>
      </c>
    </row>
    <row r="481" spans="1:25" x14ac:dyDescent="0.25">
      <c r="A481" s="1083"/>
      <c r="B481" s="1455">
        <v>231</v>
      </c>
      <c r="C481" s="1087">
        <v>0.9995365010711702</v>
      </c>
      <c r="D481" s="1087">
        <v>0.98109326831092214</v>
      </c>
      <c r="E481" s="1087">
        <v>0.981295797013504</v>
      </c>
      <c r="F481" s="1087">
        <v>0.97286150556820117</v>
      </c>
      <c r="G481" s="1087">
        <v>1.0162287322700259</v>
      </c>
      <c r="H481" s="1087">
        <v>1.0169679336204862</v>
      </c>
      <c r="I481" s="1087">
        <v>0.97114069969942818</v>
      </c>
      <c r="K481">
        <v>1.837099185521692</v>
      </c>
      <c r="L481">
        <v>0</v>
      </c>
      <c r="M481">
        <v>3.8837837284936461E-3</v>
      </c>
      <c r="N481">
        <v>0.34831001700631481</v>
      </c>
      <c r="O481">
        <v>0.23713494489881826</v>
      </c>
      <c r="P481">
        <v>1.2799363423764738E-2</v>
      </c>
      <c r="Q481">
        <v>1.5649234369062759E-3</v>
      </c>
      <c r="R481">
        <v>3.8772375950487767E-3</v>
      </c>
      <c r="S481">
        <v>0.36135204554391037</v>
      </c>
      <c r="T481">
        <v>0.39165570744117689</v>
      </c>
      <c r="U481">
        <v>0</v>
      </c>
      <c r="V481">
        <v>0.19833610201759086</v>
      </c>
      <c r="W481">
        <v>0.22449224296417769</v>
      </c>
      <c r="X481">
        <v>5.0907822319785134E-2</v>
      </c>
      <c r="Y481">
        <v>1.0552562602693065E-2</v>
      </c>
    </row>
    <row r="482" spans="1:25" x14ac:dyDescent="0.25">
      <c r="A482" s="1083"/>
      <c r="B482" s="1455">
        <v>232</v>
      </c>
      <c r="C482" s="1087">
        <v>1.0069791759612956</v>
      </c>
      <c r="D482" s="1087">
        <v>1.0077591062712676</v>
      </c>
      <c r="E482" s="1087">
        <v>0.96074984947786524</v>
      </c>
      <c r="F482" s="1087">
        <v>0.97778815996249624</v>
      </c>
      <c r="G482" s="1087">
        <v>1.0232362396457624</v>
      </c>
      <c r="H482" s="1087">
        <v>0.98898288079831342</v>
      </c>
      <c r="I482" s="1087">
        <v>0.9847792634686322</v>
      </c>
      <c r="K482">
        <v>1.7863642225320544</v>
      </c>
      <c r="L482">
        <v>0</v>
      </c>
      <c r="M482">
        <v>3.8534835227368213E-3</v>
      </c>
      <c r="N482">
        <v>0.32452863339661875</v>
      </c>
      <c r="O482">
        <v>0.23397192470362693</v>
      </c>
      <c r="P482">
        <v>1.2491894858875602E-2</v>
      </c>
      <c r="Q482">
        <v>1.5030050337534755E-3</v>
      </c>
      <c r="R482">
        <v>3.8467804746777426E-3</v>
      </c>
      <c r="S482">
        <v>0.35321376156596801</v>
      </c>
      <c r="T482">
        <v>0.39351991291298477</v>
      </c>
      <c r="U482">
        <v>0</v>
      </c>
      <c r="V482">
        <v>0.19647323291461272</v>
      </c>
      <c r="W482">
        <v>0.21192736441622148</v>
      </c>
      <c r="X482">
        <v>4.8271527416220671E-2</v>
      </c>
      <c r="Y482">
        <v>1.0469668361230141E-2</v>
      </c>
    </row>
    <row r="483" spans="1:25" x14ac:dyDescent="0.25">
      <c r="A483" s="1083"/>
      <c r="B483" s="1455">
        <v>233</v>
      </c>
      <c r="C483" s="1087">
        <v>1.0200888496416871</v>
      </c>
      <c r="D483" s="1087">
        <v>1.0193870005518018</v>
      </c>
      <c r="E483" s="1087">
        <v>0.99923047371989393</v>
      </c>
      <c r="F483" s="1087">
        <v>0.98230863744725228</v>
      </c>
      <c r="G483" s="1087">
        <v>1.0133319532674714</v>
      </c>
      <c r="H483" s="1087">
        <v>0.99731650833931074</v>
      </c>
      <c r="I483" s="1087">
        <v>1.029235363171676</v>
      </c>
      <c r="K483">
        <v>1.8092387131224692</v>
      </c>
      <c r="L483">
        <v>0</v>
      </c>
      <c r="M483">
        <v>3.5244053315944984E-3</v>
      </c>
      <c r="N483">
        <v>0.3338602325334924</v>
      </c>
      <c r="O483">
        <v>0.23238770040224807</v>
      </c>
      <c r="P483">
        <v>1.3019414010463913E-2</v>
      </c>
      <c r="Q483">
        <v>1.5393731758979812E-3</v>
      </c>
      <c r="R483">
        <v>3.5183157710849573E-3</v>
      </c>
      <c r="S483">
        <v>0.36404569522930563</v>
      </c>
      <c r="T483">
        <v>0.39556494688245186</v>
      </c>
      <c r="U483">
        <v>0</v>
      </c>
      <c r="V483">
        <v>0.19512554226849971</v>
      </c>
      <c r="W483">
        <v>0.21276368383321045</v>
      </c>
      <c r="X483">
        <v>5.1362518630995661E-2</v>
      </c>
      <c r="Y483">
        <v>9.5756957164110229E-3</v>
      </c>
    </row>
    <row r="484" spans="1:25" x14ac:dyDescent="0.25">
      <c r="A484" s="1083"/>
      <c r="B484" s="1455">
        <v>234</v>
      </c>
      <c r="C484" s="1087">
        <v>0.98908624873494</v>
      </c>
      <c r="D484" s="1087">
        <v>1.0275059246785216</v>
      </c>
      <c r="E484" s="1087">
        <v>1.013106199028466</v>
      </c>
      <c r="F484" s="1087">
        <v>1.0053390263434585</v>
      </c>
      <c r="G484" s="1087">
        <v>0.97859571240679155</v>
      </c>
      <c r="H484" s="1087">
        <v>0.98791256584445764</v>
      </c>
      <c r="I484" s="1087">
        <v>1.016245168078149</v>
      </c>
      <c r="K484">
        <v>1.8509933428461451</v>
      </c>
      <c r="L484">
        <v>0</v>
      </c>
      <c r="M484">
        <v>3.4850970139151116E-3</v>
      </c>
      <c r="N484">
        <v>0.344403433051443</v>
      </c>
      <c r="O484">
        <v>0.23818315330431028</v>
      </c>
      <c r="P484">
        <v>1.3398932728174238E-2</v>
      </c>
      <c r="Q484">
        <v>1.6060925582382422E-3</v>
      </c>
      <c r="R484">
        <v>3.4790118379528731E-3</v>
      </c>
      <c r="S484">
        <v>0.36754760485840898</v>
      </c>
      <c r="T484">
        <v>0.40492392574739694</v>
      </c>
      <c r="U484">
        <v>0</v>
      </c>
      <c r="V484">
        <v>0.20004019293442271</v>
      </c>
      <c r="W484">
        <v>0.21759674852996264</v>
      </c>
      <c r="X484">
        <v>5.3830620942788607E-2</v>
      </c>
      <c r="Y484">
        <v>9.468723366963562E-3</v>
      </c>
    </row>
    <row r="485" spans="1:25" x14ac:dyDescent="0.25">
      <c r="A485" s="1083"/>
      <c r="B485" s="1455">
        <v>235</v>
      </c>
      <c r="C485" s="1087">
        <v>0.99045416803467845</v>
      </c>
      <c r="D485" s="1087">
        <v>1.031657027934787</v>
      </c>
      <c r="E485" s="1087">
        <v>0.99365396621324831</v>
      </c>
      <c r="F485" s="1087">
        <v>0.97941745309109618</v>
      </c>
      <c r="G485" s="1087">
        <v>0.99295631298685927</v>
      </c>
      <c r="H485" s="1087">
        <v>0.97890193740562281</v>
      </c>
      <c r="I485" s="1087">
        <v>0.98779459471935793</v>
      </c>
      <c r="K485">
        <v>1.8022624403545915</v>
      </c>
      <c r="L485">
        <v>0</v>
      </c>
      <c r="M485">
        <v>3.5809132333486896E-3</v>
      </c>
      <c r="N485">
        <v>0.33347605775115491</v>
      </c>
      <c r="O485">
        <v>0.23431492118091871</v>
      </c>
      <c r="P485">
        <v>1.2844864320820775E-2</v>
      </c>
      <c r="Q485">
        <v>1.5684967215765519E-3</v>
      </c>
      <c r="R485">
        <v>3.5745998483988823E-3</v>
      </c>
      <c r="S485">
        <v>0.35415787659258768</v>
      </c>
      <c r="T485">
        <v>0.39436768893749191</v>
      </c>
      <c r="U485">
        <v>0</v>
      </c>
      <c r="V485">
        <v>0.19734756801719405</v>
      </c>
      <c r="W485">
        <v>0.21326262515928979</v>
      </c>
      <c r="X485">
        <v>5.1199772637686471E-2</v>
      </c>
      <c r="Y485">
        <v>9.7288824208184247E-3</v>
      </c>
    </row>
    <row r="486" spans="1:25" x14ac:dyDescent="0.25">
      <c r="A486" s="1083"/>
      <c r="B486" s="1455">
        <v>236</v>
      </c>
      <c r="C486" s="1087">
        <v>0.99398955425193525</v>
      </c>
      <c r="D486" s="1087">
        <v>0.99981398051431036</v>
      </c>
      <c r="E486" s="1087">
        <v>0.98880199166676475</v>
      </c>
      <c r="F486" s="1087">
        <v>0.99037396262946353</v>
      </c>
      <c r="G486" s="1087">
        <v>0.98343276495765453</v>
      </c>
      <c r="H486" s="1087">
        <v>1.0262815272116399</v>
      </c>
      <c r="I486" s="1087">
        <v>0.96196417021465774</v>
      </c>
      <c r="K486">
        <v>1.849954489877355</v>
      </c>
      <c r="L486">
        <v>0</v>
      </c>
      <c r="M486">
        <v>3.8425166974275088E-3</v>
      </c>
      <c r="N486">
        <v>0.35260674116820723</v>
      </c>
      <c r="O486">
        <v>0.23818434655498091</v>
      </c>
      <c r="P486">
        <v>1.2937896591220324E-2</v>
      </c>
      <c r="Q486">
        <v>1.5744433842793907E-3</v>
      </c>
      <c r="R486">
        <v>3.8360829255894694E-3</v>
      </c>
      <c r="S486">
        <v>0.35793202207628444</v>
      </c>
      <c r="T486">
        <v>0.39875045288545485</v>
      </c>
      <c r="U486">
        <v>0</v>
      </c>
      <c r="V486">
        <v>0.19952097575007477</v>
      </c>
      <c r="W486">
        <v>0.22618616982445064</v>
      </c>
      <c r="X486">
        <v>5.1827322255182995E-2</v>
      </c>
      <c r="Y486">
        <v>1.0440553159057975E-2</v>
      </c>
    </row>
    <row r="487" spans="1:25" x14ac:dyDescent="0.25">
      <c r="A487" s="1083"/>
      <c r="B487" s="1455">
        <v>237</v>
      </c>
      <c r="C487" s="1087">
        <v>1.0340250025998372</v>
      </c>
      <c r="D487" s="1087">
        <v>1.0194743197229281</v>
      </c>
      <c r="E487" s="1087">
        <v>1.0076020890611515</v>
      </c>
      <c r="F487" s="1087">
        <v>0.99884428499158262</v>
      </c>
      <c r="G487" s="1087">
        <v>0.97435022904633373</v>
      </c>
      <c r="H487" s="1087">
        <v>0.9988460477548573</v>
      </c>
      <c r="I487" s="1087">
        <v>0.99396053386146088</v>
      </c>
      <c r="K487">
        <v>1.7965009936504346</v>
      </c>
      <c r="L487">
        <v>0</v>
      </c>
      <c r="M487">
        <v>3.4221175259900594E-3</v>
      </c>
      <c r="N487">
        <v>0.33255780376984484</v>
      </c>
      <c r="O487">
        <v>0.23275744693422473</v>
      </c>
      <c r="P487">
        <v>1.2960657943526497E-2</v>
      </c>
      <c r="Q487">
        <v>1.5321572158915541E-3</v>
      </c>
      <c r="R487">
        <v>3.4162122932759097E-3</v>
      </c>
      <c r="S487">
        <v>0.347128605129568</v>
      </c>
      <c r="T487">
        <v>0.40227446047475823</v>
      </c>
      <c r="U487">
        <v>0</v>
      </c>
      <c r="V487">
        <v>0.1951322402165015</v>
      </c>
      <c r="W487">
        <v>0.21083081120568725</v>
      </c>
      <c r="X487">
        <v>5.2034912284927751E-2</v>
      </c>
      <c r="Y487">
        <v>9.2978037082172074E-3</v>
      </c>
    </row>
    <row r="488" spans="1:25" x14ac:dyDescent="0.25">
      <c r="A488" s="1083"/>
      <c r="B488" s="1455">
        <v>238</v>
      </c>
      <c r="C488" s="1087">
        <v>1.0378425536120996</v>
      </c>
      <c r="D488" s="1087">
        <v>0.97282498223758385</v>
      </c>
      <c r="E488" s="1087">
        <v>1.0293178580644615</v>
      </c>
      <c r="F488" s="1087">
        <v>0.98138094548366395</v>
      </c>
      <c r="G488" s="1087">
        <v>0.97276477981879728</v>
      </c>
      <c r="H488" s="1087">
        <v>0.99945864522998595</v>
      </c>
      <c r="I488" s="1087">
        <v>0.99982811405284699</v>
      </c>
      <c r="K488">
        <v>1.8273894950260945</v>
      </c>
      <c r="L488">
        <v>0</v>
      </c>
      <c r="M488">
        <v>3.3474834652817802E-3</v>
      </c>
      <c r="N488">
        <v>0.347566696435744</v>
      </c>
      <c r="O488">
        <v>0.23522182989694695</v>
      </c>
      <c r="P488">
        <v>1.3226293621032215E-2</v>
      </c>
      <c r="Q488">
        <v>1.5914532562701915E-3</v>
      </c>
      <c r="R488">
        <v>3.3417498754121319E-3</v>
      </c>
      <c r="S488">
        <v>0.35743746802877313</v>
      </c>
      <c r="T488">
        <v>0.39537208056161516</v>
      </c>
      <c r="U488">
        <v>0</v>
      </c>
      <c r="V488">
        <v>0.19585454835654956</v>
      </c>
      <c r="W488">
        <v>0.21741693264806411</v>
      </c>
      <c r="X488">
        <v>5.4612784257646978E-2</v>
      </c>
      <c r="Y488">
        <v>9.0951415533214591E-3</v>
      </c>
    </row>
    <row r="489" spans="1:25" x14ac:dyDescent="0.25">
      <c r="A489" s="1083"/>
      <c r="B489" s="1455">
        <v>239</v>
      </c>
      <c r="C489" s="1087">
        <v>0.97201719993528468</v>
      </c>
      <c r="D489" s="1087">
        <v>0.95612620627935452</v>
      </c>
      <c r="E489" s="1087">
        <v>0.99790886983064353</v>
      </c>
      <c r="F489" s="1087">
        <v>0.99406489308879509</v>
      </c>
      <c r="G489" s="1087">
        <v>0.96299321925658821</v>
      </c>
      <c r="H489" s="1087">
        <v>0.96240312015437712</v>
      </c>
      <c r="I489" s="1087">
        <v>1.0154051757155496</v>
      </c>
      <c r="K489">
        <v>1.8860800340470154</v>
      </c>
      <c r="L489">
        <v>0</v>
      </c>
      <c r="M489">
        <v>3.7038860309211883E-3</v>
      </c>
      <c r="N489">
        <v>0.34943321974601788</v>
      </c>
      <c r="O489">
        <v>0.2458573108585036</v>
      </c>
      <c r="P489">
        <v>1.3468910779954825E-2</v>
      </c>
      <c r="Q489">
        <v>1.6551046418117341E-3</v>
      </c>
      <c r="R489">
        <v>3.6973116728929696E-3</v>
      </c>
      <c r="S489">
        <v>0.3837028229841844</v>
      </c>
      <c r="T489">
        <v>0.40029111028135483</v>
      </c>
      <c r="U489">
        <v>0</v>
      </c>
      <c r="V489">
        <v>0.20467716515889281</v>
      </c>
      <c r="W489">
        <v>0.22287225750230363</v>
      </c>
      <c r="X489">
        <v>5.4065842896869887E-2</v>
      </c>
      <c r="Y489">
        <v>1.0062863555149256E-2</v>
      </c>
    </row>
    <row r="490" spans="1:25" x14ac:dyDescent="0.25">
      <c r="A490" s="1083"/>
      <c r="B490" s="1455">
        <v>240</v>
      </c>
      <c r="C490" s="1087">
        <v>0.99007344022027521</v>
      </c>
      <c r="D490" s="1087">
        <v>1.004014813500187</v>
      </c>
      <c r="E490" s="1087">
        <v>0.95850966143357075</v>
      </c>
      <c r="F490" s="1087">
        <v>0.98612009012656787</v>
      </c>
      <c r="G490" s="1087">
        <v>1.0055402533864159</v>
      </c>
      <c r="H490" s="1087">
        <v>1.0297977764370396</v>
      </c>
      <c r="I490" s="1087">
        <v>1.0446839049469629</v>
      </c>
      <c r="K490">
        <v>1.8660952763869816</v>
      </c>
      <c r="L490">
        <v>0</v>
      </c>
      <c r="M490">
        <v>4.1079648846595622E-3</v>
      </c>
      <c r="N490">
        <v>0.34362033109110351</v>
      </c>
      <c r="O490">
        <v>0.23730366686202831</v>
      </c>
      <c r="P490">
        <v>1.3031826207291677E-2</v>
      </c>
      <c r="Q490">
        <v>1.5272195589030682E-3</v>
      </c>
      <c r="R490">
        <v>4.1011060669901012E-3</v>
      </c>
      <c r="S490">
        <v>0.38964476383087182</v>
      </c>
      <c r="T490">
        <v>0.39686018373241988</v>
      </c>
      <c r="U490">
        <v>0</v>
      </c>
      <c r="V490">
        <v>0.19917220618939532</v>
      </c>
      <c r="W490">
        <v>0.22471889554633054</v>
      </c>
      <c r="X490">
        <v>4.9061183401209005E-2</v>
      </c>
      <c r="Y490">
        <v>1.1161858785095411E-2</v>
      </c>
    </row>
    <row r="491" spans="1:25" x14ac:dyDescent="0.25">
      <c r="A491" s="1083"/>
      <c r="B491" s="1455">
        <v>241</v>
      </c>
      <c r="C491" s="1087">
        <v>0.99804097178905304</v>
      </c>
      <c r="D491" s="1087">
        <v>1.0014978266542021</v>
      </c>
      <c r="E491" s="1087">
        <v>1.0063847362931919</v>
      </c>
      <c r="F491" s="1087">
        <v>0.9885040554618455</v>
      </c>
      <c r="G491" s="1087">
        <v>1.0106896780441779</v>
      </c>
      <c r="H491" s="1087">
        <v>1.004732082620879</v>
      </c>
      <c r="I491" s="1087">
        <v>0.97265020690870885</v>
      </c>
      <c r="K491">
        <v>1.8401706606511015</v>
      </c>
      <c r="L491">
        <v>0</v>
      </c>
      <c r="M491">
        <v>3.6109662553942055E-3</v>
      </c>
      <c r="N491">
        <v>0.3496146081908505</v>
      </c>
      <c r="O491">
        <v>0.23756332568433633</v>
      </c>
      <c r="P491">
        <v>1.3072454842638612E-2</v>
      </c>
      <c r="Q491">
        <v>1.5966700701753847E-3</v>
      </c>
      <c r="R491">
        <v>3.6047890387776904E-3</v>
      </c>
      <c r="S491">
        <v>0.35649461042584413</v>
      </c>
      <c r="T491">
        <v>0.39810270987148544</v>
      </c>
      <c r="U491">
        <v>0</v>
      </c>
      <c r="V491">
        <v>0.19894304553965583</v>
      </c>
      <c r="W491">
        <v>0.2218120382346645</v>
      </c>
      <c r="X491">
        <v>5.3166327562899969E-2</v>
      </c>
      <c r="Y491">
        <v>9.8110474451656056E-3</v>
      </c>
    </row>
    <row r="492" spans="1:25" x14ac:dyDescent="0.25">
      <c r="A492" s="1083"/>
      <c r="B492" s="1455">
        <v>242</v>
      </c>
      <c r="C492" s="1087">
        <v>0.97298613016704205</v>
      </c>
      <c r="D492" s="1087">
        <v>0.97459905779849121</v>
      </c>
      <c r="E492" s="1087">
        <v>0.99573309902393814</v>
      </c>
      <c r="F492" s="1087">
        <v>0.98865659703063569</v>
      </c>
      <c r="G492" s="1087">
        <v>0.9735214774989992</v>
      </c>
      <c r="H492" s="1087">
        <v>0.98635317469177275</v>
      </c>
      <c r="I492" s="1087">
        <v>1.0157845604552722</v>
      </c>
      <c r="K492">
        <v>1.8860961133331977</v>
      </c>
      <c r="L492">
        <v>0</v>
      </c>
      <c r="M492">
        <v>3.7704516835463105E-3</v>
      </c>
      <c r="N492">
        <v>0.35337228017149791</v>
      </c>
      <c r="O492">
        <v>0.24314938019656659</v>
      </c>
      <c r="P492">
        <v>1.3399176683308003E-2</v>
      </c>
      <c r="Q492">
        <v>1.6370423112712401E-3</v>
      </c>
      <c r="R492">
        <v>3.763904895829057E-3</v>
      </c>
      <c r="S492">
        <v>0.38399549476633588</v>
      </c>
      <c r="T492">
        <v>0.39810028755782689</v>
      </c>
      <c r="U492">
        <v>0</v>
      </c>
      <c r="V492">
        <v>0.20305747692621826</v>
      </c>
      <c r="W492">
        <v>0.22569197955498796</v>
      </c>
      <c r="X492">
        <v>5.3455433597367E-2</v>
      </c>
      <c r="Y492">
        <v>1.0244108355531247E-2</v>
      </c>
    </row>
    <row r="493" spans="1:25" x14ac:dyDescent="0.25">
      <c r="A493" s="1083"/>
      <c r="B493" s="1455">
        <v>243</v>
      </c>
      <c r="C493" s="1087">
        <v>1.0227281870428206</v>
      </c>
      <c r="D493" s="1087">
        <v>1.0106226021683362</v>
      </c>
      <c r="E493" s="1087">
        <v>1.0225572192584031</v>
      </c>
      <c r="F493" s="1087">
        <v>1.0003433905783161</v>
      </c>
      <c r="G493" s="1087">
        <v>1.0091340017592401</v>
      </c>
      <c r="H493" s="1087">
        <v>0.99087727394521319</v>
      </c>
      <c r="I493" s="1087">
        <v>0.95849782564431185</v>
      </c>
      <c r="K493">
        <v>1.8056539125818956</v>
      </c>
      <c r="L493">
        <v>0</v>
      </c>
      <c r="M493">
        <v>3.3449536195146253E-3</v>
      </c>
      <c r="N493">
        <v>0.34021706056013845</v>
      </c>
      <c r="O493">
        <v>0.2353347419426404</v>
      </c>
      <c r="P493">
        <v>1.3025213314932291E-2</v>
      </c>
      <c r="Q493">
        <v>1.5792696689350405E-3</v>
      </c>
      <c r="R493">
        <v>3.3391432189452722E-3</v>
      </c>
      <c r="S493">
        <v>0.33891682705942877</v>
      </c>
      <c r="T493">
        <v>0.40296981949084826</v>
      </c>
      <c r="U493">
        <v>0</v>
      </c>
      <c r="V493">
        <v>0.19696997312905273</v>
      </c>
      <c r="W493">
        <v>0.21370294546684582</v>
      </c>
      <c r="X493">
        <v>5.3855825255939641E-2</v>
      </c>
      <c r="Y493">
        <v>9.0880470937027384E-3</v>
      </c>
    </row>
    <row r="494" spans="1:25" x14ac:dyDescent="0.25">
      <c r="A494" s="1083"/>
      <c r="B494" s="1455">
        <v>244</v>
      </c>
      <c r="C494" s="1087">
        <v>0.96823697419415866</v>
      </c>
      <c r="D494" s="1087">
        <v>0.98234801500637603</v>
      </c>
      <c r="E494" s="1087">
        <v>0.99083538820965644</v>
      </c>
      <c r="F494" s="1087">
        <v>0.95808907481486072</v>
      </c>
      <c r="G494" s="1087">
        <v>1.0032884991623094</v>
      </c>
      <c r="H494" s="1087">
        <v>1.0143170900847749</v>
      </c>
      <c r="I494" s="1087">
        <v>1.0135553768970618</v>
      </c>
      <c r="K494">
        <v>1.8851070802811991</v>
      </c>
      <c r="L494">
        <v>0</v>
      </c>
      <c r="M494">
        <v>3.9172996955621426E-3</v>
      </c>
      <c r="N494">
        <v>0.36170236805801714</v>
      </c>
      <c r="O494">
        <v>0.23906060977309934</v>
      </c>
      <c r="P494">
        <v>1.3208855216947792E-2</v>
      </c>
      <c r="Q494">
        <v>1.6313032984410611E-3</v>
      </c>
      <c r="R494">
        <v>3.9106756418151763E-3</v>
      </c>
      <c r="S494">
        <v>0.38857011413615006</v>
      </c>
      <c r="T494">
        <v>0.38576343123738877</v>
      </c>
      <c r="U494">
        <v>0</v>
      </c>
      <c r="V494">
        <v>0.20039835569101766</v>
      </c>
      <c r="W494">
        <v>0.23172386524735655</v>
      </c>
      <c r="X494">
        <v>5.241123173338267E-2</v>
      </c>
      <c r="Y494">
        <v>1.0643569943142056E-2</v>
      </c>
    </row>
    <row r="495" spans="1:25" x14ac:dyDescent="0.25">
      <c r="A495" s="1083"/>
      <c r="B495" s="1455">
        <v>245</v>
      </c>
      <c r="C495" s="1087">
        <v>1.0274099238040741</v>
      </c>
      <c r="D495" s="1087">
        <v>1.0304781309101472</v>
      </c>
      <c r="E495" s="1087">
        <v>1.0062582658439945</v>
      </c>
      <c r="F495" s="1087">
        <v>1.0066740593496923</v>
      </c>
      <c r="G495" s="1087">
        <v>1.0011871213858763</v>
      </c>
      <c r="H495" s="1087">
        <v>0.98886765757668937</v>
      </c>
      <c r="I495" s="1087">
        <v>1.0099527139295434</v>
      </c>
      <c r="K495">
        <v>1.7992174179898339</v>
      </c>
      <c r="L495">
        <v>0</v>
      </c>
      <c r="M495">
        <v>3.3990155145204913E-3</v>
      </c>
      <c r="N495">
        <v>0.32895497575866139</v>
      </c>
      <c r="O495">
        <v>0.23332102540411029</v>
      </c>
      <c r="P495">
        <v>1.3055715961329963E-2</v>
      </c>
      <c r="Q495">
        <v>1.5332252216875564E-3</v>
      </c>
      <c r="R495">
        <v>3.393081420808288E-3</v>
      </c>
      <c r="S495">
        <v>0.35110430575227236</v>
      </c>
      <c r="T495">
        <v>0.40541958609363227</v>
      </c>
      <c r="U495">
        <v>0</v>
      </c>
      <c r="V495">
        <v>0.19588663538973211</v>
      </c>
      <c r="W495">
        <v>0.20872100520811568</v>
      </c>
      <c r="X495">
        <v>5.1992028195553E-2</v>
      </c>
      <c r="Y495">
        <v>9.2348490984504004E-3</v>
      </c>
    </row>
    <row r="496" spans="1:25" x14ac:dyDescent="0.25">
      <c r="A496" s="1083"/>
      <c r="B496" s="1455">
        <v>246</v>
      </c>
      <c r="C496" s="1087">
        <v>1.0110488963019773</v>
      </c>
      <c r="D496" s="1087">
        <v>1.0055665434976235</v>
      </c>
      <c r="E496" s="1087">
        <v>0.97604236625697016</v>
      </c>
      <c r="F496" s="1087">
        <v>1.0076533893448139</v>
      </c>
      <c r="G496" s="1087">
        <v>0.96754399457567108</v>
      </c>
      <c r="H496" s="1087">
        <v>0.99661320888826221</v>
      </c>
      <c r="I496" s="1087">
        <v>1.0034216332133754</v>
      </c>
      <c r="K496">
        <v>1.8226487180345485</v>
      </c>
      <c r="L496">
        <v>0</v>
      </c>
      <c r="M496">
        <v>3.7532995988029173E-3</v>
      </c>
      <c r="N496">
        <v>0.33123274604706987</v>
      </c>
      <c r="O496">
        <v>0.23740837059148565</v>
      </c>
      <c r="P496">
        <v>1.2929334466193206E-2</v>
      </c>
      <c r="Q496">
        <v>1.5232851234023019E-3</v>
      </c>
      <c r="R496">
        <v>3.7468224733986362E-3</v>
      </c>
      <c r="S496">
        <v>0.36041525713965017</v>
      </c>
      <c r="T496">
        <v>0.40563068184947942</v>
      </c>
      <c r="U496">
        <v>0</v>
      </c>
      <c r="V496">
        <v>0.1988048562154264</v>
      </c>
      <c r="W496">
        <v>0.2141989375315673</v>
      </c>
      <c r="X496">
        <v>5.0314110562780741E-2</v>
      </c>
      <c r="Y496">
        <v>1.0197615632894686E-2</v>
      </c>
    </row>
    <row r="497" spans="1:25" x14ac:dyDescent="0.25">
      <c r="A497" s="1083"/>
      <c r="B497" s="1455">
        <v>247</v>
      </c>
      <c r="C497" s="1087">
        <v>0.97801737193154259</v>
      </c>
      <c r="D497" s="1087">
        <v>0.96729347590978498</v>
      </c>
      <c r="E497" s="1087">
        <v>1.0379104564655219</v>
      </c>
      <c r="F497" s="1087">
        <v>0.97283804520788042</v>
      </c>
      <c r="G497" s="1087">
        <v>1.0027839447727167</v>
      </c>
      <c r="H497" s="1087">
        <v>0.9861103462786236</v>
      </c>
      <c r="I497" s="1087">
        <v>0.98833252300304253</v>
      </c>
      <c r="K497">
        <v>1.8880401315735569</v>
      </c>
      <c r="L497">
        <v>0</v>
      </c>
      <c r="M497">
        <v>3.452626368910135E-3</v>
      </c>
      <c r="N497">
        <v>0.36797617222180778</v>
      </c>
      <c r="O497">
        <v>0.24190405864169548</v>
      </c>
      <c r="P497">
        <v>1.357140815117079E-2</v>
      </c>
      <c r="Q497">
        <v>1.7079596944421067E-3</v>
      </c>
      <c r="R497">
        <v>3.4466349539348791E-3</v>
      </c>
      <c r="S497">
        <v>0.37366254966090567</v>
      </c>
      <c r="T497">
        <v>0.39198221116643883</v>
      </c>
      <c r="U497">
        <v>0</v>
      </c>
      <c r="V497">
        <v>0.20173697691309353</v>
      </c>
      <c r="W497">
        <v>0.2289819369926108</v>
      </c>
      <c r="X497">
        <v>5.7142245384663032E-2</v>
      </c>
      <c r="Y497">
        <v>9.3806041617035298E-3</v>
      </c>
    </row>
    <row r="498" spans="1:25" x14ac:dyDescent="0.25">
      <c r="A498" s="1083"/>
      <c r="B498" s="1455">
        <v>248</v>
      </c>
      <c r="C498" s="1087">
        <v>0.97998557040922318</v>
      </c>
      <c r="D498" s="1087">
        <v>1.0025501174001821</v>
      </c>
      <c r="E498" s="1087">
        <v>0.98563785697933615</v>
      </c>
      <c r="F498" s="1087">
        <v>0.98981874608308085</v>
      </c>
      <c r="G498" s="1087">
        <v>0.98538940561206212</v>
      </c>
      <c r="H498" s="1087">
        <v>1.0047787548145306</v>
      </c>
      <c r="I498" s="1087">
        <v>0.98631076989101252</v>
      </c>
      <c r="K498">
        <v>1.8558928924202025</v>
      </c>
      <c r="L498">
        <v>0</v>
      </c>
      <c r="M498">
        <v>3.834779109670177E-3</v>
      </c>
      <c r="N498">
        <v>0.34849926806092069</v>
      </c>
      <c r="O498">
        <v>0.23950827767357122</v>
      </c>
      <c r="P498">
        <v>1.3053587630584571E-2</v>
      </c>
      <c r="Q498">
        <v>1.589792454794989E-3</v>
      </c>
      <c r="R498">
        <v>3.8282182873953163E-3</v>
      </c>
      <c r="S498">
        <v>0.36771511620171637</v>
      </c>
      <c r="T498">
        <v>0.39850810512379237</v>
      </c>
      <c r="U498">
        <v>0</v>
      </c>
      <c r="V498">
        <v>0.200834126882039</v>
      </c>
      <c r="W498">
        <v>0.22399804218967223</v>
      </c>
      <c r="X498">
        <v>5.1773988818914742E-2</v>
      </c>
      <c r="Y498">
        <v>1.0419148206470772E-2</v>
      </c>
    </row>
    <row r="499" spans="1:25" x14ac:dyDescent="0.25">
      <c r="A499" s="1083"/>
      <c r="B499" s="1455">
        <v>249</v>
      </c>
      <c r="C499" s="1087">
        <v>1.0193584222752816</v>
      </c>
      <c r="D499" s="1087">
        <v>0.97034438974027193</v>
      </c>
      <c r="E499" s="1087">
        <v>1.0109373012588054</v>
      </c>
      <c r="F499" s="1087">
        <v>0.96542566063488311</v>
      </c>
      <c r="G499" s="1087">
        <v>0.96617141186159516</v>
      </c>
      <c r="H499" s="1087">
        <v>1.0220311970195191</v>
      </c>
      <c r="I499" s="1087">
        <v>1.020719757504841</v>
      </c>
      <c r="K499">
        <v>1.8553837664856925</v>
      </c>
      <c r="L499">
        <v>0</v>
      </c>
      <c r="M499">
        <v>3.6236319474406966E-3</v>
      </c>
      <c r="N499">
        <v>0.35575890091902529</v>
      </c>
      <c r="O499">
        <v>0.23539493156388661</v>
      </c>
      <c r="P499">
        <v>1.3221581551917879E-2</v>
      </c>
      <c r="Q499">
        <v>1.5908297042792048E-3</v>
      </c>
      <c r="R499">
        <v>3.6175638277755784E-3</v>
      </c>
      <c r="S499">
        <v>0.37597939659851121</v>
      </c>
      <c r="T499">
        <v>0.38883508441370818</v>
      </c>
      <c r="U499">
        <v>0</v>
      </c>
      <c r="V499">
        <v>0.19635838623614538</v>
      </c>
      <c r="W499">
        <v>0.22507329008035834</v>
      </c>
      <c r="X499">
        <v>5.3331617327914867E-2</v>
      </c>
      <c r="Y499">
        <v>9.8458162096097986E-3</v>
      </c>
    </row>
    <row r="500" spans="1:25" x14ac:dyDescent="0.25">
      <c r="A500" s="1083"/>
      <c r="B500" s="1455">
        <v>250</v>
      </c>
      <c r="C500" s="1087">
        <v>1.0064788946219849</v>
      </c>
      <c r="D500" s="1087">
        <v>1.0118083605076345</v>
      </c>
      <c r="E500" s="1087">
        <v>0.99917497213313899</v>
      </c>
      <c r="F500" s="1087">
        <v>0.98176126607746339</v>
      </c>
      <c r="G500" s="1087">
        <v>0.99287191608598768</v>
      </c>
      <c r="H500" s="1087">
        <v>0.97749752052033456</v>
      </c>
      <c r="I500" s="1087">
        <v>1.003521976143849</v>
      </c>
      <c r="K500">
        <v>1.8055441006551929</v>
      </c>
      <c r="L500">
        <v>0</v>
      </c>
      <c r="M500">
        <v>3.5158659497163385E-3</v>
      </c>
      <c r="N500">
        <v>0.33298387484017483</v>
      </c>
      <c r="O500">
        <v>0.23464852377669068</v>
      </c>
      <c r="P500">
        <v>1.2953127484946963E-2</v>
      </c>
      <c r="Q500">
        <v>1.5647605138045249E-3</v>
      </c>
      <c r="R500">
        <v>3.5096748912018809E-3</v>
      </c>
      <c r="S500">
        <v>0.35768716537872969</v>
      </c>
      <c r="T500">
        <v>0.39534419644442848</v>
      </c>
      <c r="U500">
        <v>0</v>
      </c>
      <c r="V500">
        <v>0.19688367539729307</v>
      </c>
      <c r="W500">
        <v>0.21221255889166085</v>
      </c>
      <c r="X500">
        <v>5.1720230896145122E-2</v>
      </c>
      <c r="Y500">
        <v>9.552178089834577E-3</v>
      </c>
    </row>
    <row r="501" spans="1:25" x14ac:dyDescent="0.25">
      <c r="A501" s="1083"/>
      <c r="B501" s="1455">
        <v>251</v>
      </c>
      <c r="C501" s="1087">
        <v>0.9625230931255071</v>
      </c>
      <c r="D501" s="1087">
        <v>0.96363161106827555</v>
      </c>
      <c r="E501" s="1087">
        <v>0.99201865105613163</v>
      </c>
      <c r="F501" s="1087">
        <v>1.0022637196380808</v>
      </c>
      <c r="G501" s="1087">
        <v>0.97617860790751343</v>
      </c>
      <c r="H501" s="1087">
        <v>1.0041657844733829</v>
      </c>
      <c r="I501" s="1087">
        <v>0.98016709123001144</v>
      </c>
      <c r="K501">
        <v>1.9147330655652945</v>
      </c>
      <c r="L501">
        <v>0</v>
      </c>
      <c r="M501">
        <v>3.9336660841145718E-3</v>
      </c>
      <c r="N501">
        <v>0.36452394053337178</v>
      </c>
      <c r="O501">
        <v>0.24721947421494725</v>
      </c>
      <c r="P501">
        <v>1.3425178520677421E-2</v>
      </c>
      <c r="Q501">
        <v>1.6557584147901942E-3</v>
      </c>
      <c r="R501">
        <v>3.9269674487734697E-3</v>
      </c>
      <c r="S501">
        <v>0.38022727399670969</v>
      </c>
      <c r="T501">
        <v>0.40355698037916798</v>
      </c>
      <c r="U501">
        <v>0</v>
      </c>
      <c r="V501">
        <v>0.20603364573406252</v>
      </c>
      <c r="W501">
        <v>0.23335778957180559</v>
      </c>
      <c r="X501">
        <v>5.4051811964011258E-2</v>
      </c>
      <c r="Y501">
        <v>1.068791087108981E-2</v>
      </c>
    </row>
    <row r="502" spans="1:25" x14ac:dyDescent="0.25">
      <c r="A502" s="1083"/>
      <c r="B502" s="1455">
        <v>252</v>
      </c>
      <c r="C502" s="1087">
        <v>1.0075326333103301</v>
      </c>
      <c r="D502" s="1087">
        <v>1.0093540488848345</v>
      </c>
      <c r="E502" s="1087">
        <v>0.97557434435302515</v>
      </c>
      <c r="F502" s="1087">
        <v>0.99115089087476071</v>
      </c>
      <c r="G502" s="1087">
        <v>0.99857596564143269</v>
      </c>
      <c r="H502" s="1087">
        <v>0.99814417284542756</v>
      </c>
      <c r="I502" s="1087">
        <v>1.0024526575356381</v>
      </c>
      <c r="K502">
        <v>1.8143471913018365</v>
      </c>
      <c r="L502">
        <v>0</v>
      </c>
      <c r="M502">
        <v>3.7683133102478349E-3</v>
      </c>
      <c r="N502">
        <v>0.33208285131166665</v>
      </c>
      <c r="O502">
        <v>0.23553281872864412</v>
      </c>
      <c r="P502">
        <v>1.2824992497512283E-2</v>
      </c>
      <c r="Q502">
        <v>1.5255337853356844E-3</v>
      </c>
      <c r="R502">
        <v>3.7618171544419911E-3</v>
      </c>
      <c r="S502">
        <v>0.36085171548665174</v>
      </c>
      <c r="T502">
        <v>0.39898484252233152</v>
      </c>
      <c r="U502">
        <v>0</v>
      </c>
      <c r="V502">
        <v>0.19756819738496539</v>
      </c>
      <c r="W502">
        <v>0.21481264194098221</v>
      </c>
      <c r="X502">
        <v>4.9931667587853376E-2</v>
      </c>
      <c r="Y502">
        <v>1.0238426211699419E-2</v>
      </c>
    </row>
    <row r="503" spans="1:25" x14ac:dyDescent="0.25">
      <c r="A503" s="1083"/>
      <c r="B503" s="1455">
        <v>253</v>
      </c>
      <c r="C503" s="1087">
        <v>0.98379392744636429</v>
      </c>
      <c r="D503" s="1087">
        <v>0.95707368078511079</v>
      </c>
      <c r="E503" s="1087">
        <v>0.98895054144309436</v>
      </c>
      <c r="F503" s="1087">
        <v>1.0004161709686019</v>
      </c>
      <c r="G503" s="1087">
        <v>0.9660009193658825</v>
      </c>
      <c r="H503" s="1087">
        <v>0.9785289323562022</v>
      </c>
      <c r="I503" s="1087">
        <v>1.0112196460258518</v>
      </c>
      <c r="K503">
        <v>1.8811104291191283</v>
      </c>
      <c r="L503">
        <v>0</v>
      </c>
      <c r="M503">
        <v>3.7883071915414861E-3</v>
      </c>
      <c r="N503">
        <v>0.34776515421791282</v>
      </c>
      <c r="O503">
        <v>0.24496256398921398</v>
      </c>
      <c r="P503">
        <v>1.3355724805358467E-2</v>
      </c>
      <c r="Q503">
        <v>1.6190617248056521E-3</v>
      </c>
      <c r="R503">
        <v>3.7816941517454759E-3</v>
      </c>
      <c r="S503">
        <v>0.38034522018077577</v>
      </c>
      <c r="T503">
        <v>0.40279460183206178</v>
      </c>
      <c r="U503">
        <v>0</v>
      </c>
      <c r="V503">
        <v>0.20383156803388625</v>
      </c>
      <c r="W503">
        <v>0.22305956464201801</v>
      </c>
      <c r="X503">
        <v>5.3091057886980798E-2</v>
      </c>
      <c r="Y503">
        <v>1.0292524845909101E-2</v>
      </c>
    </row>
    <row r="504" spans="1:25" x14ac:dyDescent="0.25">
      <c r="A504" s="1083"/>
      <c r="B504" s="1455">
        <v>254</v>
      </c>
      <c r="C504" s="1087">
        <v>1.0039529904591413</v>
      </c>
      <c r="D504" s="1087">
        <v>0.95506187906299078</v>
      </c>
      <c r="E504" s="1087">
        <v>0.99614630927758507</v>
      </c>
      <c r="F504" s="1087">
        <v>0.96823173871491819</v>
      </c>
      <c r="G504" s="1087">
        <v>0.97620374176824321</v>
      </c>
      <c r="H504" s="1087">
        <v>1.0239679635128285</v>
      </c>
      <c r="I504" s="1087">
        <v>0.99962198925169565</v>
      </c>
      <c r="K504">
        <v>1.8720369266895798</v>
      </c>
      <c r="L504">
        <v>0</v>
      </c>
      <c r="M504">
        <v>3.8314691603876061E-3</v>
      </c>
      <c r="N504">
        <v>0.35956875698883584</v>
      </c>
      <c r="O504">
        <v>0.238840557357721</v>
      </c>
      <c r="P504">
        <v>1.3144607056713883E-2</v>
      </c>
      <c r="Q504">
        <v>1.6001569851204127E-3</v>
      </c>
      <c r="R504">
        <v>3.8250781065796015E-3</v>
      </c>
      <c r="S504">
        <v>0.37731932607889274</v>
      </c>
      <c r="T504">
        <v>0.38987826966556283</v>
      </c>
      <c r="U504">
        <v>0</v>
      </c>
      <c r="V504">
        <v>0.19893997508842934</v>
      </c>
      <c r="W504">
        <v>0.22959008300171263</v>
      </c>
      <c r="X504">
        <v>5.2750983850947564E-2</v>
      </c>
      <c r="Y504">
        <v>1.0410601669450724E-2</v>
      </c>
    </row>
    <row r="505" spans="1:25" x14ac:dyDescent="0.25">
      <c r="A505" s="1083"/>
      <c r="B505" s="1455">
        <v>255</v>
      </c>
      <c r="C505" s="1087">
        <v>1.0272319261127987</v>
      </c>
      <c r="D505" s="1087">
        <v>1.0163910809926047</v>
      </c>
      <c r="E505" s="1087">
        <v>0.99380465160992537</v>
      </c>
      <c r="F505" s="1087">
        <v>0.98423275058419102</v>
      </c>
      <c r="G505" s="1087">
        <v>1.0163880963399907</v>
      </c>
      <c r="H505" s="1087">
        <v>0.99344421323497001</v>
      </c>
      <c r="I505" s="1087">
        <v>1.0139438149304347</v>
      </c>
      <c r="K505">
        <v>1.792945089054091</v>
      </c>
      <c r="L505">
        <v>0</v>
      </c>
      <c r="M505">
        <v>3.530646283013179E-3</v>
      </c>
      <c r="N505">
        <v>0.32895580058620438</v>
      </c>
      <c r="O505">
        <v>0.23199320595428463</v>
      </c>
      <c r="P505">
        <v>1.286097274998842E-2</v>
      </c>
      <c r="Q505">
        <v>1.5216306536091205E-3</v>
      </c>
      <c r="R505">
        <v>3.5245244114684138E-3</v>
      </c>
      <c r="S505">
        <v>0.35596692146662245</v>
      </c>
      <c r="T505">
        <v>0.39630748890265177</v>
      </c>
      <c r="U505">
        <v>0</v>
      </c>
      <c r="V505">
        <v>0.19467830616730666</v>
      </c>
      <c r="W505">
        <v>0.21035195755254438</v>
      </c>
      <c r="X505">
        <v>5.0722333303567284E-2</v>
      </c>
      <c r="Y505">
        <v>9.5925935888570412E-3</v>
      </c>
    </row>
    <row r="506" spans="1:25" x14ac:dyDescent="0.25">
      <c r="A506" s="1083"/>
      <c r="B506" s="1455">
        <v>256</v>
      </c>
      <c r="C506" s="1087">
        <v>0.97759782882442148</v>
      </c>
      <c r="D506" s="1087">
        <v>1.0011547090172317</v>
      </c>
      <c r="E506" s="1087">
        <v>1.0347706213826307</v>
      </c>
      <c r="F506" s="1087">
        <v>1.0207916473503342</v>
      </c>
      <c r="G506" s="1087">
        <v>0.98903037103601243</v>
      </c>
      <c r="H506" s="1087">
        <v>0.97490252934039989</v>
      </c>
      <c r="I506" s="1087">
        <v>0.99173187543313046</v>
      </c>
      <c r="K506">
        <v>1.8859640509160831</v>
      </c>
      <c r="L506">
        <v>0</v>
      </c>
      <c r="M506">
        <v>3.3755024492908531E-3</v>
      </c>
      <c r="N506">
        <v>0.35632497282458486</v>
      </c>
      <c r="O506">
        <v>0.24436226345421697</v>
      </c>
      <c r="P506">
        <v>1.3737698275045831E-2</v>
      </c>
      <c r="Q506">
        <v>1.6798119258318509E-3</v>
      </c>
      <c r="R506">
        <v>3.3695520870445305E-3</v>
      </c>
      <c r="S506">
        <v>0.36601312621928717</v>
      </c>
      <c r="T506">
        <v>0.41128407604071621</v>
      </c>
      <c r="U506">
        <v>0</v>
      </c>
      <c r="V506">
        <v>0.20416286983051932</v>
      </c>
      <c r="W506">
        <v>0.22215542747899053</v>
      </c>
      <c r="X506">
        <v>5.7078945220749383E-2</v>
      </c>
      <c r="Y506">
        <v>9.170810008388243E-3</v>
      </c>
    </row>
    <row r="507" spans="1:25" x14ac:dyDescent="0.25">
      <c r="A507" s="1083"/>
      <c r="B507" s="1455">
        <v>257</v>
      </c>
      <c r="C507" s="1087">
        <v>1.0086695497650058</v>
      </c>
      <c r="D507" s="1087">
        <v>1.0083783947741414</v>
      </c>
      <c r="E507" s="1087">
        <v>0.99996987522571623</v>
      </c>
      <c r="F507" s="1087">
        <v>0.96510301861587533</v>
      </c>
      <c r="G507" s="1087">
        <v>0.98506967315191429</v>
      </c>
      <c r="H507" s="1087">
        <v>1.017136619553441</v>
      </c>
      <c r="I507" s="1087">
        <v>1.0178714890037721</v>
      </c>
      <c r="K507">
        <v>1.8304047143590341</v>
      </c>
      <c r="L507">
        <v>0</v>
      </c>
      <c r="M507">
        <v>3.6511063206760351E-3</v>
      </c>
      <c r="N507">
        <v>0.34665629712771212</v>
      </c>
      <c r="O507">
        <v>0.23275620834292624</v>
      </c>
      <c r="P507">
        <v>1.3015977802090741E-2</v>
      </c>
      <c r="Q507">
        <v>1.5648095020377149E-3</v>
      </c>
      <c r="R507">
        <v>3.6449303610680654E-3</v>
      </c>
      <c r="S507">
        <v>0.36991901730101967</v>
      </c>
      <c r="T507">
        <v>0.38864075490766581</v>
      </c>
      <c r="U507">
        <v>0</v>
      </c>
      <c r="V507">
        <v>0.19539669155587339</v>
      </c>
      <c r="W507">
        <v>0.22081633695445405</v>
      </c>
      <c r="X507">
        <v>5.1724497933003467E-2</v>
      </c>
      <c r="Y507">
        <v>9.9202988918566694E-3</v>
      </c>
    </row>
    <row r="508" spans="1:25" x14ac:dyDescent="0.25">
      <c r="A508" s="1083"/>
      <c r="B508" s="1455">
        <v>258</v>
      </c>
      <c r="C508" s="1087">
        <v>0.9800757374936796</v>
      </c>
      <c r="D508" s="1087">
        <v>1.0048989231556198</v>
      </c>
      <c r="E508" s="1087">
        <v>0.97030214856978336</v>
      </c>
      <c r="F508" s="1087">
        <v>1.0234313928849725</v>
      </c>
      <c r="G508" s="1087">
        <v>1.0220293064525601</v>
      </c>
      <c r="H508" s="1087">
        <v>0.9790312937058947</v>
      </c>
      <c r="I508" s="1087">
        <v>0.99660890156933712</v>
      </c>
      <c r="K508">
        <v>1.8512312347827624</v>
      </c>
      <c r="L508">
        <v>0</v>
      </c>
      <c r="M508">
        <v>3.8502218438414876E-3</v>
      </c>
      <c r="N508">
        <v>0.33386419868854889</v>
      </c>
      <c r="O508">
        <v>0.24303413871334686</v>
      </c>
      <c r="P508">
        <v>1.3096312431368513E-2</v>
      </c>
      <c r="Q508">
        <v>1.5621237707119796E-3</v>
      </c>
      <c r="R508">
        <v>3.8434596468546836E-3</v>
      </c>
      <c r="S508">
        <v>0.36614262749150345</v>
      </c>
      <c r="T508">
        <v>0.41194720826061632</v>
      </c>
      <c r="U508">
        <v>0</v>
      </c>
      <c r="V508">
        <v>0.20351576677592365</v>
      </c>
      <c r="W508">
        <v>0.21669226123115262</v>
      </c>
      <c r="X508">
        <v>5.0922729453968904E-2</v>
      </c>
      <c r="Y508">
        <v>1.0460630162606377E-2</v>
      </c>
    </row>
    <row r="509" spans="1:25" x14ac:dyDescent="0.25">
      <c r="A509" s="1083"/>
      <c r="B509" s="1455">
        <v>259</v>
      </c>
      <c r="C509" s="1087">
        <v>1.0026485768632689</v>
      </c>
      <c r="D509" s="1087">
        <v>1.0139473763776836</v>
      </c>
      <c r="E509" s="1087">
        <v>0.99257545544424219</v>
      </c>
      <c r="F509" s="1087">
        <v>1.0268145846168486</v>
      </c>
      <c r="G509" s="1087">
        <v>0.97570605451037529</v>
      </c>
      <c r="H509" s="1087">
        <v>0.98612173324592667</v>
      </c>
      <c r="I509" s="1087">
        <v>0.98725429396822828</v>
      </c>
      <c r="K509">
        <v>1.8340232278936595</v>
      </c>
      <c r="L509">
        <v>0</v>
      </c>
      <c r="M509">
        <v>3.6041564287778811E-3</v>
      </c>
      <c r="N509">
        <v>0.33454280871612424</v>
      </c>
      <c r="O509">
        <v>0.24001798571559918</v>
      </c>
      <c r="P509">
        <v>1.3143723049869976E-2</v>
      </c>
      <c r="Q509">
        <v>1.5583906711954057E-3</v>
      </c>
      <c r="R509">
        <v>3.5978626285180304E-3</v>
      </c>
      <c r="S509">
        <v>0.35425110941107318</v>
      </c>
      <c r="T509">
        <v>0.41344572095602911</v>
      </c>
      <c r="U509">
        <v>0</v>
      </c>
      <c r="V509">
        <v>0.20096937960008318</v>
      </c>
      <c r="W509">
        <v>0.21408979840544326</v>
      </c>
      <c r="X509">
        <v>5.2218409128770529E-2</v>
      </c>
      <c r="Y509">
        <v>9.7921960397293409E-3</v>
      </c>
    </row>
    <row r="510" spans="1:25" x14ac:dyDescent="0.25">
      <c r="A510" s="1083"/>
      <c r="B510" s="1455">
        <v>260</v>
      </c>
      <c r="C510" s="1087">
        <v>0.99132960602542408</v>
      </c>
      <c r="D510" s="1087">
        <v>0.99306438419661758</v>
      </c>
      <c r="E510" s="1087">
        <v>1.0110819622978451</v>
      </c>
      <c r="F510" s="1087">
        <v>1.0239183793115254</v>
      </c>
      <c r="G510" s="1087">
        <v>0.96113190908961477</v>
      </c>
      <c r="H510" s="1087">
        <v>1.0114417473585988</v>
      </c>
      <c r="I510" s="1087">
        <v>1.0059256446928415</v>
      </c>
      <c r="K510">
        <v>1.8972821315085673</v>
      </c>
      <c r="L510">
        <v>0</v>
      </c>
      <c r="M510">
        <v>3.6413975587482124E-3</v>
      </c>
      <c r="N510">
        <v>0.35765269925729043</v>
      </c>
      <c r="O510">
        <v>0.24348286540971406</v>
      </c>
      <c r="P510">
        <v>1.3617193203819806E-2</v>
      </c>
      <c r="Q510">
        <v>1.6209831249812403E-3</v>
      </c>
      <c r="R510">
        <v>3.6352172006290555E-3</v>
      </c>
      <c r="S510">
        <v>0.37423215498457235</v>
      </c>
      <c r="T510">
        <v>0.41239453112354207</v>
      </c>
      <c r="U510">
        <v>0</v>
      </c>
      <c r="V510">
        <v>0.20320320115629054</v>
      </c>
      <c r="W510">
        <v>0.22625113175161884</v>
      </c>
      <c r="X510">
        <v>5.4939688983769983E-2</v>
      </c>
      <c r="Y510">
        <v>9.8938628710841681E-3</v>
      </c>
    </row>
    <row r="511" spans="1:25" x14ac:dyDescent="0.25">
      <c r="A511" s="1083"/>
      <c r="B511" s="1455">
        <v>261</v>
      </c>
      <c r="C511" s="1087">
        <v>0.97983986049921623</v>
      </c>
      <c r="D511" s="1087">
        <v>0.98825577571079837</v>
      </c>
      <c r="E511" s="1087">
        <v>0.98678314437596759</v>
      </c>
      <c r="F511" s="1087">
        <v>0.99407990406153357</v>
      </c>
      <c r="G511" s="1087">
        <v>0.99285359255670169</v>
      </c>
      <c r="H511" s="1087">
        <v>1.0200159191877833</v>
      </c>
      <c r="I511" s="1087">
        <v>1.017950795310802</v>
      </c>
      <c r="K511">
        <v>1.893502633045242</v>
      </c>
      <c r="L511">
        <v>0</v>
      </c>
      <c r="M511">
        <v>3.9144997397431609E-3</v>
      </c>
      <c r="N511">
        <v>0.35700127170641122</v>
      </c>
      <c r="O511">
        <v>0.24147213202426984</v>
      </c>
      <c r="P511">
        <v>1.3343940271535121E-2</v>
      </c>
      <c r="Q511">
        <v>1.6011554935862335E-3</v>
      </c>
      <c r="R511">
        <v>3.9079155501550653E-3</v>
      </c>
      <c r="S511">
        <v>0.38549278442724588</v>
      </c>
      <c r="T511">
        <v>0.40023050800775983</v>
      </c>
      <c r="U511">
        <v>0</v>
      </c>
      <c r="V511">
        <v>0.20198857729491057</v>
      </c>
      <c r="W511">
        <v>0.22929684965397362</v>
      </c>
      <c r="X511">
        <v>5.2445940471631154E-2</v>
      </c>
      <c r="Y511">
        <v>1.0636057883507201E-2</v>
      </c>
    </row>
    <row r="512" spans="1:25" x14ac:dyDescent="0.25">
      <c r="A512" s="1083"/>
      <c r="B512" s="1455">
        <v>262</v>
      </c>
      <c r="C512" s="1087">
        <v>1.0028436637654048</v>
      </c>
      <c r="D512" s="1087">
        <v>1.0213685841584577</v>
      </c>
      <c r="E512" s="1087">
        <v>1.0003051215270282</v>
      </c>
      <c r="F512" s="1087">
        <v>0.97366024384878902</v>
      </c>
      <c r="G512" s="1087">
        <v>1.0174670924245151</v>
      </c>
      <c r="H512" s="1087">
        <v>1.0067891938967097</v>
      </c>
      <c r="I512" s="1087">
        <v>1.0011169124143797</v>
      </c>
      <c r="K512">
        <v>1.8202278129990646</v>
      </c>
      <c r="L512">
        <v>0</v>
      </c>
      <c r="M512">
        <v>3.607619691113618E-3</v>
      </c>
      <c r="N512">
        <v>0.34287104473859542</v>
      </c>
      <c r="O512">
        <v>0.23322521712996427</v>
      </c>
      <c r="P512">
        <v>1.2961166306443858E-2</v>
      </c>
      <c r="Q512">
        <v>1.5664217216908741E-3</v>
      </c>
      <c r="R512">
        <v>3.6014438130929222E-3</v>
      </c>
      <c r="S512">
        <v>0.36152552797858473</v>
      </c>
      <c r="T512">
        <v>0.39208867226778821</v>
      </c>
      <c r="U512">
        <v>0</v>
      </c>
      <c r="V512">
        <v>0.19608897609743298</v>
      </c>
      <c r="W512">
        <v>0.21835943216248316</v>
      </c>
      <c r="X512">
        <v>5.1745587630496005E-2</v>
      </c>
      <c r="Y512">
        <v>9.8019428436050184E-3</v>
      </c>
    </row>
    <row r="513" spans="1:25" x14ac:dyDescent="0.25">
      <c r="A513" s="1083"/>
      <c r="B513" s="1455">
        <v>263</v>
      </c>
      <c r="C513" s="1087">
        <v>1.0174433037782029</v>
      </c>
      <c r="D513" s="1087">
        <v>0.99185938560530951</v>
      </c>
      <c r="E513" s="1087">
        <v>0.96396593721165502</v>
      </c>
      <c r="F513" s="1087">
        <v>1.0344053408335616</v>
      </c>
      <c r="G513" s="1087">
        <v>0.99732693252771509</v>
      </c>
      <c r="H513" s="1087">
        <v>1.0108018775882923</v>
      </c>
      <c r="I513" s="1087">
        <v>0.99046591365662118</v>
      </c>
      <c r="K513">
        <v>1.8405026643718529</v>
      </c>
      <c r="L513">
        <v>0</v>
      </c>
      <c r="M513">
        <v>3.9053556333718698E-3</v>
      </c>
      <c r="N513">
        <v>0.33216364136457543</v>
      </c>
      <c r="O513">
        <v>0.24090002429300558</v>
      </c>
      <c r="P513">
        <v>1.2957661535458525E-2</v>
      </c>
      <c r="Q513">
        <v>1.5022806392231917E-3</v>
      </c>
      <c r="R513">
        <v>3.8987227029963953E-3</v>
      </c>
      <c r="S513">
        <v>0.35858115292941634</v>
      </c>
      <c r="T513">
        <v>0.41632562798669076</v>
      </c>
      <c r="U513">
        <v>0</v>
      </c>
      <c r="V513">
        <v>0.20104614504690713</v>
      </c>
      <c r="W513">
        <v>0.21646526887842735</v>
      </c>
      <c r="X513">
        <v>4.9956456644561296E-2</v>
      </c>
      <c r="Y513">
        <v>1.0611037983962552E-2</v>
      </c>
    </row>
    <row r="514" spans="1:25" x14ac:dyDescent="0.25">
      <c r="A514" s="1083"/>
      <c r="B514" s="1455">
        <v>264</v>
      </c>
      <c r="C514" s="1087">
        <v>1.0376178902123332</v>
      </c>
      <c r="D514" s="1087">
        <v>0.97906783358310423</v>
      </c>
      <c r="E514" s="1087">
        <v>1.014000840628672</v>
      </c>
      <c r="F514" s="1087">
        <v>1.0164012647531759</v>
      </c>
      <c r="G514" s="1087">
        <v>1.0474021203348289</v>
      </c>
      <c r="H514" s="1087">
        <v>0.96761579401205511</v>
      </c>
      <c r="I514" s="1087">
        <v>0.98716637167025978</v>
      </c>
      <c r="K514">
        <v>1.8084684880065096</v>
      </c>
      <c r="L514">
        <v>0</v>
      </c>
      <c r="M514">
        <v>3.3332074508587144E-3</v>
      </c>
      <c r="N514">
        <v>0.3302848492265234</v>
      </c>
      <c r="O514">
        <v>0.23848371016438447</v>
      </c>
      <c r="P514">
        <v>1.314995106664341E-2</v>
      </c>
      <c r="Q514">
        <v>1.5623093605054408E-3</v>
      </c>
      <c r="R514">
        <v>3.3273045969647434E-3</v>
      </c>
      <c r="S514">
        <v>0.34598998412020121</v>
      </c>
      <c r="T514">
        <v>0.4093850646775441</v>
      </c>
      <c r="U514">
        <v>0</v>
      </c>
      <c r="V514">
        <v>0.19843948508094802</v>
      </c>
      <c r="W514">
        <v>0.20856108293080128</v>
      </c>
      <c r="X514">
        <v>5.3562127965578576E-2</v>
      </c>
      <c r="Y514">
        <v>9.0558262672724259E-3</v>
      </c>
    </row>
    <row r="515" spans="1:25" x14ac:dyDescent="0.25">
      <c r="A515" s="1083"/>
      <c r="B515" s="1455">
        <v>265</v>
      </c>
      <c r="C515" s="1087">
        <v>0.97137296480400415</v>
      </c>
      <c r="D515" s="1087">
        <v>1.0000720804954564</v>
      </c>
      <c r="E515" s="1087">
        <v>1.011726382188227</v>
      </c>
      <c r="F515" s="1087">
        <v>1.0134733911549503</v>
      </c>
      <c r="G515" s="1087">
        <v>1.0084385454590989</v>
      </c>
      <c r="H515" s="1087">
        <v>0.9757390059944856</v>
      </c>
      <c r="I515" s="1087">
        <v>1.0123886542546938</v>
      </c>
      <c r="K515">
        <v>1.8853834298510301</v>
      </c>
      <c r="L515">
        <v>0</v>
      </c>
      <c r="M515">
        <v>3.5668142093906478E-3</v>
      </c>
      <c r="N515">
        <v>0.35099384900523217</v>
      </c>
      <c r="O515">
        <v>0.24405342382382092</v>
      </c>
      <c r="P515">
        <v>1.3605124812097013E-2</v>
      </c>
      <c r="Q515">
        <v>1.6507658273186424E-3</v>
      </c>
      <c r="R515">
        <v>3.5605328932583253E-3</v>
      </c>
      <c r="S515">
        <v>0.37614062941797011</v>
      </c>
      <c r="T515">
        <v>0.40819168494496966</v>
      </c>
      <c r="U515">
        <v>0</v>
      </c>
      <c r="V515">
        <v>0.20414931346457812</v>
      </c>
      <c r="W515">
        <v>0.22195011928569133</v>
      </c>
      <c r="X515">
        <v>5.4964203779386385E-2</v>
      </c>
      <c r="Y515">
        <v>9.6905968060963434E-3</v>
      </c>
    </row>
    <row r="516" spans="1:25" x14ac:dyDescent="0.25">
      <c r="A516" s="1083"/>
      <c r="B516" s="1455">
        <v>266</v>
      </c>
      <c r="C516" s="1087">
        <v>1.0000486688476933</v>
      </c>
      <c r="D516" s="1087">
        <v>1.0097642798426421</v>
      </c>
      <c r="E516" s="1087">
        <v>0.98325098327092175</v>
      </c>
      <c r="F516" s="1087">
        <v>1.0253372339724987</v>
      </c>
      <c r="G516" s="1087">
        <v>0.98987294927941016</v>
      </c>
      <c r="H516" s="1087">
        <v>1.0320169927622465</v>
      </c>
      <c r="I516" s="1087">
        <v>0.97846946070691454</v>
      </c>
      <c r="K516">
        <v>1.8652157423643538</v>
      </c>
      <c r="L516">
        <v>0</v>
      </c>
      <c r="M516">
        <v>3.8632539697302719E-3</v>
      </c>
      <c r="N516">
        <v>0.34855124278323801</v>
      </c>
      <c r="O516">
        <v>0.24045456083689953</v>
      </c>
      <c r="P516">
        <v>1.3135813974109374E-2</v>
      </c>
      <c r="Q516">
        <v>1.5494582984600317E-3</v>
      </c>
      <c r="R516">
        <v>3.8568118847240088E-3</v>
      </c>
      <c r="S516">
        <v>0.36082326031550666</v>
      </c>
      <c r="T516">
        <v>0.41279343896888876</v>
      </c>
      <c r="U516">
        <v>0</v>
      </c>
      <c r="V516">
        <v>0.20129259798445612</v>
      </c>
      <c r="W516">
        <v>0.22436975822731417</v>
      </c>
      <c r="X516">
        <v>5.1755082507962714E-2</v>
      </c>
      <c r="Y516">
        <v>1.0496970552522649E-2</v>
      </c>
    </row>
    <row r="517" spans="1:25" x14ac:dyDescent="0.25">
      <c r="A517" s="1083"/>
      <c r="B517" s="1455">
        <v>267</v>
      </c>
      <c r="C517" s="1087">
        <v>1.0219290814225035</v>
      </c>
      <c r="D517" s="1087">
        <v>0.9837437694675405</v>
      </c>
      <c r="E517" s="1087">
        <v>0.99809157814255745</v>
      </c>
      <c r="F517" s="1087">
        <v>1.0023524033752658</v>
      </c>
      <c r="G517" s="1087">
        <v>1.0100092339580842</v>
      </c>
      <c r="H517" s="1087">
        <v>0.99896798309364354</v>
      </c>
      <c r="I517" s="1087">
        <v>1.0140790006695402</v>
      </c>
      <c r="K517">
        <v>1.8392419482439102</v>
      </c>
      <c r="L517">
        <v>0</v>
      </c>
      <c r="M517">
        <v>3.6008639443083999E-3</v>
      </c>
      <c r="N517">
        <v>0.33992335848708327</v>
      </c>
      <c r="O517">
        <v>0.23800048847055599</v>
      </c>
      <c r="P517">
        <v>1.3183635680819145E-2</v>
      </c>
      <c r="Q517">
        <v>1.5567417730195812E-3</v>
      </c>
      <c r="R517">
        <v>3.5946838148422848E-3</v>
      </c>
      <c r="S517">
        <v>0.36545943584992097</v>
      </c>
      <c r="T517">
        <v>0.40362944183906624</v>
      </c>
      <c r="U517">
        <v>0</v>
      </c>
      <c r="V517">
        <v>0.19851275040198624</v>
      </c>
      <c r="W517">
        <v>0.21678197936675503</v>
      </c>
      <c r="X517">
        <v>5.2416752147369856E-2</v>
      </c>
      <c r="Y517">
        <v>9.7835443567996071E-3</v>
      </c>
    </row>
    <row r="518" spans="1:25" x14ac:dyDescent="0.25">
      <c r="A518" s="1083"/>
      <c r="B518" s="1455">
        <v>268</v>
      </c>
      <c r="C518" s="1087">
        <v>1.0002689336392043</v>
      </c>
      <c r="D518" s="1087">
        <v>1.0209137588380632</v>
      </c>
      <c r="E518" s="1087">
        <v>1.0024654144312162</v>
      </c>
      <c r="F518" s="1087">
        <v>0.98096196410465297</v>
      </c>
      <c r="G518" s="1087">
        <v>1.0002205575483143</v>
      </c>
      <c r="H518" s="1087">
        <v>1.0013160009635156</v>
      </c>
      <c r="I518" s="1087">
        <v>1.0053509308814699</v>
      </c>
      <c r="K518">
        <v>1.8268553118837261</v>
      </c>
      <c r="L518">
        <v>0</v>
      </c>
      <c r="M518">
        <v>3.5822721832091445E-3</v>
      </c>
      <c r="N518">
        <v>0.34271052639141136</v>
      </c>
      <c r="O518">
        <v>0.23446821631993345</v>
      </c>
      <c r="P518">
        <v>1.3056998146202394E-2</v>
      </c>
      <c r="Q518">
        <v>1.5743509042877566E-3</v>
      </c>
      <c r="R518">
        <v>3.5761066165777788E-3</v>
      </c>
      <c r="S518">
        <v>0.36311799566189878</v>
      </c>
      <c r="T518">
        <v>0.39504189573128456</v>
      </c>
      <c r="U518">
        <v>0</v>
      </c>
      <c r="V518">
        <v>0.19702778395020251</v>
      </c>
      <c r="W518">
        <v>0.21796310666551039</v>
      </c>
      <c r="X518">
        <v>5.2167620332530147E-2</v>
      </c>
      <c r="Y518">
        <v>9.7329833470953843E-3</v>
      </c>
    </row>
    <row r="519" spans="1:25" x14ac:dyDescent="0.25">
      <c r="A519" s="1083"/>
      <c r="B519" s="1455">
        <v>269</v>
      </c>
      <c r="C519" s="1087">
        <v>0.98712669684818344</v>
      </c>
      <c r="D519" s="1087">
        <v>1.0320900049423571</v>
      </c>
      <c r="E519" s="1087">
        <v>1.0001902803884886</v>
      </c>
      <c r="F519" s="1087">
        <v>1.0093911625507836</v>
      </c>
      <c r="G519" s="1087">
        <v>1.0254460598741844</v>
      </c>
      <c r="H519" s="1087">
        <v>0.99918563438772223</v>
      </c>
      <c r="I519" s="1087">
        <v>0.99185508640200182</v>
      </c>
      <c r="K519">
        <v>1.8453798876981573</v>
      </c>
      <c r="L519">
        <v>0</v>
      </c>
      <c r="M519">
        <v>3.6177471054882723E-3</v>
      </c>
      <c r="N519">
        <v>0.3437077266054086</v>
      </c>
      <c r="O519">
        <v>0.23825793235278125</v>
      </c>
      <c r="P519">
        <v>1.3198621353929437E-2</v>
      </c>
      <c r="Q519">
        <v>1.5845351031305661E-3</v>
      </c>
      <c r="R519">
        <v>3.6114975800374976E-3</v>
      </c>
      <c r="S519">
        <v>0.36042860926595693</v>
      </c>
      <c r="T519">
        <v>0.4064766526380032</v>
      </c>
      <c r="U519">
        <v>0</v>
      </c>
      <c r="V519">
        <v>0.20028146019010282</v>
      </c>
      <c r="W519">
        <v>0.21890798223232144</v>
      </c>
      <c r="X519">
        <v>5.2713311598967909E-2</v>
      </c>
      <c r="Y519">
        <v>9.8293058830047735E-3</v>
      </c>
    </row>
    <row r="520" spans="1:25" x14ac:dyDescent="0.25">
      <c r="A520" s="1083"/>
      <c r="B520" s="1455">
        <v>270</v>
      </c>
      <c r="C520" s="1087">
        <v>1.0189431482666982</v>
      </c>
      <c r="D520" s="1087">
        <v>1.0220116775288142</v>
      </c>
      <c r="E520" s="1087">
        <v>0.97680259369466649</v>
      </c>
      <c r="F520" s="1087">
        <v>1.0077399480094478</v>
      </c>
      <c r="G520" s="1087">
        <v>0.95470421842801956</v>
      </c>
      <c r="H520" s="1087">
        <v>1.025455987572327</v>
      </c>
      <c r="I520" s="1087">
        <v>1.0393183908941002</v>
      </c>
      <c r="K520">
        <v>1.8371715254440586</v>
      </c>
      <c r="L520">
        <v>0</v>
      </c>
      <c r="M520">
        <v>3.792020476450734E-3</v>
      </c>
      <c r="N520">
        <v>0.33544345569929601</v>
      </c>
      <c r="O520">
        <v>0.23485373662026332</v>
      </c>
      <c r="P520">
        <v>1.3074843867029961E-2</v>
      </c>
      <c r="Q520">
        <v>1.5029396120750849E-3</v>
      </c>
      <c r="R520">
        <v>3.7856449850205598E-3</v>
      </c>
      <c r="S520">
        <v>0.37235619577021806</v>
      </c>
      <c r="T520">
        <v>0.40567008910208618</v>
      </c>
      <c r="U520">
        <v>0</v>
      </c>
      <c r="V520">
        <v>0.19711735374525766</v>
      </c>
      <c r="W520">
        <v>0.2168170225086308</v>
      </c>
      <c r="X520">
        <v>5.0038986298937785E-2</v>
      </c>
      <c r="Y520">
        <v>1.0303277711692043E-2</v>
      </c>
    </row>
    <row r="521" spans="1:25" x14ac:dyDescent="0.25">
      <c r="A521" s="1083"/>
      <c r="B521" s="1455">
        <v>271</v>
      </c>
      <c r="C521" s="1087">
        <v>1.0027300079403019</v>
      </c>
      <c r="D521" s="1087">
        <v>0.99570635717876044</v>
      </c>
      <c r="E521" s="1087">
        <v>0.99960585307262773</v>
      </c>
      <c r="F521" s="1087">
        <v>0.99198571026949656</v>
      </c>
      <c r="G521" s="1087">
        <v>1.0186180957497271</v>
      </c>
      <c r="H521" s="1087">
        <v>0.98325001966055681</v>
      </c>
      <c r="I521" s="1087">
        <v>0.9909204396777721</v>
      </c>
      <c r="K521">
        <v>1.8273425980081586</v>
      </c>
      <c r="L521">
        <v>0</v>
      </c>
      <c r="M521">
        <v>3.5775542657940679E-3</v>
      </c>
      <c r="N521">
        <v>0.33927699355218666</v>
      </c>
      <c r="O521">
        <v>0.23788740646148368</v>
      </c>
      <c r="P521">
        <v>1.3056524696577098E-2</v>
      </c>
      <c r="Q521">
        <v>1.5814475598940067E-3</v>
      </c>
      <c r="R521">
        <v>3.5713055665833014E-3</v>
      </c>
      <c r="S521">
        <v>0.35871809789774106</v>
      </c>
      <c r="T521">
        <v>0.39946405361640408</v>
      </c>
      <c r="U521">
        <v>0</v>
      </c>
      <c r="V521">
        <v>0.19900809636382419</v>
      </c>
      <c r="W521">
        <v>0.21616496866779167</v>
      </c>
      <c r="X521">
        <v>5.2471341419789201E-2</v>
      </c>
      <c r="Y521">
        <v>9.7199164716761256E-3</v>
      </c>
    </row>
    <row r="522" spans="1:25" x14ac:dyDescent="0.25">
      <c r="A522" s="1083"/>
      <c r="B522" s="1455">
        <v>272</v>
      </c>
      <c r="C522" s="1087">
        <v>1.0244936411033805</v>
      </c>
      <c r="D522" s="1087">
        <v>1.0146878634483676</v>
      </c>
      <c r="E522" s="1087">
        <v>0.9569025160351371</v>
      </c>
      <c r="F522" s="1087">
        <v>0.9990705520157257</v>
      </c>
      <c r="G522" s="1087">
        <v>1.0054390374327438</v>
      </c>
      <c r="H522" s="1087">
        <v>0.97426224708494102</v>
      </c>
      <c r="I522" s="1087">
        <v>1.0051341443967301</v>
      </c>
      <c r="K522">
        <v>1.7699660563853006</v>
      </c>
      <c r="L522">
        <v>0</v>
      </c>
      <c r="M522">
        <v>3.7460158414317529E-3</v>
      </c>
      <c r="N522">
        <v>0.31177584352903104</v>
      </c>
      <c r="O522">
        <v>0.23365469847088127</v>
      </c>
      <c r="P522">
        <v>1.252448015188508E-2</v>
      </c>
      <c r="Q522">
        <v>1.4671090775961256E-3</v>
      </c>
      <c r="R522">
        <v>3.7393938519729745E-3</v>
      </c>
      <c r="S522">
        <v>0.35034562090415888</v>
      </c>
      <c r="T522">
        <v>0.40206261768998941</v>
      </c>
      <c r="U522">
        <v>0</v>
      </c>
      <c r="V522">
        <v>0.19608070716584777</v>
      </c>
      <c r="W522">
        <v>0.20410492351565723</v>
      </c>
      <c r="X522">
        <v>4.7779280495491898E-2</v>
      </c>
      <c r="Y522">
        <v>1.0177397374218425E-2</v>
      </c>
    </row>
    <row r="523" spans="1:25" x14ac:dyDescent="0.25">
      <c r="A523" s="1083"/>
      <c r="B523" s="1455">
        <v>273</v>
      </c>
      <c r="C523" s="1087">
        <v>1.0121689448999689</v>
      </c>
      <c r="D523" s="1087">
        <v>0.99574682200999032</v>
      </c>
      <c r="E523" s="1087">
        <v>1.0307287382842547</v>
      </c>
      <c r="F523" s="1087">
        <v>1.0188841713477934</v>
      </c>
      <c r="G523" s="1087">
        <v>0.9804620029370491</v>
      </c>
      <c r="H523" s="1087">
        <v>0.99430906126642393</v>
      </c>
      <c r="I523" s="1087">
        <v>1.0102645122366123</v>
      </c>
      <c r="K523">
        <v>1.8658974527268168</v>
      </c>
      <c r="L523">
        <v>0</v>
      </c>
      <c r="M523">
        <v>3.3621810927250799E-3</v>
      </c>
      <c r="N523">
        <v>0.3505906188702651</v>
      </c>
      <c r="O523">
        <v>0.24034430274250085</v>
      </c>
      <c r="P523">
        <v>1.3616256739544736E-2</v>
      </c>
      <c r="Q523">
        <v>1.6190847062630027E-3</v>
      </c>
      <c r="R523">
        <v>3.3563734452986375E-3</v>
      </c>
      <c r="S523">
        <v>0.36465266300579685</v>
      </c>
      <c r="T523">
        <v>0.41049001795444096</v>
      </c>
      <c r="U523">
        <v>0</v>
      </c>
      <c r="V523">
        <v>0.20049299025100831</v>
      </c>
      <c r="W523">
        <v>0.21911956960147938</v>
      </c>
      <c r="X523">
        <v>5.5842814413050931E-2</v>
      </c>
      <c r="Y523">
        <v>9.1349420898940038E-3</v>
      </c>
    </row>
    <row r="524" spans="1:25" x14ac:dyDescent="0.25">
      <c r="A524" s="1083"/>
      <c r="B524" s="1455">
        <v>274</v>
      </c>
      <c r="C524" s="1087">
        <v>1.0084618128085185</v>
      </c>
      <c r="D524" s="1087">
        <v>1.01968032372229</v>
      </c>
      <c r="E524" s="1087">
        <v>0.97934483872305156</v>
      </c>
      <c r="F524" s="1087">
        <v>0.97287154331510661</v>
      </c>
      <c r="G524" s="1087">
        <v>1.0098849547915605</v>
      </c>
      <c r="H524" s="1087">
        <v>1.0346024671012237</v>
      </c>
      <c r="I524" s="1087">
        <v>1.0019661215418734</v>
      </c>
      <c r="K524">
        <v>1.8237614859423572</v>
      </c>
      <c r="L524">
        <v>0</v>
      </c>
      <c r="M524">
        <v>3.8512508029461458E-3</v>
      </c>
      <c r="N524">
        <v>0.34334603457636592</v>
      </c>
      <c r="O524">
        <v>0.23233909591785201</v>
      </c>
      <c r="P524">
        <v>1.2787984558926518E-2</v>
      </c>
      <c r="Q524">
        <v>1.5241183415039207E-3</v>
      </c>
      <c r="R524">
        <v>3.8448364875313902E-3</v>
      </c>
      <c r="S524">
        <v>0.36486311284768141</v>
      </c>
      <c r="T524">
        <v>0.39164841077913498</v>
      </c>
      <c r="U524">
        <v>0</v>
      </c>
      <c r="V524">
        <v>0.19539469731575501</v>
      </c>
      <c r="W524">
        <v>0.22156682297039026</v>
      </c>
      <c r="X524">
        <v>4.9833245481107263E-2</v>
      </c>
      <c r="Y524">
        <v>1.0464377469052964E-2</v>
      </c>
    </row>
    <row r="525" spans="1:25" x14ac:dyDescent="0.25">
      <c r="A525" s="1083"/>
      <c r="B525" s="1455">
        <v>275</v>
      </c>
      <c r="C525" s="1087">
        <v>1.0111055698775648</v>
      </c>
      <c r="D525" s="1087">
        <v>0.99803650248095066</v>
      </c>
      <c r="E525" s="1087">
        <v>1.0190918472329249</v>
      </c>
      <c r="F525" s="1087">
        <v>0.97715834967904847</v>
      </c>
      <c r="G525" s="1087">
        <v>1.0148665457097457</v>
      </c>
      <c r="H525" s="1087">
        <v>1.0111883477112609</v>
      </c>
      <c r="I525" s="1087">
        <v>0.99523432963698166</v>
      </c>
      <c r="K525">
        <v>1.8400578545830319</v>
      </c>
      <c r="L525">
        <v>0</v>
      </c>
      <c r="M525">
        <v>3.5014023838035729E-3</v>
      </c>
      <c r="N525">
        <v>0.35240232571721053</v>
      </c>
      <c r="O525">
        <v>0.23517606464552943</v>
      </c>
      <c r="P525">
        <v>1.3180857815764217E-2</v>
      </c>
      <c r="Q525">
        <v>1.5995966632074265E-3</v>
      </c>
      <c r="R525">
        <v>3.4954535031734334E-3</v>
      </c>
      <c r="S525">
        <v>0.36204152201925349</v>
      </c>
      <c r="T525">
        <v>0.393609337180508</v>
      </c>
      <c r="U525">
        <v>0</v>
      </c>
      <c r="V525">
        <v>0.19683335464646448</v>
      </c>
      <c r="W525">
        <v>0.22182932613272982</v>
      </c>
      <c r="X525">
        <v>5.3877946483293894E-2</v>
      </c>
      <c r="Y525">
        <v>9.5134721597004458E-3</v>
      </c>
    </row>
    <row r="526" spans="1:25" x14ac:dyDescent="0.25">
      <c r="A526" s="1083"/>
      <c r="B526" s="1455">
        <v>276</v>
      </c>
      <c r="C526" s="1087">
        <v>0.98809482211767008</v>
      </c>
      <c r="D526" s="1087">
        <v>0.96499193735100131</v>
      </c>
      <c r="E526" s="1087">
        <v>0.98708657809229605</v>
      </c>
      <c r="F526" s="1087">
        <v>1.0299753176781345</v>
      </c>
      <c r="G526" s="1087">
        <v>1.0089405973393344</v>
      </c>
      <c r="H526" s="1087">
        <v>1.0155667226269314</v>
      </c>
      <c r="I526" s="1087">
        <v>0.97237333179984098</v>
      </c>
      <c r="K526">
        <v>1.9022230949314451</v>
      </c>
      <c r="L526">
        <v>0</v>
      </c>
      <c r="M526">
        <v>3.9130407236083247E-3</v>
      </c>
      <c r="N526">
        <v>0.35719859622666261</v>
      </c>
      <c r="O526">
        <v>0.24716342105502351</v>
      </c>
      <c r="P526">
        <v>1.3369988712658676E-2</v>
      </c>
      <c r="Q526">
        <v>1.6035024733921123E-3</v>
      </c>
      <c r="R526">
        <v>3.9064531106684421E-3</v>
      </c>
      <c r="S526">
        <v>0.36923754259949815</v>
      </c>
      <c r="T526">
        <v>0.41468438078068781</v>
      </c>
      <c r="U526">
        <v>0</v>
      </c>
      <c r="V526">
        <v>0.20549496610044468</v>
      </c>
      <c r="W526">
        <v>0.22937966542338073</v>
      </c>
      <c r="X526">
        <v>5.3465541567317497E-2</v>
      </c>
      <c r="Y526">
        <v>1.0632077605317659E-2</v>
      </c>
    </row>
    <row r="527" spans="1:25" x14ac:dyDescent="0.25">
      <c r="A527" s="1083"/>
      <c r="B527" s="1455">
        <v>277</v>
      </c>
      <c r="C527" s="1087">
        <v>1.0327910527836581</v>
      </c>
      <c r="D527" s="1087">
        <v>0.97861652151071166</v>
      </c>
      <c r="E527" s="1087">
        <v>0.99102911740838417</v>
      </c>
      <c r="F527" s="1087">
        <v>0.99509736132693349</v>
      </c>
      <c r="G527" s="1087">
        <v>1.0102561904048271</v>
      </c>
      <c r="H527" s="1087">
        <v>1.0415993571220814</v>
      </c>
      <c r="I527" s="1087">
        <v>1.0331208435318731</v>
      </c>
      <c r="K527">
        <v>1.8608121689399495</v>
      </c>
      <c r="L527">
        <v>0</v>
      </c>
      <c r="M527">
        <v>3.7796505993043313E-3</v>
      </c>
      <c r="N527">
        <v>0.34921524235891077</v>
      </c>
      <c r="O527">
        <v>0.23629373043827595</v>
      </c>
      <c r="P527">
        <v>1.3212845046943167E-2</v>
      </c>
      <c r="Q527">
        <v>1.5319871283807364E-3</v>
      </c>
      <c r="R527">
        <v>3.773433578526567E-3</v>
      </c>
      <c r="S527">
        <v>0.37721513503223703</v>
      </c>
      <c r="T527">
        <v>0.40066554820910993</v>
      </c>
      <c r="U527">
        <v>0</v>
      </c>
      <c r="V527">
        <v>0.19700733522408553</v>
      </c>
      <c r="W527">
        <v>0.22369674943467965</v>
      </c>
      <c r="X527">
        <v>5.1709770799399715E-2</v>
      </c>
      <c r="Y527">
        <v>1.0270042288704465E-2</v>
      </c>
    </row>
    <row r="528" spans="1:25" x14ac:dyDescent="0.25">
      <c r="A528" s="1083"/>
      <c r="B528" s="1455">
        <v>278</v>
      </c>
      <c r="C528" s="1087">
        <v>0.97378156232881075</v>
      </c>
      <c r="D528" s="1087">
        <v>1.0257165229510876</v>
      </c>
      <c r="E528" s="1087">
        <v>0.98099826795775802</v>
      </c>
      <c r="F528" s="1087">
        <v>1.000268579569862</v>
      </c>
      <c r="G528" s="1087">
        <v>0.981872952633422</v>
      </c>
      <c r="H528" s="1087">
        <v>0.96903930483347167</v>
      </c>
      <c r="I528" s="1087">
        <v>0.99629493854407591</v>
      </c>
      <c r="K528">
        <v>1.828247749821764</v>
      </c>
      <c r="L528">
        <v>0</v>
      </c>
      <c r="M528">
        <v>3.7116083351173487E-3</v>
      </c>
      <c r="N528">
        <v>0.33253495940318001</v>
      </c>
      <c r="O528">
        <v>0.23919614186869873</v>
      </c>
      <c r="P528">
        <v>1.2999239745141521E-2</v>
      </c>
      <c r="Q528">
        <v>1.5774817478058812E-3</v>
      </c>
      <c r="R528">
        <v>3.7050035503814003E-3</v>
      </c>
      <c r="S528">
        <v>0.36253937618339926</v>
      </c>
      <c r="T528">
        <v>0.40268750009931253</v>
      </c>
      <c r="U528">
        <v>0</v>
      </c>
      <c r="V528">
        <v>0.20119247995905951</v>
      </c>
      <c r="W528">
        <v>0.21436534456531822</v>
      </c>
      <c r="X528">
        <v>5.107803272453678E-2</v>
      </c>
      <c r="Y528">
        <v>1.0083798310046035E-2</v>
      </c>
    </row>
    <row r="529" spans="1:25" x14ac:dyDescent="0.25">
      <c r="A529" s="1083"/>
      <c r="B529" s="1455">
        <v>279</v>
      </c>
      <c r="C529" s="1087">
        <v>1.0081367344519032</v>
      </c>
      <c r="D529" s="1087">
        <v>0.98180437310960522</v>
      </c>
      <c r="E529" s="1087">
        <v>1.0026333365315254</v>
      </c>
      <c r="F529" s="1087">
        <v>0.98194986061926481</v>
      </c>
      <c r="G529" s="1087">
        <v>1.0071056036107093</v>
      </c>
      <c r="H529" s="1087">
        <v>1.0078778260546202</v>
      </c>
      <c r="I529" s="1087">
        <v>0.98160994924620348</v>
      </c>
      <c r="K529">
        <v>1.8411560515246637</v>
      </c>
      <c r="L529">
        <v>0</v>
      </c>
      <c r="M529">
        <v>3.652389465589944E-3</v>
      </c>
      <c r="N529">
        <v>0.34960476393369422</v>
      </c>
      <c r="O529">
        <v>0.23746073566535733</v>
      </c>
      <c r="P529">
        <v>1.3047633012557727E-2</v>
      </c>
      <c r="Q529">
        <v>1.5869459097082349E-3</v>
      </c>
      <c r="R529">
        <v>3.6461778189993666E-3</v>
      </c>
      <c r="S529">
        <v>0.36062497707780566</v>
      </c>
      <c r="T529">
        <v>0.39544073114260248</v>
      </c>
      <c r="U529">
        <v>0</v>
      </c>
      <c r="V529">
        <v>0.19831783235828701</v>
      </c>
      <c r="W529">
        <v>0.22232454271836979</v>
      </c>
      <c r="X529">
        <v>5.2830407291750078E-2</v>
      </c>
      <c r="Y529">
        <v>9.9236940611212784E-3</v>
      </c>
    </row>
    <row r="530" spans="1:25" x14ac:dyDescent="0.25">
      <c r="A530" s="1083"/>
      <c r="B530" s="1455">
        <v>280</v>
      </c>
      <c r="C530" s="1087">
        <v>1.0407470438470385</v>
      </c>
      <c r="D530" s="1087">
        <v>0.9723615552164947</v>
      </c>
      <c r="E530" s="1087">
        <v>1.0012669346609457</v>
      </c>
      <c r="F530" s="1087">
        <v>0.98947763213828632</v>
      </c>
      <c r="G530" s="1087">
        <v>0.97756426780655825</v>
      </c>
      <c r="H530" s="1087">
        <v>0.98865174684730617</v>
      </c>
      <c r="I530" s="1087">
        <v>0.97465702597722614</v>
      </c>
      <c r="K530">
        <v>1.7970398866485111</v>
      </c>
      <c r="L530">
        <v>0</v>
      </c>
      <c r="M530">
        <v>3.4984446418691415E-3</v>
      </c>
      <c r="N530">
        <v>0.33346574735658335</v>
      </c>
      <c r="O530">
        <v>0.23549233441114212</v>
      </c>
      <c r="P530">
        <v>1.2837500049075683E-2</v>
      </c>
      <c r="Q530">
        <v>1.5409322806838254E-3</v>
      </c>
      <c r="R530">
        <v>3.4923874113896177E-3</v>
      </c>
      <c r="S530">
        <v>0.3453889622489722</v>
      </c>
      <c r="T530">
        <v>0.39846403423915444</v>
      </c>
      <c r="U530">
        <v>0</v>
      </c>
      <c r="V530">
        <v>0.19611758359369935</v>
      </c>
      <c r="W530">
        <v>0.21224210101040536</v>
      </c>
      <c r="X530">
        <v>5.1991621420672929E-2</v>
      </c>
      <c r="Y530">
        <v>9.5051272686017818E-3</v>
      </c>
    </row>
    <row r="531" spans="1:25" x14ac:dyDescent="0.25">
      <c r="A531" s="1083"/>
      <c r="B531" s="1455">
        <v>281</v>
      </c>
      <c r="C531" s="1087">
        <v>0.9743080397789905</v>
      </c>
      <c r="D531" s="1087">
        <v>0.98540586299888555</v>
      </c>
      <c r="E531" s="1087">
        <v>1.0457635754310726</v>
      </c>
      <c r="F531" s="1087">
        <v>1.0106016710636161</v>
      </c>
      <c r="G531" s="1087">
        <v>0.96844688274346113</v>
      </c>
      <c r="H531" s="1087">
        <v>0.96660150910555598</v>
      </c>
      <c r="I531" s="1087">
        <v>1.0093864635989593</v>
      </c>
      <c r="K531">
        <v>1.9009854147667173</v>
      </c>
      <c r="L531">
        <v>0</v>
      </c>
      <c r="M531">
        <v>3.3109807346395187E-3</v>
      </c>
      <c r="N531">
        <v>0.36139839498986759</v>
      </c>
      <c r="O531">
        <v>0.24532258923681124</v>
      </c>
      <c r="P531">
        <v>1.3931291315705903E-2</v>
      </c>
      <c r="Q531">
        <v>1.7157817780458573E-3</v>
      </c>
      <c r="R531">
        <v>3.3051067072866502E-3</v>
      </c>
      <c r="S531">
        <v>0.37563106910573951</v>
      </c>
      <c r="T531">
        <v>0.40724765882635838</v>
      </c>
      <c r="U531">
        <v>0</v>
      </c>
      <c r="V531">
        <v>0.20457075907363509</v>
      </c>
      <c r="W531">
        <v>0.2238218274774734</v>
      </c>
      <c r="X531">
        <v>5.8356506061329971E-2</v>
      </c>
      <c r="Y531">
        <v>8.9954109291010224E-3</v>
      </c>
    </row>
    <row r="532" spans="1:25" x14ac:dyDescent="0.25">
      <c r="A532" s="1083"/>
      <c r="B532" s="1455">
        <v>282</v>
      </c>
      <c r="C532" s="1087">
        <v>0.99687282688600398</v>
      </c>
      <c r="D532" s="1087">
        <v>0.99657930098108038</v>
      </c>
      <c r="E532" s="1087">
        <v>1.0297828710185006</v>
      </c>
      <c r="F532" s="1087">
        <v>1.0131616105048395</v>
      </c>
      <c r="G532" s="1087">
        <v>0.98331785064772181</v>
      </c>
      <c r="H532" s="1087">
        <v>1.0232616161364387</v>
      </c>
      <c r="I532" s="1087">
        <v>0.98550661192431543</v>
      </c>
      <c r="K532">
        <v>1.893260062165836</v>
      </c>
      <c r="L532">
        <v>0</v>
      </c>
      <c r="M532">
        <v>3.5187585936536313E-3</v>
      </c>
      <c r="N532">
        <v>0.36588034582531287</v>
      </c>
      <c r="O532">
        <v>0.24144554941737395</v>
      </c>
      <c r="P532">
        <v>1.3611911313420348E-2</v>
      </c>
      <c r="Q532">
        <v>1.641748734200381E-3</v>
      </c>
      <c r="R532">
        <v>3.5128523344512795E-3</v>
      </c>
      <c r="S532">
        <v>0.36622033432126255</v>
      </c>
      <c r="T532">
        <v>0.40817857233893051</v>
      </c>
      <c r="U532">
        <v>0</v>
      </c>
      <c r="V532">
        <v>0.20159455958318409</v>
      </c>
      <c r="W532">
        <v>0.22880782296019755</v>
      </c>
      <c r="X532">
        <v>5.6324297888240976E-2</v>
      </c>
      <c r="Y532">
        <v>9.5608260429155493E-3</v>
      </c>
    </row>
    <row r="533" spans="1:25" x14ac:dyDescent="0.25">
      <c r="A533" s="1083"/>
      <c r="B533" s="1455">
        <v>283</v>
      </c>
      <c r="C533" s="1087">
        <v>1.0045683939337933</v>
      </c>
      <c r="D533" s="1087">
        <v>0.96810976405324423</v>
      </c>
      <c r="E533" s="1087">
        <v>0.9856077913971375</v>
      </c>
      <c r="F533" s="1087">
        <v>1.013507960307215</v>
      </c>
      <c r="G533" s="1087">
        <v>1.0009561012952346</v>
      </c>
      <c r="H533" s="1087">
        <v>0.97432237640371577</v>
      </c>
      <c r="I533" s="1087">
        <v>1.0095590158070806</v>
      </c>
      <c r="K533">
        <v>1.8505640134666979</v>
      </c>
      <c r="L533">
        <v>0</v>
      </c>
      <c r="M533">
        <v>3.6971109039404021E-3</v>
      </c>
      <c r="N533">
        <v>0.33594225423296226</v>
      </c>
      <c r="O533">
        <v>0.242817388686285</v>
      </c>
      <c r="P533">
        <v>1.3212521333977554E-2</v>
      </c>
      <c r="Q533">
        <v>1.5726757188976341E-3</v>
      </c>
      <c r="R533">
        <v>3.6906201119797518E-3</v>
      </c>
      <c r="S533">
        <v>0.36872177114072247</v>
      </c>
      <c r="T533">
        <v>0.40804536943664899</v>
      </c>
      <c r="U533">
        <v>0</v>
      </c>
      <c r="V533">
        <v>0.20208797914603718</v>
      </c>
      <c r="W533">
        <v>0.21593111714199603</v>
      </c>
      <c r="X533">
        <v>5.2194776088915124E-2</v>
      </c>
      <c r="Y533">
        <v>1.0044651332215942E-2</v>
      </c>
    </row>
    <row r="534" spans="1:25" x14ac:dyDescent="0.25">
      <c r="A534" s="1083"/>
      <c r="B534" s="1455">
        <v>284</v>
      </c>
      <c r="C534" s="1087">
        <v>0.99343830399629574</v>
      </c>
      <c r="D534" s="1087">
        <v>0.99732836376536749</v>
      </c>
      <c r="E534" s="1087">
        <v>0.96947053306583908</v>
      </c>
      <c r="F534" s="1087">
        <v>1.0347471159883193</v>
      </c>
      <c r="G534" s="1087">
        <v>0.97030407100294536</v>
      </c>
      <c r="H534" s="1087">
        <v>0.99808139070990687</v>
      </c>
      <c r="I534" s="1087">
        <v>1.0316683723682818</v>
      </c>
      <c r="K534">
        <v>1.8744552511482928</v>
      </c>
      <c r="L534">
        <v>0</v>
      </c>
      <c r="M534">
        <v>3.8944839996064712E-3</v>
      </c>
      <c r="N534">
        <v>0.33685635644618672</v>
      </c>
      <c r="O534">
        <v>0.24342124101566165</v>
      </c>
      <c r="P534">
        <v>1.3319345211008434E-2</v>
      </c>
      <c r="Q534">
        <v>1.5443898902326749E-3</v>
      </c>
      <c r="R534">
        <v>3.8877812118690049E-3</v>
      </c>
      <c r="S534">
        <v>0.37906021032604487</v>
      </c>
      <c r="T534">
        <v>0.41649686419120652</v>
      </c>
      <c r="U534">
        <v>0</v>
      </c>
      <c r="V534">
        <v>0.20340099727319325</v>
      </c>
      <c r="W534">
        <v>0.21875054858571444</v>
      </c>
      <c r="X534">
        <v>5.103074214480352E-2</v>
      </c>
      <c r="Y534">
        <v>1.0581258851975379E-2</v>
      </c>
    </row>
    <row r="535" spans="1:25" x14ac:dyDescent="0.25">
      <c r="A535" s="1083"/>
      <c r="B535" s="1455">
        <v>285</v>
      </c>
      <c r="C535" s="1087">
        <v>1.0266103703051135</v>
      </c>
      <c r="D535" s="1087">
        <v>0.9715257740244424</v>
      </c>
      <c r="E535" s="1087">
        <v>1.0168563931303123</v>
      </c>
      <c r="F535" s="1087">
        <v>0.97372691518903209</v>
      </c>
      <c r="G535" s="1087">
        <v>0.99795584085075684</v>
      </c>
      <c r="H535" s="1087">
        <v>1.0101592538443349</v>
      </c>
      <c r="I535" s="1087">
        <v>0.99957458868374494</v>
      </c>
      <c r="K535">
        <v>1.8376197255843474</v>
      </c>
      <c r="L535">
        <v>0</v>
      </c>
      <c r="M535">
        <v>3.5113597025734408E-3</v>
      </c>
      <c r="N535">
        <v>0.35100654778312068</v>
      </c>
      <c r="O535">
        <v>0.2355389892413999</v>
      </c>
      <c r="P535">
        <v>1.3150212324907868E-2</v>
      </c>
      <c r="Q535">
        <v>1.5887414268722934E-3</v>
      </c>
      <c r="R535">
        <v>3.5054100120423585E-3</v>
      </c>
      <c r="S535">
        <v>0.36329659333660863</v>
      </c>
      <c r="T535">
        <v>0.39221376451879553</v>
      </c>
      <c r="U535">
        <v>0</v>
      </c>
      <c r="V535">
        <v>0.19631873287926277</v>
      </c>
      <c r="W535">
        <v>0.22125540520086004</v>
      </c>
      <c r="X535">
        <v>5.3716118068368825E-2</v>
      </c>
      <c r="Y535">
        <v>9.5405704946793912E-3</v>
      </c>
    </row>
    <row r="536" spans="1:25" x14ac:dyDescent="0.25">
      <c r="A536" s="1083"/>
      <c r="B536" s="1455">
        <v>286</v>
      </c>
      <c r="C536" s="1087">
        <v>1.0030473131139539</v>
      </c>
      <c r="D536" s="1087">
        <v>0.98692299034724162</v>
      </c>
      <c r="E536" s="1087">
        <v>0.99097277556850927</v>
      </c>
      <c r="F536" s="1087">
        <v>1.0409652473087483</v>
      </c>
      <c r="G536" s="1087">
        <v>1.0127048573582542</v>
      </c>
      <c r="H536" s="1087">
        <v>0.99601250377837847</v>
      </c>
      <c r="I536" s="1087">
        <v>0.98223124187811695</v>
      </c>
      <c r="K536">
        <v>1.8658465802335531</v>
      </c>
      <c r="L536">
        <v>0</v>
      </c>
      <c r="M536">
        <v>3.704849956927814E-3</v>
      </c>
      <c r="N536">
        <v>0.34221874686921266</v>
      </c>
      <c r="O536">
        <v>0.24433261159332897</v>
      </c>
      <c r="P536">
        <v>1.3310049377535977E-2</v>
      </c>
      <c r="Q536">
        <v>1.5719968815557468E-3</v>
      </c>
      <c r="R536">
        <v>3.6984694518448239E-3</v>
      </c>
      <c r="S536">
        <v>0.3593874516007442</v>
      </c>
      <c r="T536">
        <v>0.41913341984033725</v>
      </c>
      <c r="U536">
        <v>0</v>
      </c>
      <c r="V536">
        <v>0.20358459716378013</v>
      </c>
      <c r="W536">
        <v>0.21922277526596937</v>
      </c>
      <c r="X536">
        <v>5.302529749837806E-2</v>
      </c>
      <c r="Y536">
        <v>1.0066014647794476E-2</v>
      </c>
    </row>
    <row r="537" spans="1:25" x14ac:dyDescent="0.25">
      <c r="A537" s="1083"/>
      <c r="B537" s="1455">
        <v>287</v>
      </c>
      <c r="C537" s="1087">
        <v>1.0233526360287133</v>
      </c>
      <c r="D537" s="1087">
        <v>1.0084341170085818</v>
      </c>
      <c r="E537" s="1087">
        <v>0.98549502206175632</v>
      </c>
      <c r="F537" s="1087">
        <v>0.98945611262242161</v>
      </c>
      <c r="G537" s="1087">
        <v>0.98537306275396341</v>
      </c>
      <c r="H537" s="1087">
        <v>1.0326121758447433</v>
      </c>
      <c r="I537" s="1087">
        <v>1.0284810126017405</v>
      </c>
      <c r="K537">
        <v>1.8359251672218371</v>
      </c>
      <c r="L537">
        <v>0</v>
      </c>
      <c r="M537">
        <v>3.7628865769368481E-3</v>
      </c>
      <c r="N537">
        <v>0.3418318709392541</v>
      </c>
      <c r="O537">
        <v>0.23369829833337619</v>
      </c>
      <c r="P537">
        <v>1.3028105997525853E-2</v>
      </c>
      <c r="Q537">
        <v>1.5186287884895778E-3</v>
      </c>
      <c r="R537">
        <v>3.7566166473053954E-3</v>
      </c>
      <c r="S537">
        <v>0.37103357153612759</v>
      </c>
      <c r="T537">
        <v>0.39836125882815188</v>
      </c>
      <c r="U537">
        <v>0</v>
      </c>
      <c r="V537">
        <v>0.19587901079267173</v>
      </c>
      <c r="W537">
        <v>0.21973239393947916</v>
      </c>
      <c r="X537">
        <v>5.0624025850772685E-2</v>
      </c>
      <c r="Y537">
        <v>1.0224272145620321E-2</v>
      </c>
    </row>
    <row r="538" spans="1:25" x14ac:dyDescent="0.25">
      <c r="A538" s="1083"/>
      <c r="B538" s="1455">
        <v>288</v>
      </c>
      <c r="C538" s="1087">
        <v>1.0143298159347705</v>
      </c>
      <c r="D538" s="1087">
        <v>0.99450188364430292</v>
      </c>
      <c r="E538" s="1087">
        <v>1.0042463777760187</v>
      </c>
      <c r="F538" s="1087">
        <v>0.98158762199515948</v>
      </c>
      <c r="G538" s="1087">
        <v>0.98610474236453349</v>
      </c>
      <c r="H538" s="1087">
        <v>1.0167695474172052</v>
      </c>
      <c r="I538" s="1087">
        <v>1.0084408264733518</v>
      </c>
      <c r="K538">
        <v>1.8423579616808985</v>
      </c>
      <c r="L538">
        <v>0</v>
      </c>
      <c r="M538">
        <v>3.624904228851132E-3</v>
      </c>
      <c r="N538">
        <v>0.34868980351210321</v>
      </c>
      <c r="O538">
        <v>0.23545869310409515</v>
      </c>
      <c r="P538">
        <v>1.3133594244610526E-2</v>
      </c>
      <c r="Q538">
        <v>1.5718650619573583E-3</v>
      </c>
      <c r="R538">
        <v>3.6187824027512122E-3</v>
      </c>
      <c r="S538">
        <v>0.36723860233040412</v>
      </c>
      <c r="T538">
        <v>0.39530447129122953</v>
      </c>
      <c r="U538">
        <v>0</v>
      </c>
      <c r="V538">
        <v>0.19697674632306231</v>
      </c>
      <c r="W538">
        <v>0.22151989361572821</v>
      </c>
      <c r="X538">
        <v>5.2621281254815869E-2</v>
      </c>
      <c r="Y538">
        <v>9.8491327689903402E-3</v>
      </c>
    </row>
    <row r="539" spans="1:25" x14ac:dyDescent="0.25">
      <c r="A539" s="1083"/>
      <c r="B539" s="1455">
        <v>289</v>
      </c>
      <c r="C539" s="1087">
        <v>1.0120878503114659</v>
      </c>
      <c r="D539" s="1087">
        <v>0.97888537216427318</v>
      </c>
      <c r="E539" s="1087">
        <v>1.0271670577808032</v>
      </c>
      <c r="F539" s="1087">
        <v>0.98322822233982143</v>
      </c>
      <c r="G539" s="1087">
        <v>0.98940833973352005</v>
      </c>
      <c r="H539" s="1087">
        <v>1.0109965577852809</v>
      </c>
      <c r="I539" s="1087">
        <v>0.98184579197854371</v>
      </c>
      <c r="K539">
        <v>1.8556259438971998</v>
      </c>
      <c r="L539">
        <v>0</v>
      </c>
      <c r="M539">
        <v>3.4759736025448515E-3</v>
      </c>
      <c r="N539">
        <v>0.35855796852460275</v>
      </c>
      <c r="O539">
        <v>0.23778980660788054</v>
      </c>
      <c r="P539">
        <v>1.329594452164177E-2</v>
      </c>
      <c r="Q539">
        <v>1.624229287450528E-3</v>
      </c>
      <c r="R539">
        <v>3.4700827244412997E-3</v>
      </c>
      <c r="S539">
        <v>0.36073209959088959</v>
      </c>
      <c r="T539">
        <v>0.39610323240124906</v>
      </c>
      <c r="U539">
        <v>0</v>
      </c>
      <c r="V539">
        <v>0.19831639205728988</v>
      </c>
      <c r="W539">
        <v>0.2245877139482535</v>
      </c>
      <c r="X539">
        <v>5.5180026572579005E-2</v>
      </c>
      <c r="Y539">
        <v>9.4444212634665382E-3</v>
      </c>
    </row>
    <row r="540" spans="1:25" x14ac:dyDescent="0.25">
      <c r="A540" s="1083"/>
      <c r="B540" s="1455">
        <v>290</v>
      </c>
      <c r="C540" s="1087">
        <v>0.96954981016602559</v>
      </c>
      <c r="D540" s="1087">
        <v>1.0361484835510701</v>
      </c>
      <c r="E540" s="1087">
        <v>1.0229696178972461</v>
      </c>
      <c r="F540" s="1087">
        <v>0.97382538716749956</v>
      </c>
      <c r="G540" s="1087">
        <v>0.98545315821018731</v>
      </c>
      <c r="H540" s="1087">
        <v>0.96953193990254505</v>
      </c>
      <c r="I540" s="1087">
        <v>1.0002639906499788</v>
      </c>
      <c r="K540">
        <v>1.8344391719504938</v>
      </c>
      <c r="L540">
        <v>0</v>
      </c>
      <c r="M540">
        <v>3.4040154601505815E-3</v>
      </c>
      <c r="N540">
        <v>0.34664423763945285</v>
      </c>
      <c r="O540">
        <v>0.2361827575013741</v>
      </c>
      <c r="P540">
        <v>1.3260019874194678E-2</v>
      </c>
      <c r="Q540">
        <v>1.6500679173682882E-3</v>
      </c>
      <c r="R540">
        <v>3.3979523517931312E-3</v>
      </c>
      <c r="S540">
        <v>0.36410211835627926</v>
      </c>
      <c r="T540">
        <v>0.39229000488315513</v>
      </c>
      <c r="U540">
        <v>0</v>
      </c>
      <c r="V540">
        <v>0.19909730996799146</v>
      </c>
      <c r="W540">
        <v>0.21768494416300677</v>
      </c>
      <c r="X540">
        <v>5.4285668589136062E-2</v>
      </c>
      <c r="Y540">
        <v>9.2481061668891751E-3</v>
      </c>
    </row>
    <row r="541" spans="1:25" x14ac:dyDescent="0.25">
      <c r="A541" s="1083"/>
      <c r="B541" s="1455">
        <v>291</v>
      </c>
      <c r="C541" s="1087">
        <v>1.0339051480438639</v>
      </c>
      <c r="D541" s="1087">
        <v>1.0040309985333522</v>
      </c>
      <c r="E541" s="1087">
        <v>0.99592763900302794</v>
      </c>
      <c r="F541" s="1087">
        <v>1.0283613256060096</v>
      </c>
      <c r="G541" s="1087">
        <v>1.0105055499324065</v>
      </c>
      <c r="H541" s="1087">
        <v>1.0130433463017015</v>
      </c>
      <c r="I541" s="1087">
        <v>1.0087010343767624</v>
      </c>
      <c r="K541">
        <v>1.8348015993756521</v>
      </c>
      <c r="L541">
        <v>0</v>
      </c>
      <c r="M541">
        <v>3.5839664546231569E-3</v>
      </c>
      <c r="N541">
        <v>0.33610703604041503</v>
      </c>
      <c r="O541">
        <v>0.23744650549791807</v>
      </c>
      <c r="P541">
        <v>1.3196087661907389E-2</v>
      </c>
      <c r="Q541">
        <v>1.5226764284858091E-3</v>
      </c>
      <c r="R541">
        <v>3.577880719478157E-3</v>
      </c>
      <c r="S541">
        <v>0.35765160401063212</v>
      </c>
      <c r="T541">
        <v>0.41408931628686096</v>
      </c>
      <c r="U541">
        <v>0</v>
      </c>
      <c r="V541">
        <v>0.19834469476233038</v>
      </c>
      <c r="W541">
        <v>0.21463883146745932</v>
      </c>
      <c r="X541">
        <v>5.2073121084429755E-2</v>
      </c>
      <c r="Y541">
        <v>9.7378118703573512E-3</v>
      </c>
    </row>
    <row r="542" spans="1:25" x14ac:dyDescent="0.25">
      <c r="A542" s="1083"/>
      <c r="B542" s="1455">
        <v>292</v>
      </c>
      <c r="C542" s="1087">
        <v>1.0237512718673556</v>
      </c>
      <c r="D542" s="1087">
        <v>1.003974461935091</v>
      </c>
      <c r="E542" s="1087">
        <v>0.97774873685812047</v>
      </c>
      <c r="F542" s="1087">
        <v>1.0032987895620962</v>
      </c>
      <c r="G542" s="1087">
        <v>1.0075903575430984</v>
      </c>
      <c r="H542" s="1087">
        <v>1.0113923814394297</v>
      </c>
      <c r="I542" s="1087">
        <v>0.96747179390521043</v>
      </c>
      <c r="K542">
        <v>1.8049879905462725</v>
      </c>
      <c r="L542">
        <v>0</v>
      </c>
      <c r="M542">
        <v>3.7516033302080394E-3</v>
      </c>
      <c r="N542">
        <v>0.33282302274762182</v>
      </c>
      <c r="O542">
        <v>0.23557747325622455</v>
      </c>
      <c r="P542">
        <v>1.2708130411039149E-2</v>
      </c>
      <c r="Q542">
        <v>1.5081111362481628E-3</v>
      </c>
      <c r="R542">
        <v>3.7452247362622401E-3</v>
      </c>
      <c r="S542">
        <v>0.34602501588805024</v>
      </c>
      <c r="T542">
        <v>0.40388793904750353</v>
      </c>
      <c r="U542">
        <v>0</v>
      </c>
      <c r="V542">
        <v>0.1972009478009524</v>
      </c>
      <c r="W542">
        <v>0.21499394678014297</v>
      </c>
      <c r="X542">
        <v>5.0076514953332769E-2</v>
      </c>
      <c r="Y542">
        <v>1.019326711910332E-2</v>
      </c>
    </row>
    <row r="543" spans="1:25" x14ac:dyDescent="0.25">
      <c r="A543" s="1083"/>
      <c r="B543" s="1455">
        <v>293</v>
      </c>
      <c r="C543" s="1087">
        <v>0.97923159943129789</v>
      </c>
      <c r="D543" s="1087">
        <v>0.98713978190107377</v>
      </c>
      <c r="E543" s="1087">
        <v>1.02408694922004</v>
      </c>
      <c r="F543" s="1087">
        <v>0.97199901157990043</v>
      </c>
      <c r="G543" s="1087">
        <v>0.96389792947120123</v>
      </c>
      <c r="H543" s="1087">
        <v>0.98678876895446976</v>
      </c>
      <c r="I543" s="1087">
        <v>1.0080420819944103</v>
      </c>
      <c r="K543">
        <v>1.8718659844384946</v>
      </c>
      <c r="L543">
        <v>0</v>
      </c>
      <c r="M543">
        <v>3.5121334206183173E-3</v>
      </c>
      <c r="N543">
        <v>0.3588890684379723</v>
      </c>
      <c r="O543">
        <v>0.23948374945822057</v>
      </c>
      <c r="P543">
        <v>1.3449067476124442E-2</v>
      </c>
      <c r="Q543">
        <v>1.6676876143818604E-3</v>
      </c>
      <c r="R543">
        <v>3.5060267967596853E-3</v>
      </c>
      <c r="S543">
        <v>0.37637368365310153</v>
      </c>
      <c r="T543">
        <v>0.39156096773049337</v>
      </c>
      <c r="U543">
        <v>0</v>
      </c>
      <c r="V543">
        <v>0.20038562019460454</v>
      </c>
      <c r="W543">
        <v>0.22521989211747248</v>
      </c>
      <c r="X543">
        <v>5.530010520062642E-2</v>
      </c>
      <c r="Y543">
        <v>9.5422491793569313E-3</v>
      </c>
    </row>
    <row r="544" spans="1:25" x14ac:dyDescent="0.25">
      <c r="A544" s="1083"/>
      <c r="B544" s="1455">
        <v>294</v>
      </c>
      <c r="C544" s="1087">
        <v>1.0076519441399334</v>
      </c>
      <c r="D544" s="1087">
        <v>1.0206794508882062</v>
      </c>
      <c r="E544" s="1087">
        <v>1.0028857622815823</v>
      </c>
      <c r="F544" s="1087">
        <v>1.0328989337776977</v>
      </c>
      <c r="G544" s="1087">
        <v>0.98317776010793267</v>
      </c>
      <c r="H544" s="1087">
        <v>1.0369532770783203</v>
      </c>
      <c r="I544" s="1087">
        <v>1.0062501461173627</v>
      </c>
      <c r="K544">
        <v>1.8781663423280754</v>
      </c>
      <c r="L544">
        <v>0</v>
      </c>
      <c r="M544">
        <v>3.6786148766856704E-3</v>
      </c>
      <c r="N544">
        <v>0.35239982679319465</v>
      </c>
      <c r="O544">
        <v>0.23955029209360443</v>
      </c>
      <c r="P544">
        <v>1.34515647993412E-2</v>
      </c>
      <c r="Q544">
        <v>1.5636584743633458E-3</v>
      </c>
      <c r="R544">
        <v>3.6724991858169921E-3</v>
      </c>
      <c r="S544">
        <v>0.36715175114023396</v>
      </c>
      <c r="T544">
        <v>0.41595999987705112</v>
      </c>
      <c r="U544">
        <v>0</v>
      </c>
      <c r="V544">
        <v>0.20063516206390314</v>
      </c>
      <c r="W544">
        <v>0.22406674050785039</v>
      </c>
      <c r="X544">
        <v>5.3398130124638767E-2</v>
      </c>
      <c r="Y544">
        <v>9.995332144762616E-3</v>
      </c>
    </row>
    <row r="545" spans="1:25" x14ac:dyDescent="0.25">
      <c r="A545" s="1083"/>
      <c r="B545" s="1455">
        <v>295</v>
      </c>
      <c r="C545" s="1087">
        <v>0.97144233867823682</v>
      </c>
      <c r="D545" s="1087">
        <v>0.97303064294721242</v>
      </c>
      <c r="E545" s="1087">
        <v>1.0220423881528906</v>
      </c>
      <c r="F545" s="1087">
        <v>0.99605467298423445</v>
      </c>
      <c r="G545" s="1087">
        <v>1.0019065551918813</v>
      </c>
      <c r="H545" s="1087">
        <v>0.98915103440417518</v>
      </c>
      <c r="I545" s="1087">
        <v>1.0024068871273704</v>
      </c>
      <c r="K545">
        <v>1.9062486977784125</v>
      </c>
      <c r="L545">
        <v>0</v>
      </c>
      <c r="M545">
        <v>3.5917808293201591E-3</v>
      </c>
      <c r="N545">
        <v>0.36475164869953203</v>
      </c>
      <c r="O545">
        <v>0.24480517126891535</v>
      </c>
      <c r="P545">
        <v>1.3675720140729193E-2</v>
      </c>
      <c r="Q545">
        <v>1.6871316025711485E-3</v>
      </c>
      <c r="R545">
        <v>3.5855636527646461E-3</v>
      </c>
      <c r="S545">
        <v>0.38073612717017707</v>
      </c>
      <c r="T545">
        <v>0.40123903323012688</v>
      </c>
      <c r="U545">
        <v>0</v>
      </c>
      <c r="V545">
        <v>0.20413579302521784</v>
      </c>
      <c r="W545">
        <v>0.22918651932156808</v>
      </c>
      <c r="X545">
        <v>5.6279048214044135E-2</v>
      </c>
      <c r="Y545">
        <v>9.7587222820848963E-3</v>
      </c>
    </row>
    <row r="546" spans="1:25" x14ac:dyDescent="0.25">
      <c r="A546" s="1083"/>
      <c r="B546" s="1455">
        <v>296</v>
      </c>
      <c r="C546" s="1087">
        <v>1.0100009913114183</v>
      </c>
      <c r="D546" s="1087">
        <v>0.97710940349626429</v>
      </c>
      <c r="E546" s="1087">
        <v>0.98965513011921369</v>
      </c>
      <c r="F546" s="1087">
        <v>0.9591378071710368</v>
      </c>
      <c r="G546" s="1087">
        <v>0.98120773941539341</v>
      </c>
      <c r="H546" s="1087">
        <v>0.99537671923321347</v>
      </c>
      <c r="I546" s="1087">
        <v>1.024037572497275</v>
      </c>
      <c r="K546">
        <v>1.8264576029182646</v>
      </c>
      <c r="L546">
        <v>0</v>
      </c>
      <c r="M546">
        <v>3.7061193878506439E-3</v>
      </c>
      <c r="N546">
        <v>0.34096158005076643</v>
      </c>
      <c r="O546">
        <v>0.23473769004594378</v>
      </c>
      <c r="P546">
        <v>1.2949825449250168E-2</v>
      </c>
      <c r="Q546">
        <v>1.5652167672677876E-3</v>
      </c>
      <c r="R546">
        <v>3.6997402869731045E-3</v>
      </c>
      <c r="S546">
        <v>0.37400277989244729</v>
      </c>
      <c r="T546">
        <v>0.38617887982223148</v>
      </c>
      <c r="U546">
        <v>0</v>
      </c>
      <c r="V546">
        <v>0.19628588277456552</v>
      </c>
      <c r="W546">
        <v>0.2185986570759644</v>
      </c>
      <c r="X546">
        <v>5.1113996698622148E-2</v>
      </c>
      <c r="Y546">
        <v>1.0069473442082972E-2</v>
      </c>
    </row>
    <row r="547" spans="1:25" x14ac:dyDescent="0.25">
      <c r="A547" s="1083"/>
      <c r="B547" s="1455">
        <v>297</v>
      </c>
      <c r="C547" s="1087">
        <v>1.0020818289189704</v>
      </c>
      <c r="D547" s="1087">
        <v>1.0053567779239778</v>
      </c>
      <c r="E547" s="1087">
        <v>0.9866658792284867</v>
      </c>
      <c r="F547" s="1087">
        <v>1.0314228703200676</v>
      </c>
      <c r="G547" s="1087">
        <v>0.96447372796107211</v>
      </c>
      <c r="H547" s="1087">
        <v>0.99493569244732105</v>
      </c>
      <c r="I547" s="1087">
        <v>0.97288572500000126</v>
      </c>
      <c r="K547">
        <v>1.8415587323108058</v>
      </c>
      <c r="L547">
        <v>0</v>
      </c>
      <c r="M547">
        <v>3.6997059555424782E-3</v>
      </c>
      <c r="N547">
        <v>0.33727553252599979</v>
      </c>
      <c r="O547">
        <v>0.24139525731753286</v>
      </c>
      <c r="P547">
        <v>1.3097171348335849E-2</v>
      </c>
      <c r="Q547">
        <v>1.5547137675211652E-3</v>
      </c>
      <c r="R547">
        <v>3.693310406114929E-3</v>
      </c>
      <c r="S547">
        <v>0.35242860830016481</v>
      </c>
      <c r="T547">
        <v>0.41526458394955229</v>
      </c>
      <c r="U547">
        <v>0</v>
      </c>
      <c r="V547">
        <v>0.201844273174627</v>
      </c>
      <c r="W547">
        <v>0.21664331975698309</v>
      </c>
      <c r="X547">
        <v>5.200969429352089E-2</v>
      </c>
      <c r="Y547">
        <v>1.0051973425996669E-2</v>
      </c>
    </row>
    <row r="548" spans="1:25" x14ac:dyDescent="0.25">
      <c r="A548" s="1083"/>
      <c r="B548" s="1455">
        <v>298</v>
      </c>
      <c r="C548" s="1087">
        <v>1.0020022854057382</v>
      </c>
      <c r="D548" s="1087">
        <v>0.96783099071055478</v>
      </c>
      <c r="E548" s="1087">
        <v>1.0170222133682749</v>
      </c>
      <c r="F548" s="1087">
        <v>1.0201895825536758</v>
      </c>
      <c r="G548" s="1087">
        <v>0.98646660035319444</v>
      </c>
      <c r="H548" s="1087">
        <v>0.9960026250177908</v>
      </c>
      <c r="I548" s="1087">
        <v>0.95270500098847855</v>
      </c>
      <c r="K548">
        <v>1.8710988200538348</v>
      </c>
      <c r="L548">
        <v>0</v>
      </c>
      <c r="M548">
        <v>3.5538024164812163E-3</v>
      </c>
      <c r="N548">
        <v>0.35542068852301345</v>
      </c>
      <c r="O548">
        <v>0.2444171130265802</v>
      </c>
      <c r="P548">
        <v>1.3363312624963821E-2</v>
      </c>
      <c r="Q548">
        <v>1.6305275663374725E-3</v>
      </c>
      <c r="R548">
        <v>3.5476993860283994E-3</v>
      </c>
      <c r="S548">
        <v>0.35305908269076341</v>
      </c>
      <c r="T548">
        <v>0.41092980017650016</v>
      </c>
      <c r="U548">
        <v>0</v>
      </c>
      <c r="V548">
        <v>0.20314982241771093</v>
      </c>
      <c r="W548">
        <v>0.22401492135693499</v>
      </c>
      <c r="X548">
        <v>5.5463986471499797E-2</v>
      </c>
      <c r="Y548">
        <v>9.6556682299810074E-3</v>
      </c>
    </row>
    <row r="549" spans="1:25" x14ac:dyDescent="0.25">
      <c r="A549" s="1083"/>
      <c r="B549" s="1455">
        <v>299</v>
      </c>
      <c r="C549" s="1087">
        <v>0.98328289292492377</v>
      </c>
      <c r="D549" s="1087">
        <v>1.0008547387742244</v>
      </c>
      <c r="E549" s="1087">
        <v>0.97025723591225166</v>
      </c>
      <c r="F549" s="1087">
        <v>1.0267088852901587</v>
      </c>
      <c r="G549" s="1087">
        <v>0.98715167516458591</v>
      </c>
      <c r="H549" s="1087">
        <v>1.0130089928353487</v>
      </c>
      <c r="I549" s="1087">
        <v>1.0198679600408664</v>
      </c>
      <c r="K549">
        <v>1.8869522553784686</v>
      </c>
      <c r="L549">
        <v>0</v>
      </c>
      <c r="M549">
        <v>3.9798375144751204E-3</v>
      </c>
      <c r="N549">
        <v>0.34507684891643192</v>
      </c>
      <c r="O549">
        <v>0.24341875348366585</v>
      </c>
      <c r="P549">
        <v>1.3309307986387684E-2</v>
      </c>
      <c r="Q549">
        <v>1.55946639530129E-3</v>
      </c>
      <c r="R549">
        <v>3.9730858754535156E-3</v>
      </c>
      <c r="S549">
        <v>0.38068212980767152</v>
      </c>
      <c r="T549">
        <v>0.4132661770334296</v>
      </c>
      <c r="U549">
        <v>0</v>
      </c>
      <c r="V549">
        <v>0.20365485175021533</v>
      </c>
      <c r="W549">
        <v>0.22397618254390225</v>
      </c>
      <c r="X549">
        <v>5.120185907490498E-2</v>
      </c>
      <c r="Y549">
        <v>1.0813430025577622E-2</v>
      </c>
    </row>
    <row r="550" spans="1:25" x14ac:dyDescent="0.25">
      <c r="A550" s="1083"/>
      <c r="B550" s="1455">
        <v>300</v>
      </c>
      <c r="C550" s="1087">
        <v>1.0181731100500953</v>
      </c>
      <c r="D550" s="1087">
        <v>1.0196192106221174</v>
      </c>
      <c r="E550" s="1087">
        <v>1.0044339156315394</v>
      </c>
      <c r="F550" s="1087">
        <v>0.98898324146662331</v>
      </c>
      <c r="G550" s="1087">
        <v>1.0278736825745558</v>
      </c>
      <c r="H550" s="1087">
        <v>0.99981125635811385</v>
      </c>
      <c r="I550" s="1087">
        <v>0.966598657350068</v>
      </c>
      <c r="K550">
        <v>1.7975636367418661</v>
      </c>
      <c r="L550">
        <v>0</v>
      </c>
      <c r="M550">
        <v>3.501896051352925E-3</v>
      </c>
      <c r="N550">
        <v>0.33703833890061052</v>
      </c>
      <c r="O550">
        <v>0.23343209359100683</v>
      </c>
      <c r="P550">
        <v>1.2829303359091312E-2</v>
      </c>
      <c r="Q550">
        <v>1.5506952725584772E-3</v>
      </c>
      <c r="R550">
        <v>3.4958601951813372E-3</v>
      </c>
      <c r="S550">
        <v>0.34296943261281043</v>
      </c>
      <c r="T550">
        <v>0.39828395869382976</v>
      </c>
      <c r="U550">
        <v>0</v>
      </c>
      <c r="V550">
        <v>0.195907819793597</v>
      </c>
      <c r="W550">
        <v>0.21409280298224334</v>
      </c>
      <c r="X550">
        <v>5.1950648351009564E-2</v>
      </c>
      <c r="Y550">
        <v>9.5145790412799764E-3</v>
      </c>
    </row>
    <row r="551" spans="1:25" x14ac:dyDescent="0.25">
      <c r="A551" s="1083"/>
      <c r="B551" s="1455">
        <v>301</v>
      </c>
      <c r="C551" s="1087">
        <v>1.0364367454688246</v>
      </c>
      <c r="D551" s="1087">
        <v>1.0231184190753757</v>
      </c>
      <c r="E551" s="1087">
        <v>0.97975020946196689</v>
      </c>
      <c r="F551" s="1087">
        <v>1.0024110645300495</v>
      </c>
      <c r="G551" s="1087">
        <v>1.0094331947839879</v>
      </c>
      <c r="H551" s="1087">
        <v>1.0465176099742741</v>
      </c>
      <c r="I551" s="1087">
        <v>0.95426012176147956</v>
      </c>
      <c r="K551">
        <v>1.7988409396590868</v>
      </c>
      <c r="L551">
        <v>0</v>
      </c>
      <c r="M551">
        <v>3.7789106147987596E-3</v>
      </c>
      <c r="N551">
        <v>0.33732033883039692</v>
      </c>
      <c r="O551">
        <v>0.23213142064890527</v>
      </c>
      <c r="P551">
        <v>1.2601737195463737E-2</v>
      </c>
      <c r="Q551">
        <v>1.4816314695876964E-3</v>
      </c>
      <c r="R551">
        <v>3.7726829780429893E-3</v>
      </c>
      <c r="S551">
        <v>0.33938282563565841</v>
      </c>
      <c r="T551">
        <v>0.40354254695305736</v>
      </c>
      <c r="U551">
        <v>0</v>
      </c>
      <c r="V551">
        <v>0.19483278410931248</v>
      </c>
      <c r="W551">
        <v>0.21762235849589881</v>
      </c>
      <c r="X551">
        <v>4.9663524555939809E-2</v>
      </c>
      <c r="Y551">
        <v>1.0267999401623545E-2</v>
      </c>
    </row>
    <row r="552" spans="1:25" x14ac:dyDescent="0.25">
      <c r="A552" s="1083"/>
      <c r="B552" s="1455">
        <v>302</v>
      </c>
      <c r="C552" s="1087">
        <v>1.0037681092225303</v>
      </c>
      <c r="D552" s="1087">
        <v>0.97365638287184075</v>
      </c>
      <c r="E552" s="1087">
        <v>0.97078520211862873</v>
      </c>
      <c r="F552" s="1087">
        <v>1.0283052972471152</v>
      </c>
      <c r="G552" s="1087">
        <v>1.0080247985135176</v>
      </c>
      <c r="H552" s="1087">
        <v>1.0002816819141098</v>
      </c>
      <c r="I552" s="1087">
        <v>0.97493620384888702</v>
      </c>
      <c r="K552">
        <v>1.8557630534476</v>
      </c>
      <c r="L552">
        <v>0</v>
      </c>
      <c r="M552">
        <v>3.903139551171888E-3</v>
      </c>
      <c r="N552">
        <v>0.33896845833333178</v>
      </c>
      <c r="O552">
        <v>0.24386936593377675</v>
      </c>
      <c r="P552">
        <v>1.3035207161412911E-2</v>
      </c>
      <c r="Q552">
        <v>1.5454513559415108E-3</v>
      </c>
      <c r="R552">
        <v>3.8964595949339208E-3</v>
      </c>
      <c r="S552">
        <v>0.35970328802962898</v>
      </c>
      <c r="T552">
        <v>0.4139119769076568</v>
      </c>
      <c r="U552">
        <v>0</v>
      </c>
      <c r="V552">
        <v>0.20305007490011226</v>
      </c>
      <c r="W552">
        <v>0.21993726083274254</v>
      </c>
      <c r="X552">
        <v>5.1143771399385966E-2</v>
      </c>
      <c r="Y552">
        <v>1.0604878549849872E-2</v>
      </c>
    </row>
    <row r="553" spans="1:25" x14ac:dyDescent="0.25">
      <c r="A553" s="1083"/>
      <c r="B553" s="1455">
        <v>303</v>
      </c>
      <c r="C553" s="1087">
        <v>0.98989397011238334</v>
      </c>
      <c r="D553" s="1087">
        <v>1.0097853117752855</v>
      </c>
      <c r="E553" s="1087">
        <v>0.99740555178902124</v>
      </c>
      <c r="F553" s="1087">
        <v>0.97464263103982574</v>
      </c>
      <c r="G553" s="1087">
        <v>0.99748449396021011</v>
      </c>
      <c r="H553" s="1087">
        <v>0.99137946127757592</v>
      </c>
      <c r="I553" s="1087">
        <v>1.0240813361464109</v>
      </c>
      <c r="K553">
        <v>1.8393803507129842</v>
      </c>
      <c r="L553">
        <v>0</v>
      </c>
      <c r="M553">
        <v>3.6425387477137354E-3</v>
      </c>
      <c r="N553">
        <v>0.34313153518348127</v>
      </c>
      <c r="O553">
        <v>0.2359484028886315</v>
      </c>
      <c r="P553">
        <v>1.3137444882472815E-2</v>
      </c>
      <c r="Q553">
        <v>1.5892491656108933E-3</v>
      </c>
      <c r="R553">
        <v>3.6362160843832095E-3</v>
      </c>
      <c r="S553">
        <v>0.37410827534953306</v>
      </c>
      <c r="T553">
        <v>0.392467165705913</v>
      </c>
      <c r="U553">
        <v>0</v>
      </c>
      <c r="V553">
        <v>0.19812785815624251</v>
      </c>
      <c r="W553">
        <v>0.2189219336103142</v>
      </c>
      <c r="X553">
        <v>5.2058226930734003E-2</v>
      </c>
      <c r="Y553">
        <v>9.8965815033810328E-3</v>
      </c>
    </row>
    <row r="554" spans="1:25" x14ac:dyDescent="0.25">
      <c r="A554" s="1083"/>
      <c r="B554" s="1455">
        <v>304</v>
      </c>
      <c r="C554" s="1087">
        <v>0.99851763585559139</v>
      </c>
      <c r="D554" s="1087">
        <v>0.99854113892299878</v>
      </c>
      <c r="E554" s="1087">
        <v>1.0149331575924627</v>
      </c>
      <c r="F554" s="1087">
        <v>0.97639779562735585</v>
      </c>
      <c r="G554" s="1087">
        <v>1.0449845353065661</v>
      </c>
      <c r="H554" s="1087">
        <v>1.015458756317188</v>
      </c>
      <c r="I554" s="1087">
        <v>1.0030244788143039</v>
      </c>
      <c r="K554">
        <v>1.8583262460687946</v>
      </c>
      <c r="L554">
        <v>0</v>
      </c>
      <c r="M554">
        <v>3.5899784109699054E-3</v>
      </c>
      <c r="N554">
        <v>0.35676875094801486</v>
      </c>
      <c r="O554">
        <v>0.23646623585075671</v>
      </c>
      <c r="P554">
        <v>1.3263997283608117E-2</v>
      </c>
      <c r="Q554">
        <v>1.6123366189170489E-3</v>
      </c>
      <c r="R554">
        <v>3.5839041649768093E-3</v>
      </c>
      <c r="S554">
        <v>0.3700997435098583</v>
      </c>
      <c r="T554">
        <v>0.39327808017733479</v>
      </c>
      <c r="U554">
        <v>0</v>
      </c>
      <c r="V554">
        <v>0.19804449636176544</v>
      </c>
      <c r="W554">
        <v>0.2251547801067337</v>
      </c>
      <c r="X554">
        <v>5.3889693754421542E-2</v>
      </c>
      <c r="Y554">
        <v>9.7542057033764059E-3</v>
      </c>
    </row>
    <row r="555" spans="1:25" x14ac:dyDescent="0.25">
      <c r="A555" s="1083"/>
      <c r="B555" s="1455">
        <v>305</v>
      </c>
      <c r="C555" s="1087">
        <v>0.97654087896653929</v>
      </c>
      <c r="D555" s="1087">
        <v>1.0376556268350459</v>
      </c>
      <c r="E555" s="1087">
        <v>0.992687581309739</v>
      </c>
      <c r="F555" s="1087">
        <v>1.0017104497729632</v>
      </c>
      <c r="G555" s="1087">
        <v>0.98801656239780244</v>
      </c>
      <c r="H555" s="1087">
        <v>0.98978452520993754</v>
      </c>
      <c r="I555" s="1087">
        <v>1.017342904610737</v>
      </c>
      <c r="K555">
        <v>1.8479723868506017</v>
      </c>
      <c r="L555">
        <v>0</v>
      </c>
      <c r="M555">
        <v>3.668182754271017E-3</v>
      </c>
      <c r="N555">
        <v>0.34060282558126509</v>
      </c>
      <c r="O555">
        <v>0.23803826918689175</v>
      </c>
      <c r="P555">
        <v>1.3225166754243671E-2</v>
      </c>
      <c r="Q555">
        <v>1.5855195769599083E-3</v>
      </c>
      <c r="R555">
        <v>3.6617816243094681E-3</v>
      </c>
      <c r="S555">
        <v>0.37077853470481037</v>
      </c>
      <c r="T555">
        <v>0.40333824667410118</v>
      </c>
      <c r="U555">
        <v>0</v>
      </c>
      <c r="V555">
        <v>0.20046656940725738</v>
      </c>
      <c r="W555">
        <v>0.21795253543353604</v>
      </c>
      <c r="X555">
        <v>5.2024958186111858E-2</v>
      </c>
      <c r="Y555">
        <v>9.9661624753823348E-3</v>
      </c>
    </row>
    <row r="556" spans="1:25" x14ac:dyDescent="0.25">
      <c r="A556" s="1083"/>
      <c r="B556" s="1455">
        <v>306</v>
      </c>
      <c r="C556" s="1087">
        <v>0.98769344308365359</v>
      </c>
      <c r="D556" s="1087">
        <v>1.0233088432300592</v>
      </c>
      <c r="E556" s="1087">
        <v>0.98252617091896732</v>
      </c>
      <c r="F556" s="1087">
        <v>0.95894043650367933</v>
      </c>
      <c r="G556" s="1087">
        <v>0.97091104250483362</v>
      </c>
      <c r="H556" s="1087">
        <v>1.0074118429505039</v>
      </c>
      <c r="I556" s="1087">
        <v>0.98214013831710201</v>
      </c>
      <c r="K556">
        <v>1.8113047692618018</v>
      </c>
      <c r="L556">
        <v>0</v>
      </c>
      <c r="M556">
        <v>3.7966982714317077E-3</v>
      </c>
      <c r="N556">
        <v>0.34177364042035979</v>
      </c>
      <c r="O556">
        <v>0.2328274210419338</v>
      </c>
      <c r="P556">
        <v>1.2684332572166687E-2</v>
      </c>
      <c r="Q556">
        <v>1.5592859188780755E-3</v>
      </c>
      <c r="R556">
        <v>3.7902006728009314E-3</v>
      </c>
      <c r="S556">
        <v>0.35963732532408704</v>
      </c>
      <c r="T556">
        <v>0.3860584033907753</v>
      </c>
      <c r="U556">
        <v>0</v>
      </c>
      <c r="V556">
        <v>0.1962192080830652</v>
      </c>
      <c r="W556">
        <v>0.22010782621485506</v>
      </c>
      <c r="X556">
        <v>5.0128147102261586E-2</v>
      </c>
      <c r="Y556">
        <v>1.0315676792048142E-2</v>
      </c>
    </row>
    <row r="557" spans="1:25" x14ac:dyDescent="0.25">
      <c r="A557" s="1083"/>
      <c r="B557" s="1455">
        <v>307</v>
      </c>
      <c r="C557" s="1087">
        <v>0.99791446897049296</v>
      </c>
      <c r="D557" s="1087">
        <v>1.0139504127877044</v>
      </c>
      <c r="E557" s="1087">
        <v>1.003294696639899</v>
      </c>
      <c r="F557" s="1087">
        <v>1.0021724718743235</v>
      </c>
      <c r="G557" s="1087">
        <v>0.98213440179343403</v>
      </c>
      <c r="H557" s="1087">
        <v>0.97684630395088601</v>
      </c>
      <c r="I557" s="1087">
        <v>0.99168287605655181</v>
      </c>
      <c r="K557">
        <v>1.8245694525018488</v>
      </c>
      <c r="L557">
        <v>0</v>
      </c>
      <c r="M557">
        <v>3.5099619047417891E-3</v>
      </c>
      <c r="N557">
        <v>0.33662943181142402</v>
      </c>
      <c r="O557">
        <v>0.2379173977371323</v>
      </c>
      <c r="P557">
        <v>1.3118023978986959E-2</v>
      </c>
      <c r="Q557">
        <v>1.5837883153069444E-3</v>
      </c>
      <c r="R557">
        <v>3.503775357179848E-3</v>
      </c>
      <c r="S557">
        <v>0.35601577998884543</v>
      </c>
      <c r="T557">
        <v>0.40358859724984258</v>
      </c>
      <c r="U557">
        <v>0</v>
      </c>
      <c r="V557">
        <v>0.19945779048023243</v>
      </c>
      <c r="W557">
        <v>0.21398487858739584</v>
      </c>
      <c r="X557">
        <v>5.2743829397236507E-2</v>
      </c>
      <c r="Y557">
        <v>9.5361215030074723E-3</v>
      </c>
    </row>
    <row r="558" spans="1:25" x14ac:dyDescent="0.25">
      <c r="A558" s="1083"/>
      <c r="B558" s="1455">
        <v>308</v>
      </c>
      <c r="C558" s="1087">
        <v>1.0325764965502113</v>
      </c>
      <c r="D558" s="1087">
        <v>0.97407324151124686</v>
      </c>
      <c r="E558" s="1087">
        <v>0.99493479603230872</v>
      </c>
      <c r="F558" s="1087">
        <v>0.97895086671280462</v>
      </c>
      <c r="G558" s="1087">
        <v>1.0318715681245423</v>
      </c>
      <c r="H558" s="1087">
        <v>0.99469474845501904</v>
      </c>
      <c r="I558" s="1087">
        <v>0.99411251638820164</v>
      </c>
      <c r="K558">
        <v>1.8065187883153853</v>
      </c>
      <c r="L558">
        <v>0</v>
      </c>
      <c r="M558">
        <v>3.590473316397471E-3</v>
      </c>
      <c r="N558">
        <v>0.33569042669555144</v>
      </c>
      <c r="O558">
        <v>0.23492126732532226</v>
      </c>
      <c r="P558">
        <v>1.2856408345226967E-2</v>
      </c>
      <c r="Q558">
        <v>1.5415859433247621E-3</v>
      </c>
      <c r="R558">
        <v>3.5842929377001643E-3</v>
      </c>
      <c r="S558">
        <v>0.35572238004376239</v>
      </c>
      <c r="T558">
        <v>0.39418738191235675</v>
      </c>
      <c r="U558">
        <v>0</v>
      </c>
      <c r="V558">
        <v>0.19590527613027256</v>
      </c>
      <c r="W558">
        <v>0.2145062695557341</v>
      </c>
      <c r="X558">
        <v>5.143870892796025E-2</v>
      </c>
      <c r="Y558">
        <v>9.7552638145704858E-3</v>
      </c>
    </row>
    <row r="559" spans="1:25" x14ac:dyDescent="0.25">
      <c r="A559" s="1083"/>
      <c r="B559" s="1455">
        <v>309</v>
      </c>
      <c r="C559" s="1087">
        <v>1.0025361330805052</v>
      </c>
      <c r="D559" s="1087">
        <v>0.99189386910416077</v>
      </c>
      <c r="E559" s="1087">
        <v>1.0059659816608031</v>
      </c>
      <c r="F559" s="1087">
        <v>0.99699538109575458</v>
      </c>
      <c r="G559" s="1087">
        <v>1.0127111646401299</v>
      </c>
      <c r="H559" s="1087">
        <v>1.0034183972496868</v>
      </c>
      <c r="I559" s="1087">
        <v>1.0005033091344118</v>
      </c>
      <c r="K559">
        <v>1.8559759839160983</v>
      </c>
      <c r="L559">
        <v>0</v>
      </c>
      <c r="M559">
        <v>3.6119269936757737E-3</v>
      </c>
      <c r="N559">
        <v>0.34926124733117364</v>
      </c>
      <c r="O559">
        <v>0.23897288042720463</v>
      </c>
      <c r="P559">
        <v>1.3266441924712572E-2</v>
      </c>
      <c r="Q559">
        <v>1.5949397105506748E-3</v>
      </c>
      <c r="R559">
        <v>3.6057484310291392E-3</v>
      </c>
      <c r="S559">
        <v>0.36676976927102156</v>
      </c>
      <c r="T559">
        <v>0.40151990192522674</v>
      </c>
      <c r="U559">
        <v>0</v>
      </c>
      <c r="V559">
        <v>0.19970047124301285</v>
      </c>
      <c r="W559">
        <v>0.2216455662861285</v>
      </c>
      <c r="X559">
        <v>5.343728576510394E-2</v>
      </c>
      <c r="Y559">
        <v>9.8136585946104801E-3</v>
      </c>
    </row>
    <row r="560" spans="1:25" x14ac:dyDescent="0.25">
      <c r="A560" s="1083"/>
      <c r="B560" s="1455">
        <v>310</v>
      </c>
      <c r="C560" s="1087">
        <v>0.97800700408888486</v>
      </c>
      <c r="D560" s="1087">
        <v>0.96273290350176988</v>
      </c>
      <c r="E560" s="1087">
        <v>0.96322191153603354</v>
      </c>
      <c r="F560" s="1087">
        <v>1.0227122535537101</v>
      </c>
      <c r="G560" s="1087">
        <v>1.01010836965777</v>
      </c>
      <c r="H560" s="1087">
        <v>0.99863288138246531</v>
      </c>
      <c r="I560" s="1087">
        <v>0.97404565948314681</v>
      </c>
      <c r="K560">
        <v>1.8856577063159741</v>
      </c>
      <c r="L560">
        <v>0</v>
      </c>
      <c r="M560">
        <v>4.0860737147343108E-3</v>
      </c>
      <c r="N560">
        <v>0.34673945254039606</v>
      </c>
      <c r="O560">
        <v>0.24744571954561401</v>
      </c>
      <c r="P560">
        <v>1.3114753150750863E-2</v>
      </c>
      <c r="Q560">
        <v>1.580324055919208E-3</v>
      </c>
      <c r="R560">
        <v>4.0790799902506369E-3</v>
      </c>
      <c r="S560">
        <v>0.3707643728283585</v>
      </c>
      <c r="T560">
        <v>0.41161492633399122</v>
      </c>
      <c r="U560">
        <v>0</v>
      </c>
      <c r="V560">
        <v>0.20596943159219949</v>
      </c>
      <c r="W560">
        <v>0.22607207351530922</v>
      </c>
      <c r="X560">
        <v>5.126173541281509E-2</v>
      </c>
      <c r="Y560">
        <v>1.1101911065104834E-2</v>
      </c>
    </row>
    <row r="561" spans="1:25" x14ac:dyDescent="0.25">
      <c r="A561" s="1083"/>
      <c r="B561" s="1455">
        <v>311</v>
      </c>
      <c r="C561" s="1087">
        <v>0.98553110334679583</v>
      </c>
      <c r="D561" s="1087">
        <v>0.9851168982128754</v>
      </c>
      <c r="E561" s="1087">
        <v>1.0173505098444746</v>
      </c>
      <c r="F561" s="1087">
        <v>1.0175315778942911</v>
      </c>
      <c r="G561" s="1087">
        <v>1.0183842278612247</v>
      </c>
      <c r="H561" s="1087">
        <v>0.99589819245514155</v>
      </c>
      <c r="I561" s="1087">
        <v>1.0183110085173399</v>
      </c>
      <c r="K561">
        <v>1.9022448498531097</v>
      </c>
      <c r="L561">
        <v>0</v>
      </c>
      <c r="M561">
        <v>3.5760231646381605E-3</v>
      </c>
      <c r="N561">
        <v>0.35799945935951305</v>
      </c>
      <c r="O561">
        <v>0.24435801040963626</v>
      </c>
      <c r="P561">
        <v>1.3731406309166217E-2</v>
      </c>
      <c r="Q561">
        <v>1.6466519433146977E-3</v>
      </c>
      <c r="R561">
        <v>3.5698660648469599E-3</v>
      </c>
      <c r="S561">
        <v>0.37990936420745891</v>
      </c>
      <c r="T561">
        <v>0.40986121114043472</v>
      </c>
      <c r="U561">
        <v>0</v>
      </c>
      <c r="V561">
        <v>0.20376569647597517</v>
      </c>
      <c r="W561">
        <v>0.22559458472814753</v>
      </c>
      <c r="X561">
        <v>5.5668623756772437E-2</v>
      </c>
      <c r="Y561">
        <v>9.7159986224814223E-3</v>
      </c>
    </row>
    <row r="562" spans="1:25" x14ac:dyDescent="0.25">
      <c r="A562" s="1083"/>
      <c r="B562" s="1455">
        <v>312</v>
      </c>
      <c r="C562" s="1087">
        <v>1.0086905810855749</v>
      </c>
      <c r="D562" s="1087">
        <v>1.0121051346758361</v>
      </c>
      <c r="E562" s="1087">
        <v>1.0248918500835185</v>
      </c>
      <c r="F562" s="1087">
        <v>0.98608850422747218</v>
      </c>
      <c r="G562" s="1087">
        <v>0.99314067610888701</v>
      </c>
      <c r="H562" s="1087">
        <v>1.0050033255149911</v>
      </c>
      <c r="I562" s="1087">
        <v>1.0048551062566453</v>
      </c>
      <c r="K562">
        <v>1.8410084092473495</v>
      </c>
      <c r="L562">
        <v>0</v>
      </c>
      <c r="M562">
        <v>3.4211339495859544E-3</v>
      </c>
      <c r="N562">
        <v>0.3504575717276826</v>
      </c>
      <c r="O562">
        <v>0.23523186815867067</v>
      </c>
      <c r="P562">
        <v>1.3298921771977015E-2</v>
      </c>
      <c r="Q562">
        <v>1.6042468102340189E-3</v>
      </c>
      <c r="R562">
        <v>3.4152742940282803E-3</v>
      </c>
      <c r="S562">
        <v>0.36254849123402155</v>
      </c>
      <c r="T562">
        <v>0.39724168350089867</v>
      </c>
      <c r="U562">
        <v>0</v>
      </c>
      <c r="V562">
        <v>0.19716014266242227</v>
      </c>
      <c r="W562">
        <v>0.21982016171661226</v>
      </c>
      <c r="X562">
        <v>5.4355930536908938E-2</v>
      </c>
      <c r="Y562">
        <v>9.2952507834765264E-3</v>
      </c>
    </row>
    <row r="563" spans="1:25" x14ac:dyDescent="0.25">
      <c r="A563" s="1083"/>
      <c r="B563" s="1455">
        <v>313</v>
      </c>
      <c r="C563" s="1087">
        <v>1.0119142259578133</v>
      </c>
      <c r="D563" s="1087">
        <v>1.0035104035779037</v>
      </c>
      <c r="E563" s="1087">
        <v>0.96703837528305048</v>
      </c>
      <c r="F563" s="1087">
        <v>1.0162997274134054</v>
      </c>
      <c r="G563" s="1087">
        <v>0.9991914766477239</v>
      </c>
      <c r="H563" s="1087">
        <v>1.0041490037881631</v>
      </c>
      <c r="I563" s="1087">
        <v>1.019404666996087</v>
      </c>
      <c r="K563">
        <v>1.835057561313493</v>
      </c>
      <c r="L563">
        <v>0</v>
      </c>
      <c r="M563">
        <v>3.8524762820241654E-3</v>
      </c>
      <c r="N563">
        <v>0.33075597985219907</v>
      </c>
      <c r="O563">
        <v>0.23837250024714718</v>
      </c>
      <c r="P563">
        <v>1.2990000679098055E-2</v>
      </c>
      <c r="Q563">
        <v>1.5084691208297806E-3</v>
      </c>
      <c r="R563">
        <v>3.8458795496050819E-3</v>
      </c>
      <c r="S563">
        <v>0.36752076954900964</v>
      </c>
      <c r="T563">
        <v>0.40905695895383554</v>
      </c>
      <c r="U563">
        <v>0</v>
      </c>
      <c r="V563">
        <v>0.19949957600748014</v>
      </c>
      <c r="W563">
        <v>0.2151236220218172</v>
      </c>
      <c r="X563">
        <v>4.976906527432122E-2</v>
      </c>
      <c r="Y563">
        <v>1.0467216340172232E-2</v>
      </c>
    </row>
    <row r="564" spans="1:25" x14ac:dyDescent="0.25">
      <c r="A564" s="1083"/>
      <c r="B564" s="1455">
        <v>314</v>
      </c>
      <c r="C564" s="1087">
        <v>0.99926685670047399</v>
      </c>
      <c r="D564" s="1087">
        <v>0.98900228690027248</v>
      </c>
      <c r="E564" s="1087">
        <v>0.96680964458386909</v>
      </c>
      <c r="F564" s="1087">
        <v>1.0059146182666996</v>
      </c>
      <c r="G564" s="1087">
        <v>1.033563105367499</v>
      </c>
      <c r="H564" s="1087">
        <v>0.98793931166539906</v>
      </c>
      <c r="I564" s="1087">
        <v>0.97791676547457396</v>
      </c>
      <c r="K564">
        <v>1.8258029068537789</v>
      </c>
      <c r="L564">
        <v>0</v>
      </c>
      <c r="M564">
        <v>3.8708675602854336E-3</v>
      </c>
      <c r="N564">
        <v>0.33209442392652605</v>
      </c>
      <c r="O564">
        <v>0.24014876805609506</v>
      </c>
      <c r="P564">
        <v>1.2809199213939828E-2</v>
      </c>
      <c r="Q564">
        <v>1.5361046079167993E-3</v>
      </c>
      <c r="R564">
        <v>3.8641451805439971E-3</v>
      </c>
      <c r="S564">
        <v>0.35704544913567587</v>
      </c>
      <c r="T564">
        <v>0.40487562946274863</v>
      </c>
      <c r="U564">
        <v>0</v>
      </c>
      <c r="V564">
        <v>0.20074018355019427</v>
      </c>
      <c r="W564">
        <v>0.21602579784544107</v>
      </c>
      <c r="X564">
        <v>5.001714406865776E-2</v>
      </c>
      <c r="Y564">
        <v>1.0516929366324338E-2</v>
      </c>
    </row>
    <row r="565" spans="1:25" x14ac:dyDescent="0.25">
      <c r="A565" s="1083"/>
      <c r="B565" s="1455">
        <v>315</v>
      </c>
      <c r="C565" s="1087">
        <v>1.0097727345466729</v>
      </c>
      <c r="D565" s="1087">
        <v>0.9968697535899903</v>
      </c>
      <c r="E565" s="1087">
        <v>1.0033664388917192</v>
      </c>
      <c r="F565" s="1087">
        <v>0.97517889909190691</v>
      </c>
      <c r="G565" s="1087">
        <v>1.0043923012912357</v>
      </c>
      <c r="H565" s="1087">
        <v>0.97923200321623094</v>
      </c>
      <c r="I565" s="1087">
        <v>1.0033762484595379</v>
      </c>
      <c r="K565">
        <v>1.8110378298518333</v>
      </c>
      <c r="L565">
        <v>0</v>
      </c>
      <c r="M565">
        <v>3.5085936238202159E-3</v>
      </c>
      <c r="N565">
        <v>0.3365746962580019</v>
      </c>
      <c r="O565">
        <v>0.23498781610962663</v>
      </c>
      <c r="P565">
        <v>1.2984628306228839E-2</v>
      </c>
      <c r="Q565">
        <v>1.5759820856621396E-3</v>
      </c>
      <c r="R565">
        <v>3.5024389422517893E-3</v>
      </c>
      <c r="S565">
        <v>0.35976953859732619</v>
      </c>
      <c r="T565">
        <v>0.39271834023747593</v>
      </c>
      <c r="U565">
        <v>0</v>
      </c>
      <c r="V565">
        <v>0.19676945988556185</v>
      </c>
      <c r="W565">
        <v>0.21394051853296875</v>
      </c>
      <c r="X565">
        <v>5.2190520298425629E-2</v>
      </c>
      <c r="Y565">
        <v>9.5324842221223526E-3</v>
      </c>
    </row>
    <row r="566" spans="1:25" x14ac:dyDescent="0.25">
      <c r="A566" s="1083"/>
      <c r="B566" s="1455">
        <v>316</v>
      </c>
      <c r="C566" s="1087">
        <v>1.0232539048899636</v>
      </c>
      <c r="D566" s="1087">
        <v>0.99804880410141228</v>
      </c>
      <c r="E566" s="1087">
        <v>1.0477249456189195</v>
      </c>
      <c r="F566" s="1087">
        <v>1.004798788008112</v>
      </c>
      <c r="G566" s="1087">
        <v>1.0112497128055069</v>
      </c>
      <c r="H566" s="1087">
        <v>1.0340302151626932</v>
      </c>
      <c r="I566" s="1087">
        <v>1.010738885124348</v>
      </c>
      <c r="K566">
        <v>1.8825774855819246</v>
      </c>
      <c r="L566">
        <v>0</v>
      </c>
      <c r="M566">
        <v>3.3354814749551502E-3</v>
      </c>
      <c r="N566">
        <v>0.36629221260063533</v>
      </c>
      <c r="O566">
        <v>0.23739867195828923</v>
      </c>
      <c r="P566">
        <v>1.3715109749717834E-2</v>
      </c>
      <c r="Q566">
        <v>1.6287199239499916E-3</v>
      </c>
      <c r="R566">
        <v>3.3299393108124071E-3</v>
      </c>
      <c r="S566">
        <v>0.36773276495277624</v>
      </c>
      <c r="T566">
        <v>0.40492156663363599</v>
      </c>
      <c r="U566">
        <v>0</v>
      </c>
      <c r="V566">
        <v>0.19811022800466074</v>
      </c>
      <c r="W566">
        <v>0.22658437577081209</v>
      </c>
      <c r="X566">
        <v>5.7136381061757911E-2</v>
      </c>
      <c r="Y566">
        <v>9.0629970898325786E-3</v>
      </c>
    </row>
    <row r="567" spans="1:25" x14ac:dyDescent="0.25">
      <c r="A567" s="1083"/>
      <c r="B567" s="1455">
        <v>317</v>
      </c>
      <c r="C567" s="1087">
        <v>0.99856649728385571</v>
      </c>
      <c r="D567" s="1087">
        <v>0.96106669624034557</v>
      </c>
      <c r="E567" s="1087">
        <v>0.97719794240984903</v>
      </c>
      <c r="F567" s="1087">
        <v>1.0023613870870098</v>
      </c>
      <c r="G567" s="1087">
        <v>0.98795822879242512</v>
      </c>
      <c r="H567" s="1087">
        <v>1.0284466678281796</v>
      </c>
      <c r="I567" s="1087">
        <v>1.0080347662442197</v>
      </c>
      <c r="K567">
        <v>1.8923676504926614</v>
      </c>
      <c r="L567">
        <v>0</v>
      </c>
      <c r="M567">
        <v>4.0093229337944784E-3</v>
      </c>
      <c r="N567">
        <v>0.35510196067288319</v>
      </c>
      <c r="O567">
        <v>0.24280506792224135</v>
      </c>
      <c r="P567">
        <v>1.3244473288693414E-2</v>
      </c>
      <c r="Q567">
        <v>1.5724635146455294E-3</v>
      </c>
      <c r="R567">
        <v>4.0026607343443283E-3</v>
      </c>
      <c r="S567">
        <v>0.38189123575283052</v>
      </c>
      <c r="T567">
        <v>0.40350728739522296</v>
      </c>
      <c r="U567">
        <v>0</v>
      </c>
      <c r="V567">
        <v>0.20209733167409413</v>
      </c>
      <c r="W567">
        <v>0.22946579909117645</v>
      </c>
      <c r="X567">
        <v>5.1794770338193061E-2</v>
      </c>
      <c r="Y567">
        <v>1.0893923042128802E-2</v>
      </c>
    </row>
    <row r="568" spans="1:25" x14ac:dyDescent="0.25">
      <c r="A568" s="1083"/>
      <c r="B568" s="1455">
        <v>318</v>
      </c>
      <c r="C568" s="1087">
        <v>1.0005129295030886</v>
      </c>
      <c r="D568" s="1087">
        <v>0.99085495210864505</v>
      </c>
      <c r="E568" s="1087">
        <v>0.97910724088935486</v>
      </c>
      <c r="F568" s="1087">
        <v>1.0237388761916466</v>
      </c>
      <c r="G568" s="1087">
        <v>0.9815150757596891</v>
      </c>
      <c r="H568" s="1087">
        <v>1.0407378616961307</v>
      </c>
      <c r="I568" s="1087">
        <v>0.97800228359270791</v>
      </c>
      <c r="K568">
        <v>1.8810077205712226</v>
      </c>
      <c r="L568">
        <v>0</v>
      </c>
      <c r="M568">
        <v>3.9678436667322115E-3</v>
      </c>
      <c r="N568">
        <v>0.35348955868085158</v>
      </c>
      <c r="O568">
        <v>0.24207590132187762</v>
      </c>
      <c r="P568">
        <v>1.3163406993197929E-2</v>
      </c>
      <c r="Q568">
        <v>1.5535523028156442E-3</v>
      </c>
      <c r="R568">
        <v>3.9613006350410667E-3</v>
      </c>
      <c r="S568">
        <v>0.36579869087298478</v>
      </c>
      <c r="T568">
        <v>0.41212459576272059</v>
      </c>
      <c r="U568">
        <v>0</v>
      </c>
      <c r="V568">
        <v>0.20210754662196923</v>
      </c>
      <c r="W568">
        <v>0.2281470073507057</v>
      </c>
      <c r="X568">
        <v>5.1772649209611242E-2</v>
      </c>
      <c r="Y568">
        <v>1.0781354486178393E-2</v>
      </c>
    </row>
    <row r="569" spans="1:25" x14ac:dyDescent="0.25">
      <c r="A569" s="1083"/>
      <c r="B569" s="1455">
        <v>319</v>
      </c>
      <c r="C569" s="1087">
        <v>1.0121990647310872</v>
      </c>
      <c r="D569" s="1087">
        <v>1.0131514408080962</v>
      </c>
      <c r="E569" s="1087">
        <v>1.0379270188867209</v>
      </c>
      <c r="F569" s="1087">
        <v>0.95879950493342836</v>
      </c>
      <c r="G569" s="1087">
        <v>1.0002059199352016</v>
      </c>
      <c r="H569" s="1087">
        <v>1.0198772135198715</v>
      </c>
      <c r="I569" s="1087">
        <v>0.99900429151062842</v>
      </c>
      <c r="K569">
        <v>1.8352541946565961</v>
      </c>
      <c r="L569">
        <v>0</v>
      </c>
      <c r="M569">
        <v>3.3662614124585852E-3</v>
      </c>
      <c r="N569">
        <v>0.35880656580120668</v>
      </c>
      <c r="O569">
        <v>0.23167162414001108</v>
      </c>
      <c r="P569">
        <v>1.3223331180295898E-2</v>
      </c>
      <c r="Q569">
        <v>1.6200160919933066E-3</v>
      </c>
      <c r="R569">
        <v>3.3605787900975225E-3</v>
      </c>
      <c r="S569">
        <v>0.361770849041192</v>
      </c>
      <c r="T569">
        <v>0.38632581027620527</v>
      </c>
      <c r="U569">
        <v>0</v>
      </c>
      <c r="V569">
        <v>0.19446359007916578</v>
      </c>
      <c r="W569">
        <v>0.22327368511806711</v>
      </c>
      <c r="X569">
        <v>5.4958017898675653E-2</v>
      </c>
      <c r="Y569">
        <v>9.1463876521450313E-3</v>
      </c>
    </row>
    <row r="570" spans="1:25" x14ac:dyDescent="0.25">
      <c r="A570" s="1083"/>
      <c r="B570" s="1455">
        <v>320</v>
      </c>
      <c r="C570" s="1087">
        <v>1.0292512262166571</v>
      </c>
      <c r="D570" s="1087">
        <v>0.97650043446697909</v>
      </c>
      <c r="E570" s="1087">
        <v>0.99288849236834442</v>
      </c>
      <c r="F570" s="1087">
        <v>0.96621314381721257</v>
      </c>
      <c r="G570" s="1087">
        <v>0.99042948122580843</v>
      </c>
      <c r="H570" s="1087">
        <v>1.0039073059191914</v>
      </c>
      <c r="I570" s="1087">
        <v>1.013194646310968</v>
      </c>
      <c r="K570">
        <v>1.8132434372522253</v>
      </c>
      <c r="L570">
        <v>0</v>
      </c>
      <c r="M570">
        <v>3.6455638753984483E-3</v>
      </c>
      <c r="N570">
        <v>0.33872347575875617</v>
      </c>
      <c r="O570">
        <v>0.23350059159296016</v>
      </c>
      <c r="P570">
        <v>1.2878436250398466E-2</v>
      </c>
      <c r="Q570">
        <v>1.5416517829778301E-3</v>
      </c>
      <c r="R570">
        <v>3.6393437416710828E-3</v>
      </c>
      <c r="S570">
        <v>0.364851970169077</v>
      </c>
      <c r="T570">
        <v>0.38904644310806841</v>
      </c>
      <c r="U570">
        <v>0</v>
      </c>
      <c r="V570">
        <v>0.19498987633987452</v>
      </c>
      <c r="W570">
        <v>0.21672257929561109</v>
      </c>
      <c r="X570">
        <v>5.1089539132741918E-2</v>
      </c>
      <c r="Y570">
        <v>9.9050939554866744E-3</v>
      </c>
    </row>
    <row r="571" spans="1:25" x14ac:dyDescent="0.25">
      <c r="A571" s="1083"/>
      <c r="B571" s="1455">
        <v>321</v>
      </c>
      <c r="C571" s="1087">
        <v>0.9723700414670513</v>
      </c>
      <c r="D571" s="1087">
        <v>1.0140029491627005</v>
      </c>
      <c r="E571" s="1087">
        <v>1.0175788052130559</v>
      </c>
      <c r="F571" s="1087">
        <v>1.0042363565465549</v>
      </c>
      <c r="G571" s="1087">
        <v>0.97556340542885733</v>
      </c>
      <c r="H571" s="1087">
        <v>1.0241625120281952</v>
      </c>
      <c r="I571" s="1087">
        <v>0.97937472473945586</v>
      </c>
      <c r="K571">
        <v>1.8975594356072771</v>
      </c>
      <c r="L571">
        <v>0</v>
      </c>
      <c r="M571">
        <v>3.6678885361853815E-3</v>
      </c>
      <c r="N571">
        <v>0.36746678076033795</v>
      </c>
      <c r="O571">
        <v>0.24152175248529906</v>
      </c>
      <c r="P571">
        <v>1.3499861689909831E-2</v>
      </c>
      <c r="Q571">
        <v>1.6501548432559222E-3</v>
      </c>
      <c r="R571">
        <v>3.6617227136636617E-3</v>
      </c>
      <c r="S571">
        <v>0.36958355536458321</v>
      </c>
      <c r="T571">
        <v>0.40450730883766828</v>
      </c>
      <c r="U571">
        <v>0</v>
      </c>
      <c r="V571">
        <v>0.20252872037034408</v>
      </c>
      <c r="W571">
        <v>0.2315278514787949</v>
      </c>
      <c r="X571">
        <v>5.5313613459579747E-2</v>
      </c>
      <c r="Y571">
        <v>9.9660021400243392E-3</v>
      </c>
    </row>
    <row r="572" spans="1:25" x14ac:dyDescent="0.25">
      <c r="A572" s="1083"/>
      <c r="B572" s="1455">
        <v>322</v>
      </c>
      <c r="C572" s="1087">
        <v>0.9783354571084889</v>
      </c>
      <c r="D572" s="1087">
        <v>0.99422687906257323</v>
      </c>
      <c r="E572" s="1087">
        <v>0.99649885645005731</v>
      </c>
      <c r="F572" s="1087">
        <v>0.99256369670023381</v>
      </c>
      <c r="G572" s="1087">
        <v>0.98254062878580006</v>
      </c>
      <c r="H572" s="1087">
        <v>0.99078069962918836</v>
      </c>
      <c r="I572" s="1087">
        <v>0.98066485379853452</v>
      </c>
      <c r="K572">
        <v>1.8585635075918869</v>
      </c>
      <c r="L572">
        <v>0</v>
      </c>
      <c r="M572">
        <v>3.7212406911203747E-3</v>
      </c>
      <c r="N572">
        <v>0.3495774863491023</v>
      </c>
      <c r="O572">
        <v>0.24102227234040038</v>
      </c>
      <c r="P572">
        <v>1.3158819985425592E-2</v>
      </c>
      <c r="Q572">
        <v>1.6164789000662145E-3</v>
      </c>
      <c r="R572">
        <v>3.7147915266508577E-3</v>
      </c>
      <c r="S572">
        <v>0.36548851541035249</v>
      </c>
      <c r="T572">
        <v>0.39967814382750483</v>
      </c>
      <c r="U572">
        <v>0</v>
      </c>
      <c r="V572">
        <v>0.20176288911158513</v>
      </c>
      <c r="W572">
        <v>0.22316120627872008</v>
      </c>
      <c r="X572">
        <v>5.2993706598352813E-2</v>
      </c>
      <c r="Y572">
        <v>1.0110437954845987E-2</v>
      </c>
    </row>
    <row r="573" spans="1:25" x14ac:dyDescent="0.25">
      <c r="A573" s="1083"/>
      <c r="B573" s="1455">
        <v>323</v>
      </c>
      <c r="C573" s="1087">
        <v>0.97473103468796973</v>
      </c>
      <c r="D573" s="1087">
        <v>0.99959896371573476</v>
      </c>
      <c r="E573" s="1087">
        <v>1.0090980683281308</v>
      </c>
      <c r="F573" s="1087">
        <v>1.011308629487601</v>
      </c>
      <c r="G573" s="1087">
        <v>1.0402647341134279</v>
      </c>
      <c r="H573" s="1087">
        <v>1.0446382027137935</v>
      </c>
      <c r="I573" s="1087">
        <v>0.98382887075026826</v>
      </c>
      <c r="K573">
        <v>1.9221846643496248</v>
      </c>
      <c r="L573">
        <v>0</v>
      </c>
      <c r="M573">
        <v>3.8270196340628362E-3</v>
      </c>
      <c r="N573">
        <v>0.37363670409560173</v>
      </c>
      <c r="O573">
        <v>0.24337736757434433</v>
      </c>
      <c r="P573">
        <v>1.3570078222806911E-2</v>
      </c>
      <c r="Q573">
        <v>1.6408130284850421E-3</v>
      </c>
      <c r="R573">
        <v>3.8207249671165693E-3</v>
      </c>
      <c r="S573">
        <v>0.37695615774766106</v>
      </c>
      <c r="T573">
        <v>0.40730357055244665</v>
      </c>
      <c r="U573">
        <v>0</v>
      </c>
      <c r="V573">
        <v>0.20359112646182992</v>
      </c>
      <c r="W573">
        <v>0.23665357179194851</v>
      </c>
      <c r="X573">
        <v>5.5062815682599763E-2</v>
      </c>
      <c r="Y573">
        <v>1.039875385884439E-2</v>
      </c>
    </row>
    <row r="574" spans="1:25" x14ac:dyDescent="0.25">
      <c r="A574" s="1083"/>
      <c r="B574" s="1455">
        <v>324</v>
      </c>
      <c r="C574" s="1087">
        <v>0.99913558649444478</v>
      </c>
      <c r="D574" s="1087">
        <v>1.0076323122517721</v>
      </c>
      <c r="E574" s="1087">
        <v>1.0177433184611886</v>
      </c>
      <c r="F574" s="1087">
        <v>1.0293404811330378</v>
      </c>
      <c r="G574" s="1087">
        <v>1.0191544817134983</v>
      </c>
      <c r="H574" s="1087">
        <v>1.0352837954657441</v>
      </c>
      <c r="I574" s="1087">
        <v>1.0404481106078891</v>
      </c>
      <c r="K574">
        <v>1.9158719460538276</v>
      </c>
      <c r="L574">
        <v>0</v>
      </c>
      <c r="M574">
        <v>3.6188748015516122E-3</v>
      </c>
      <c r="N574">
        <v>0.36274517323998995</v>
      </c>
      <c r="O574">
        <v>0.24174522544633942</v>
      </c>
      <c r="P574">
        <v>1.3854917677400309E-2</v>
      </c>
      <c r="Q574">
        <v>1.6102827317301721E-3</v>
      </c>
      <c r="R574">
        <v>3.6128610363560889E-3</v>
      </c>
      <c r="S574">
        <v>0.38550896618099584</v>
      </c>
      <c r="T574">
        <v>0.41462031164115098</v>
      </c>
      <c r="U574">
        <v>0</v>
      </c>
      <c r="V574">
        <v>0.20205499441584521</v>
      </c>
      <c r="W574">
        <v>0.22852975044553758</v>
      </c>
      <c r="X574">
        <v>5.5375321278393251E-2</v>
      </c>
      <c r="Y574">
        <v>9.8330167616407244E-3</v>
      </c>
    </row>
    <row r="575" spans="1:25" x14ac:dyDescent="0.25">
      <c r="A575" s="1083"/>
      <c r="B575" s="1455">
        <v>325</v>
      </c>
      <c r="C575" s="1087">
        <v>1.0075068254959361</v>
      </c>
      <c r="D575" s="1087">
        <v>0.98736454736319168</v>
      </c>
      <c r="E575" s="1087">
        <v>0.98427188827685164</v>
      </c>
      <c r="F575" s="1087">
        <v>0.9894716819604773</v>
      </c>
      <c r="G575" s="1087">
        <v>1.0107534690770321</v>
      </c>
      <c r="H575" s="1087">
        <v>0.9772707759654875</v>
      </c>
      <c r="I575" s="1087">
        <v>0.99491437753274281</v>
      </c>
      <c r="K575">
        <v>1.8144036248781332</v>
      </c>
      <c r="L575">
        <v>0</v>
      </c>
      <c r="M575">
        <v>3.6681276329051473E-3</v>
      </c>
      <c r="N575">
        <v>0.33195122960948598</v>
      </c>
      <c r="O575">
        <v>0.23762096521060233</v>
      </c>
      <c r="P575">
        <v>1.2889259036820226E-2</v>
      </c>
      <c r="Q575">
        <v>1.553554382952688E-3</v>
      </c>
      <c r="R575">
        <v>3.6616890250610106E-3</v>
      </c>
      <c r="S575">
        <v>0.35887806990766025</v>
      </c>
      <c r="T575">
        <v>0.39836027352790954</v>
      </c>
      <c r="U575">
        <v>0</v>
      </c>
      <c r="V575">
        <v>0.19863216440007631</v>
      </c>
      <c r="W575">
        <v>0.21354604144592382</v>
      </c>
      <c r="X575">
        <v>5.1012595513793446E-2</v>
      </c>
      <c r="Y575">
        <v>9.9659104507533684E-3</v>
      </c>
    </row>
    <row r="576" spans="1:25" x14ac:dyDescent="0.25">
      <c r="A576" s="1083"/>
      <c r="B576" s="1455">
        <v>326</v>
      </c>
      <c r="C576" s="1087">
        <v>0.99606175075989556</v>
      </c>
      <c r="D576" s="1087">
        <v>1.0197083736163997</v>
      </c>
      <c r="E576" s="1087">
        <v>0.99698498501834065</v>
      </c>
      <c r="F576" s="1087">
        <v>1.0002466860237946</v>
      </c>
      <c r="G576" s="1087">
        <v>0.99917174780419105</v>
      </c>
      <c r="H576" s="1087">
        <v>0.95977029155506199</v>
      </c>
      <c r="I576" s="1087">
        <v>1.0018499237945757</v>
      </c>
      <c r="K576">
        <v>1.8090232093398526</v>
      </c>
      <c r="L576">
        <v>0</v>
      </c>
      <c r="M576">
        <v>3.4892192034505047E-3</v>
      </c>
      <c r="N576">
        <v>0.32824739457419261</v>
      </c>
      <c r="O576">
        <v>0.23726781891629331</v>
      </c>
      <c r="P576">
        <v>1.3041852412312085E-2</v>
      </c>
      <c r="Q576">
        <v>1.5725364587473806E-3</v>
      </c>
      <c r="R576">
        <v>3.4829548370689033E-3</v>
      </c>
      <c r="S576">
        <v>0.35605567969804308</v>
      </c>
      <c r="T576">
        <v>0.4027748120695413</v>
      </c>
      <c r="U576">
        <v>0</v>
      </c>
      <c r="V576">
        <v>0.19915751675775123</v>
      </c>
      <c r="W576">
        <v>0.20948083409930976</v>
      </c>
      <c r="X576">
        <v>5.1951573809293494E-2</v>
      </c>
      <c r="Y576">
        <v>9.4794549107480863E-3</v>
      </c>
    </row>
    <row r="577" spans="1:25" x14ac:dyDescent="0.25">
      <c r="A577" s="1083"/>
      <c r="B577" s="1455">
        <v>327</v>
      </c>
      <c r="C577" s="1087">
        <v>1.0350070405985559</v>
      </c>
      <c r="D577" s="1087">
        <v>0.99921591665106457</v>
      </c>
      <c r="E577" s="1087">
        <v>0.97774693840739291</v>
      </c>
      <c r="F577" s="1087">
        <v>1.0274894965503121</v>
      </c>
      <c r="G577" s="1087">
        <v>1.047623816969941</v>
      </c>
      <c r="H577" s="1087">
        <v>0.99418880402029752</v>
      </c>
      <c r="I577" s="1087">
        <v>0.98987933746394452</v>
      </c>
      <c r="K577">
        <v>1.805954495060393</v>
      </c>
      <c r="L577">
        <v>0</v>
      </c>
      <c r="M577">
        <v>3.6560423926707548E-3</v>
      </c>
      <c r="N577">
        <v>0.32433422039716214</v>
      </c>
      <c r="O577">
        <v>0.23745355247895428</v>
      </c>
      <c r="P577">
        <v>1.2881270951642111E-2</v>
      </c>
      <c r="Q577">
        <v>1.4945449594717074E-3</v>
      </c>
      <c r="R577">
        <v>3.6497211417836845E-3</v>
      </c>
      <c r="S577">
        <v>0.34807918142013961</v>
      </c>
      <c r="T577">
        <v>0.41362613851282787</v>
      </c>
      <c r="U577">
        <v>0</v>
      </c>
      <c r="V577">
        <v>0.19831481075990165</v>
      </c>
      <c r="W577">
        <v>0.20951066793958023</v>
      </c>
      <c r="X577">
        <v>5.0333091073917528E-2</v>
      </c>
      <c r="Y577">
        <v>9.9333378176841465E-3</v>
      </c>
    </row>
    <row r="578" spans="1:25" x14ac:dyDescent="0.25">
      <c r="A578" s="1083"/>
      <c r="B578" s="1455">
        <v>328</v>
      </c>
      <c r="C578" s="1087">
        <v>0.97960898268733665</v>
      </c>
      <c r="D578" s="1087">
        <v>0.95687919953396017</v>
      </c>
      <c r="E578" s="1087">
        <v>1.0153262559221665</v>
      </c>
      <c r="F578" s="1087">
        <v>0.98017012051539831</v>
      </c>
      <c r="G578" s="1087">
        <v>1.0330428040713304</v>
      </c>
      <c r="H578" s="1087">
        <v>1.0007424085051404</v>
      </c>
      <c r="I578" s="1087">
        <v>0.99287429851739362</v>
      </c>
      <c r="K578">
        <v>1.8990168931600797</v>
      </c>
      <c r="L578">
        <v>0</v>
      </c>
      <c r="M578">
        <v>3.6857658914325655E-3</v>
      </c>
      <c r="N578">
        <v>0.3667215693945779</v>
      </c>
      <c r="O578">
        <v>0.24335154048417701</v>
      </c>
      <c r="P578">
        <v>1.3482434178274763E-2</v>
      </c>
      <c r="Q578">
        <v>1.6724099359557887E-3</v>
      </c>
      <c r="R578">
        <v>3.6794730199609014E-3</v>
      </c>
      <c r="S578">
        <v>0.37952239963646378</v>
      </c>
      <c r="T578">
        <v>0.39479987438426972</v>
      </c>
      <c r="U578">
        <v>0</v>
      </c>
      <c r="V578">
        <v>0.20264951201432202</v>
      </c>
      <c r="W578">
        <v>0.23137975303341934</v>
      </c>
      <c r="X578">
        <v>5.5429380347711332E-2</v>
      </c>
      <c r="Y578">
        <v>1.0014312622378526E-2</v>
      </c>
    </row>
    <row r="579" spans="1:25" x14ac:dyDescent="0.25">
      <c r="A579" s="1083"/>
      <c r="B579" s="1455">
        <v>329</v>
      </c>
      <c r="C579" s="1087">
        <v>0.97747091763072202</v>
      </c>
      <c r="D579" s="1087">
        <v>1.0447694726161576</v>
      </c>
      <c r="E579" s="1087">
        <v>0.98314106950554647</v>
      </c>
      <c r="F579" s="1087">
        <v>1.0240121814950325</v>
      </c>
      <c r="G579" s="1087">
        <v>1.0167410463105961</v>
      </c>
      <c r="H579" s="1087">
        <v>0.9990846721772253</v>
      </c>
      <c r="I579" s="1087">
        <v>1.012476082089357</v>
      </c>
      <c r="K579">
        <v>1.8561142521177034</v>
      </c>
      <c r="L579">
        <v>0</v>
      </c>
      <c r="M579">
        <v>3.7575037173251994E-3</v>
      </c>
      <c r="N579">
        <v>0.33887494677127533</v>
      </c>
      <c r="O579">
        <v>0.2396508169373984</v>
      </c>
      <c r="P579">
        <v>1.3242670271317949E-2</v>
      </c>
      <c r="Q579">
        <v>1.563600084555641E-3</v>
      </c>
      <c r="R579">
        <v>3.7510006097535753E-3</v>
      </c>
      <c r="S579">
        <v>0.36883901658576451</v>
      </c>
      <c r="T579">
        <v>0.41225930856852167</v>
      </c>
      <c r="U579">
        <v>0</v>
      </c>
      <c r="V579">
        <v>0.20182238192769553</v>
      </c>
      <c r="W579">
        <v>0.21815609582856998</v>
      </c>
      <c r="X579">
        <v>5.1502931107442911E-2</v>
      </c>
      <c r="Y579">
        <v>1.0208987142730547E-2</v>
      </c>
    </row>
    <row r="580" spans="1:25" x14ac:dyDescent="0.25">
      <c r="A580" s="1083"/>
      <c r="B580" s="1455">
        <v>330</v>
      </c>
      <c r="C580" s="1087">
        <v>0.98000906174171165</v>
      </c>
      <c r="D580" s="1087">
        <v>0.99964193952275704</v>
      </c>
      <c r="E580" s="1087">
        <v>0.96876133792258567</v>
      </c>
      <c r="F580" s="1087">
        <v>1.0054887432253481</v>
      </c>
      <c r="G580" s="1087">
        <v>0.98780266824044116</v>
      </c>
      <c r="H580" s="1087">
        <v>1.02921511580331</v>
      </c>
      <c r="I580" s="1087">
        <v>1.0048516465714119</v>
      </c>
      <c r="K580">
        <v>1.8843075352676679</v>
      </c>
      <c r="L580">
        <v>0</v>
      </c>
      <c r="M580">
        <v>4.0720133975546396E-3</v>
      </c>
      <c r="N580">
        <v>0.35146690195822111</v>
      </c>
      <c r="O580">
        <v>0.24142868838093287</v>
      </c>
      <c r="P580">
        <v>1.3146646161418456E-2</v>
      </c>
      <c r="Q580">
        <v>1.5629019741016546E-3</v>
      </c>
      <c r="R580">
        <v>4.0652152486326514E-3</v>
      </c>
      <c r="S580">
        <v>0.37957522318555298</v>
      </c>
      <c r="T580">
        <v>0.4047158297985205</v>
      </c>
      <c r="U580">
        <v>0</v>
      </c>
      <c r="V580">
        <v>0.20224904113036321</v>
      </c>
      <c r="W580">
        <v>0.22834201120837425</v>
      </c>
      <c r="X580">
        <v>5.0762913810171E-2</v>
      </c>
      <c r="Y580">
        <v>1.1064175808931523E-2</v>
      </c>
    </row>
    <row r="581" spans="1:25" x14ac:dyDescent="0.25">
      <c r="A581" s="1083"/>
      <c r="B581" s="1455">
        <v>331</v>
      </c>
      <c r="C581" s="1087">
        <v>0.99502761607742818</v>
      </c>
      <c r="D581" s="1087">
        <v>1.0021331440456347</v>
      </c>
      <c r="E581" s="1087">
        <v>1.0324180298780865</v>
      </c>
      <c r="F581" s="1087">
        <v>0.95802232299697054</v>
      </c>
      <c r="G581" s="1087">
        <v>0.9858363639414488</v>
      </c>
      <c r="H581" s="1087">
        <v>1.0033303553851045</v>
      </c>
      <c r="I581" s="1087">
        <v>1.0060352059381481</v>
      </c>
      <c r="K581">
        <v>1.8497665134452534</v>
      </c>
      <c r="L581">
        <v>0</v>
      </c>
      <c r="M581">
        <v>3.4269826431781981E-3</v>
      </c>
      <c r="N581">
        <v>0.35919546085143778</v>
      </c>
      <c r="O581">
        <v>0.23454737317392821</v>
      </c>
      <c r="P581">
        <v>1.3308753965052354E-2</v>
      </c>
      <c r="Q581">
        <v>1.6456823187562188E-3</v>
      </c>
      <c r="R581">
        <v>3.4211104608097725E-3</v>
      </c>
      <c r="S581">
        <v>0.36973237111441132</v>
      </c>
      <c r="T581">
        <v>0.3859799012877379</v>
      </c>
      <c r="U581">
        <v>0</v>
      </c>
      <c r="V581">
        <v>0.19671977280832512</v>
      </c>
      <c r="W581">
        <v>0.22426630747259568</v>
      </c>
      <c r="X581">
        <v>5.5065627729811849E-2</v>
      </c>
      <c r="Y581">
        <v>9.3111349055638882E-3</v>
      </c>
    </row>
    <row r="582" spans="1:25" x14ac:dyDescent="0.25">
      <c r="A582" s="1083"/>
      <c r="B582" s="1455">
        <v>332</v>
      </c>
      <c r="C582" s="1087">
        <v>1.0379778528640491</v>
      </c>
      <c r="D582" s="1087">
        <v>1.0303588532949488</v>
      </c>
      <c r="E582" s="1087">
        <v>0.99185502935630665</v>
      </c>
      <c r="F582" s="1087">
        <v>0.97148959808883795</v>
      </c>
      <c r="G582" s="1087">
        <v>0.97745985922826772</v>
      </c>
      <c r="H582" s="1087">
        <v>1.0000488500327334</v>
      </c>
      <c r="I582" s="1087">
        <v>1.0164177493767392</v>
      </c>
      <c r="K582">
        <v>1.7684232905544051</v>
      </c>
      <c r="L582">
        <v>0</v>
      </c>
      <c r="M582">
        <v>3.5051291466006518E-3</v>
      </c>
      <c r="N582">
        <v>0.32464266516192597</v>
      </c>
      <c r="O582">
        <v>0.22794796724500715</v>
      </c>
      <c r="P582">
        <v>1.2674287293092466E-2</v>
      </c>
      <c r="Q582">
        <v>1.4945588402289307E-3</v>
      </c>
      <c r="R582">
        <v>3.4990795893518932E-3</v>
      </c>
      <c r="S582">
        <v>0.35160838024738417</v>
      </c>
      <c r="T582">
        <v>0.39116496110492199</v>
      </c>
      <c r="U582">
        <v>0</v>
      </c>
      <c r="V582">
        <v>0.19179979304273143</v>
      </c>
      <c r="W582">
        <v>0.20784831654089453</v>
      </c>
      <c r="X582">
        <v>4.9725069464527018E-2</v>
      </c>
      <c r="Y582">
        <v>9.5233411709392275E-3</v>
      </c>
    </row>
    <row r="583" spans="1:25" x14ac:dyDescent="0.25">
      <c r="A583" s="1083"/>
      <c r="B583" s="1455">
        <v>333</v>
      </c>
      <c r="C583" s="1087">
        <v>0.99304955438902121</v>
      </c>
      <c r="D583" s="1087">
        <v>0.97665538328388479</v>
      </c>
      <c r="E583" s="1087">
        <v>0.97798326222995757</v>
      </c>
      <c r="F583" s="1087">
        <v>1.0248359346923477</v>
      </c>
      <c r="G583" s="1087">
        <v>0.97646491397542168</v>
      </c>
      <c r="H583" s="1087">
        <v>0.98602854830797926</v>
      </c>
      <c r="I583" s="1087">
        <v>1.0284170867287408</v>
      </c>
      <c r="K583">
        <v>1.8775596342409766</v>
      </c>
      <c r="L583">
        <v>0</v>
      </c>
      <c r="M583">
        <v>3.8261448353420903E-3</v>
      </c>
      <c r="N583">
        <v>0.33966690449814868</v>
      </c>
      <c r="O583">
        <v>0.24457697773002851</v>
      </c>
      <c r="P583">
        <v>1.3374647661003967E-2</v>
      </c>
      <c r="Q583">
        <v>1.5723860865892905E-3</v>
      </c>
      <c r="R583">
        <v>3.8194992474670842E-3</v>
      </c>
      <c r="S583">
        <v>0.38025532407575474</v>
      </c>
      <c r="T583">
        <v>0.41255936482338007</v>
      </c>
      <c r="U583">
        <v>0</v>
      </c>
      <c r="V583">
        <v>0.20379263670001646</v>
      </c>
      <c r="W583">
        <v>0.21938220327468813</v>
      </c>
      <c r="X583">
        <v>5.199041712522201E-2</v>
      </c>
      <c r="Y583">
        <v>1.0395417854016863E-2</v>
      </c>
    </row>
    <row r="584" spans="1:25" x14ac:dyDescent="0.25">
      <c r="A584" s="1083"/>
      <c r="B584" s="1455">
        <v>334</v>
      </c>
      <c r="C584" s="1087">
        <v>1.0026346276914171</v>
      </c>
      <c r="D584" s="1087">
        <v>0.99771065565683559</v>
      </c>
      <c r="E584" s="1087">
        <v>0.98826545301195501</v>
      </c>
      <c r="F584" s="1087">
        <v>1.0198924613240996</v>
      </c>
      <c r="G584" s="1087">
        <v>1.0259910539886816</v>
      </c>
      <c r="H584" s="1087">
        <v>0.96275786020236631</v>
      </c>
      <c r="I584" s="1087">
        <v>0.99065382327820872</v>
      </c>
      <c r="K584">
        <v>1.8219589138454821</v>
      </c>
      <c r="L584">
        <v>0</v>
      </c>
      <c r="M584">
        <v>3.5814999801589971E-3</v>
      </c>
      <c r="N584">
        <v>0.32808038137045969</v>
      </c>
      <c r="O584">
        <v>0.24080343698820611</v>
      </c>
      <c r="P584">
        <v>1.3069399698773632E-2</v>
      </c>
      <c r="Q584">
        <v>1.5612851631200387E-3</v>
      </c>
      <c r="R584">
        <v>3.5751093101334028E-3</v>
      </c>
      <c r="S584">
        <v>0.35444963162658721</v>
      </c>
      <c r="T584">
        <v>0.41063208385583827</v>
      </c>
      <c r="U584">
        <v>0</v>
      </c>
      <c r="V584">
        <v>0.20123307318307773</v>
      </c>
      <c r="W584">
        <v>0.21052445561722791</v>
      </c>
      <c r="X584">
        <v>5.1881288004499405E-2</v>
      </c>
      <c r="Y584">
        <v>9.7302690077157739E-3</v>
      </c>
    </row>
    <row r="585" spans="1:25" x14ac:dyDescent="0.25">
      <c r="A585" s="1083"/>
      <c r="B585" s="1455">
        <v>335</v>
      </c>
      <c r="C585" s="1087">
        <v>0.98881463215700072</v>
      </c>
      <c r="D585" s="1087">
        <v>0.99235830532131653</v>
      </c>
      <c r="E585" s="1087">
        <v>0.97840287552792948</v>
      </c>
      <c r="F585" s="1087">
        <v>1.0024492526048545</v>
      </c>
      <c r="G585" s="1087">
        <v>1.0067303932413727</v>
      </c>
      <c r="H585" s="1087">
        <v>0.99651060457882668</v>
      </c>
      <c r="I585" s="1087">
        <v>1.0003895131246403</v>
      </c>
      <c r="K585">
        <v>1.8551168510931124</v>
      </c>
      <c r="L585">
        <v>0</v>
      </c>
      <c r="M585">
        <v>3.8466048462794536E-3</v>
      </c>
      <c r="N585">
        <v>0.34192641888579517</v>
      </c>
      <c r="O585">
        <v>0.24084308122766479</v>
      </c>
      <c r="P585">
        <v>1.3090765014150846E-2</v>
      </c>
      <c r="Q585">
        <v>1.5697871095524106E-3</v>
      </c>
      <c r="R585">
        <v>3.8399789123897874E-3</v>
      </c>
      <c r="S585">
        <v>0.37013071668764036</v>
      </c>
      <c r="T585">
        <v>0.40354985996014736</v>
      </c>
      <c r="U585">
        <v>0</v>
      </c>
      <c r="V585">
        <v>0.20146214978847354</v>
      </c>
      <c r="W585">
        <v>0.22078271274703756</v>
      </c>
      <c r="X585">
        <v>5.1316828855723216E-2</v>
      </c>
      <c r="Y585">
        <v>1.0451156750816737E-2</v>
      </c>
    </row>
    <row r="586" spans="1:25" x14ac:dyDescent="0.25">
      <c r="A586" s="1083"/>
      <c r="B586" s="1455">
        <v>336</v>
      </c>
      <c r="C586" s="1087">
        <v>1.01281773201749</v>
      </c>
      <c r="D586" s="1087">
        <v>0.99847063728261798</v>
      </c>
      <c r="E586" s="1087">
        <v>0.97434461867223965</v>
      </c>
      <c r="F586" s="1087">
        <v>1.0464720031702606</v>
      </c>
      <c r="G586" s="1087">
        <v>1.0084156385421748</v>
      </c>
      <c r="H586" s="1087">
        <v>1.0311120722956419</v>
      </c>
      <c r="I586" s="1087">
        <v>0.97746141236330408</v>
      </c>
      <c r="K586">
        <v>1.8647602257687319</v>
      </c>
      <c r="L586">
        <v>0</v>
      </c>
      <c r="M586">
        <v>3.9038547639424293E-3</v>
      </c>
      <c r="N586">
        <v>0.34275609716344124</v>
      </c>
      <c r="O586">
        <v>0.24229219824987375</v>
      </c>
      <c r="P586">
        <v>1.3133033882750347E-2</v>
      </c>
      <c r="Q586">
        <v>1.5221463968492503E-3</v>
      </c>
      <c r="R586">
        <v>3.8973481409492242E-3</v>
      </c>
      <c r="S586">
        <v>0.35783158386711922</v>
      </c>
      <c r="T586">
        <v>0.42124653523206684</v>
      </c>
      <c r="U586">
        <v>0</v>
      </c>
      <c r="V586">
        <v>0.20224526340525609</v>
      </c>
      <c r="W586">
        <v>0.22189046210910757</v>
      </c>
      <c r="X586">
        <v>5.1242115206065773E-2</v>
      </c>
      <c r="Y586">
        <v>1.0607296879194414E-2</v>
      </c>
    </row>
    <row r="587" spans="1:25" x14ac:dyDescent="0.25">
      <c r="A587" s="1083"/>
      <c r="B587" s="1455">
        <v>337</v>
      </c>
      <c r="C587" s="1087">
        <v>0.96852242601429661</v>
      </c>
      <c r="D587" s="1087">
        <v>0.96994155324483333</v>
      </c>
      <c r="E587" s="1087">
        <v>1.0302250453305877</v>
      </c>
      <c r="F587" s="1087">
        <v>0.97485956786300909</v>
      </c>
      <c r="G587" s="1087">
        <v>0.98203739175639992</v>
      </c>
      <c r="H587" s="1087">
        <v>0.98132812763665478</v>
      </c>
      <c r="I587" s="1087">
        <v>0.99203413367114368</v>
      </c>
      <c r="K587">
        <v>1.8926284697890416</v>
      </c>
      <c r="L587">
        <v>0</v>
      </c>
      <c r="M587">
        <v>3.5194520462420924E-3</v>
      </c>
      <c r="N587">
        <v>0.36642127695151416</v>
      </c>
      <c r="O587">
        <v>0.24294820794030383</v>
      </c>
      <c r="P587">
        <v>1.357027172100954E-2</v>
      </c>
      <c r="Q587">
        <v>1.7090106764788167E-3</v>
      </c>
      <c r="R587">
        <v>3.5133122427089707E-3</v>
      </c>
      <c r="S587">
        <v>0.37715913276716945</v>
      </c>
      <c r="T587">
        <v>0.39275026234164806</v>
      </c>
      <c r="U587">
        <v>0</v>
      </c>
      <c r="V587">
        <v>0.20278299038606473</v>
      </c>
      <c r="W587">
        <v>0.22908420855039363</v>
      </c>
      <c r="X587">
        <v>5.6647170496406628E-2</v>
      </c>
      <c r="Y587">
        <v>9.562077761584277E-3</v>
      </c>
    </row>
    <row r="588" spans="1:25" x14ac:dyDescent="0.25">
      <c r="A588" s="1083"/>
      <c r="B588" s="1455">
        <v>338</v>
      </c>
      <c r="C588" s="1087">
        <v>0.99948880892288761</v>
      </c>
      <c r="D588" s="1087">
        <v>1.018163310748198</v>
      </c>
      <c r="E588" s="1087">
        <v>0.98530073380964156</v>
      </c>
      <c r="F588" s="1087">
        <v>0.97342192620857637</v>
      </c>
      <c r="G588" s="1087">
        <v>1.0055244678713113</v>
      </c>
      <c r="H588" s="1087">
        <v>1.0067774710607524</v>
      </c>
      <c r="I588" s="1087">
        <v>1.0018327086943517</v>
      </c>
      <c r="K588">
        <v>1.8182329505943073</v>
      </c>
      <c r="L588">
        <v>0</v>
      </c>
      <c r="M588">
        <v>3.7387122709580871E-3</v>
      </c>
      <c r="N588">
        <v>0.33941900710373396</v>
      </c>
      <c r="O588">
        <v>0.23368705501833464</v>
      </c>
      <c r="P588">
        <v>1.2845144849562456E-2</v>
      </c>
      <c r="Q588">
        <v>1.5486042469041582E-3</v>
      </c>
      <c r="R588">
        <v>3.7323147122682323E-3</v>
      </c>
      <c r="S588">
        <v>0.36345562056053321</v>
      </c>
      <c r="T588">
        <v>0.39190466051958966</v>
      </c>
      <c r="U588">
        <v>0</v>
      </c>
      <c r="V588">
        <v>0.1964971156032447</v>
      </c>
      <c r="W588">
        <v>0.21820816577725141</v>
      </c>
      <c r="X588">
        <v>5.0515844184261631E-2</v>
      </c>
      <c r="Y588">
        <v>1.0158130289579893E-2</v>
      </c>
    </row>
    <row r="589" spans="1:25" x14ac:dyDescent="0.25">
      <c r="A589" s="1083"/>
      <c r="B589" s="1455">
        <v>339</v>
      </c>
      <c r="C589" s="1087">
        <v>1.0263908824332517</v>
      </c>
      <c r="D589" s="1087">
        <v>1.0005460650327576</v>
      </c>
      <c r="E589" s="1087">
        <v>1.0154327243954715</v>
      </c>
      <c r="F589" s="1087">
        <v>0.98654599104471319</v>
      </c>
      <c r="G589" s="1087">
        <v>1.0137229630731708</v>
      </c>
      <c r="H589" s="1087">
        <v>1.0258734782742986</v>
      </c>
      <c r="I589" s="1087">
        <v>1.0099819356982251</v>
      </c>
      <c r="K589">
        <v>1.8407232185501963</v>
      </c>
      <c r="L589">
        <v>0</v>
      </c>
      <c r="M589">
        <v>3.5208141113732406E-3</v>
      </c>
      <c r="N589">
        <v>0.35043435969000208</v>
      </c>
      <c r="O589">
        <v>0.23420495913638159</v>
      </c>
      <c r="P589">
        <v>1.3211747852371501E-2</v>
      </c>
      <c r="Q589">
        <v>1.5681211202302277E-3</v>
      </c>
      <c r="R589">
        <v>3.5149156052207359E-3</v>
      </c>
      <c r="S589">
        <v>0.3640058749207904</v>
      </c>
      <c r="T589">
        <v>0.3973686360736508</v>
      </c>
      <c r="U589">
        <v>0</v>
      </c>
      <c r="V589">
        <v>0.19591017851925469</v>
      </c>
      <c r="W589">
        <v>0.22108894181466673</v>
      </c>
      <c r="X589">
        <v>5.3369856343206686E-2</v>
      </c>
      <c r="Y589">
        <v>9.5664415857929889E-3</v>
      </c>
    </row>
    <row r="590" spans="1:25" x14ac:dyDescent="0.25">
      <c r="A590" s="1083"/>
      <c r="B590" s="1455">
        <v>340</v>
      </c>
      <c r="C590" s="1087">
        <v>0.97544801525007663</v>
      </c>
      <c r="D590" s="1087">
        <v>1.0097370634982441</v>
      </c>
      <c r="E590" s="1087">
        <v>0.96637535340216807</v>
      </c>
      <c r="F590" s="1087">
        <v>1.0197858733577014</v>
      </c>
      <c r="G590" s="1087">
        <v>0.97207033540066345</v>
      </c>
      <c r="H590" s="1087">
        <v>0.99716508441041085</v>
      </c>
      <c r="I590" s="1087">
        <v>0.98731648699833863</v>
      </c>
      <c r="K590">
        <v>1.8595085611305717</v>
      </c>
      <c r="L590">
        <v>0</v>
      </c>
      <c r="M590">
        <v>3.9615187175393359E-3</v>
      </c>
      <c r="N590">
        <v>0.33942423357870655</v>
      </c>
      <c r="O590">
        <v>0.24264274658753374</v>
      </c>
      <c r="P590">
        <v>1.3044070759441331E-2</v>
      </c>
      <c r="Q590">
        <v>1.5598730311677043E-3</v>
      </c>
      <c r="R590">
        <v>3.9546830687237078E-3</v>
      </c>
      <c r="S590">
        <v>0.36674905769188282</v>
      </c>
      <c r="T590">
        <v>0.41045612214037086</v>
      </c>
      <c r="U590">
        <v>0</v>
      </c>
      <c r="V590">
        <v>0.20343428744304468</v>
      </c>
      <c r="W590">
        <v>0.22085525590984964</v>
      </c>
      <c r="X590">
        <v>5.0586405985248571E-2</v>
      </c>
      <c r="Y590">
        <v>1.0763343652142697E-2</v>
      </c>
    </row>
    <row r="591" spans="1:25" x14ac:dyDescent="0.25">
      <c r="A591" s="1083"/>
      <c r="B591" s="1455">
        <v>341</v>
      </c>
      <c r="C591" s="1087">
        <v>1.0157954094522195</v>
      </c>
      <c r="D591" s="1087">
        <v>0.97274259428921872</v>
      </c>
      <c r="E591" s="1087">
        <v>0.99397123521887476</v>
      </c>
      <c r="F591" s="1087">
        <v>1.0293187418009482</v>
      </c>
      <c r="G591" s="1087">
        <v>0.96300363440149106</v>
      </c>
      <c r="H591" s="1087">
        <v>1.0349011317264174</v>
      </c>
      <c r="I591" s="1087">
        <v>1.0129310105903884</v>
      </c>
      <c r="K591">
        <v>1.8962168932356727</v>
      </c>
      <c r="L591">
        <v>0</v>
      </c>
      <c r="M591">
        <v>3.8078135905620317E-3</v>
      </c>
      <c r="N591">
        <v>0.35498879428612296</v>
      </c>
      <c r="O591">
        <v>0.24295131005045234</v>
      </c>
      <c r="P591">
        <v>1.3482694131404771E-2</v>
      </c>
      <c r="Q591">
        <v>1.5662966212821895E-3</v>
      </c>
      <c r="R591">
        <v>3.8015152839999261E-3</v>
      </c>
      <c r="S591">
        <v>0.37610309087429117</v>
      </c>
      <c r="T591">
        <v>0.41446268040915624</v>
      </c>
      <c r="U591">
        <v>0</v>
      </c>
      <c r="V591">
        <v>0.20204007546911462</v>
      </c>
      <c r="W591">
        <v>0.22697511310138907</v>
      </c>
      <c r="X591">
        <v>5.3306665165149994E-2</v>
      </c>
      <c r="Y591">
        <v>1.0346471433871223E-2</v>
      </c>
    </row>
    <row r="592" spans="1:25" x14ac:dyDescent="0.25">
      <c r="A592" s="1083"/>
      <c r="B592" s="1455">
        <v>342</v>
      </c>
      <c r="C592" s="1087">
        <v>1.000800097032513</v>
      </c>
      <c r="D592" s="1087">
        <v>1.0194766538847293</v>
      </c>
      <c r="E592" s="1087">
        <v>0.98557958823697223</v>
      </c>
      <c r="F592" s="1087">
        <v>0.97172052442592727</v>
      </c>
      <c r="G592" s="1087">
        <v>1.0126562283322409</v>
      </c>
      <c r="H592" s="1087">
        <v>0.98219035364398044</v>
      </c>
      <c r="I592" s="1087">
        <v>0.99462976402002601</v>
      </c>
      <c r="K592">
        <v>1.7937535879065292</v>
      </c>
      <c r="L592">
        <v>0</v>
      </c>
      <c r="M592">
        <v>3.6380156954690531E-3</v>
      </c>
      <c r="N592">
        <v>0.3305444558162583</v>
      </c>
      <c r="O592">
        <v>0.23321191754410264</v>
      </c>
      <c r="P592">
        <v>1.2729650696216878E-2</v>
      </c>
      <c r="Q592">
        <v>1.5462408037707699E-3</v>
      </c>
      <c r="R592">
        <v>3.6316334458696468E-3</v>
      </c>
      <c r="S592">
        <v>0.35573155534853834</v>
      </c>
      <c r="T592">
        <v>0.39122129213371815</v>
      </c>
      <c r="U592">
        <v>0</v>
      </c>
      <c r="V592">
        <v>0.19614821190745205</v>
      </c>
      <c r="W592">
        <v>0.21246539907957193</v>
      </c>
      <c r="X592">
        <v>5.027713775448716E-2</v>
      </c>
      <c r="Y592">
        <v>9.8841090720134927E-3</v>
      </c>
    </row>
    <row r="593" spans="1:25" x14ac:dyDescent="0.25">
      <c r="A593" s="1083"/>
      <c r="B593" s="1455">
        <v>343</v>
      </c>
      <c r="C593" s="1087">
        <v>1.0050752855102962</v>
      </c>
      <c r="D593" s="1087">
        <v>0.96626316480811725</v>
      </c>
      <c r="E593" s="1087">
        <v>1.0256690662118439</v>
      </c>
      <c r="F593" s="1087">
        <v>0.99506364928872282</v>
      </c>
      <c r="G593" s="1087">
        <v>1.0059755004787632</v>
      </c>
      <c r="H593" s="1087">
        <v>0.97451717970905638</v>
      </c>
      <c r="I593" s="1087">
        <v>1.0186777476370001</v>
      </c>
      <c r="K593">
        <v>1.8650407900955717</v>
      </c>
      <c r="L593">
        <v>0</v>
      </c>
      <c r="M593">
        <v>3.4081680865481311E-3</v>
      </c>
      <c r="N593">
        <v>0.34994210074506682</v>
      </c>
      <c r="O593">
        <v>0.2413097922019786</v>
      </c>
      <c r="P593">
        <v>1.3548817824206571E-2</v>
      </c>
      <c r="Q593">
        <v>1.6414877984744424E-3</v>
      </c>
      <c r="R593">
        <v>3.4021868579827089E-3</v>
      </c>
      <c r="S593">
        <v>0.37274894378187101</v>
      </c>
      <c r="T593">
        <v>0.40086205264971309</v>
      </c>
      <c r="U593">
        <v>0</v>
      </c>
      <c r="V593">
        <v>0.20076810622107402</v>
      </c>
      <c r="W593">
        <v>0.21939227316250687</v>
      </c>
      <c r="X593">
        <v>5.5573565842413714E-2</v>
      </c>
      <c r="Y593">
        <v>9.2596310968326156E-3</v>
      </c>
    </row>
    <row r="594" spans="1:25" x14ac:dyDescent="0.25">
      <c r="A594" s="1083"/>
      <c r="B594" s="1455">
        <v>344</v>
      </c>
      <c r="C594" s="1087">
        <v>0.99020246266454381</v>
      </c>
      <c r="D594" s="1087">
        <v>1.0131442761129075</v>
      </c>
      <c r="E594" s="1087">
        <v>0.96564731432297479</v>
      </c>
      <c r="F594" s="1087">
        <v>1.0124558674319522</v>
      </c>
      <c r="G594" s="1087">
        <v>1.0207165034406511</v>
      </c>
      <c r="H594" s="1087">
        <v>0.9984133282267954</v>
      </c>
      <c r="I594" s="1087">
        <v>0.99073368410836227</v>
      </c>
      <c r="K594">
        <v>1.8363476081354633</v>
      </c>
      <c r="L594">
        <v>0</v>
      </c>
      <c r="M594">
        <v>3.9058218745729352E-3</v>
      </c>
      <c r="N594">
        <v>0.33390799190658149</v>
      </c>
      <c r="O594">
        <v>0.23959437963326458</v>
      </c>
      <c r="P594">
        <v>1.2902693695258613E-2</v>
      </c>
      <c r="Q594">
        <v>1.5333498717388936E-3</v>
      </c>
      <c r="R594">
        <v>3.8990871797845703E-3</v>
      </c>
      <c r="S594">
        <v>0.36206612665421084</v>
      </c>
      <c r="T594">
        <v>0.40750149392239898</v>
      </c>
      <c r="U594">
        <v>0</v>
      </c>
      <c r="V594">
        <v>0.20098669470615727</v>
      </c>
      <c r="W594">
        <v>0.2173673956325903</v>
      </c>
      <c r="X594">
        <v>4.9882186838421598E-2</v>
      </c>
      <c r="Y594">
        <v>1.0612029969630227E-2</v>
      </c>
    </row>
    <row r="595" spans="1:25" x14ac:dyDescent="0.25">
      <c r="A595" s="1083"/>
      <c r="B595" s="1455">
        <v>345</v>
      </c>
      <c r="C595" s="1087">
        <v>1.0194175182811771</v>
      </c>
      <c r="D595" s="1087">
        <v>0.9923428784133197</v>
      </c>
      <c r="E595" s="1087">
        <v>1.0361977349029976</v>
      </c>
      <c r="F595" s="1087">
        <v>0.99214338099223154</v>
      </c>
      <c r="G595" s="1087">
        <v>1.0291769697195581</v>
      </c>
      <c r="H595" s="1087">
        <v>1.0009153306021383</v>
      </c>
      <c r="I595" s="1087">
        <v>0.96937483016941406</v>
      </c>
      <c r="K595">
        <v>1.8358446834022253</v>
      </c>
      <c r="L595">
        <v>0</v>
      </c>
      <c r="M595">
        <v>3.3291670109456229E-3</v>
      </c>
      <c r="N595">
        <v>0.35298049596845521</v>
      </c>
      <c r="O595">
        <v>0.2367799422865777</v>
      </c>
      <c r="P595">
        <v>1.3264687649122543E-2</v>
      </c>
      <c r="Q595">
        <v>1.6190231357940436E-3</v>
      </c>
      <c r="R595">
        <v>3.3234573196593608E-3</v>
      </c>
      <c r="S595">
        <v>0.34927797836833979</v>
      </c>
      <c r="T595">
        <v>0.39975028075418323</v>
      </c>
      <c r="U595">
        <v>0</v>
      </c>
      <c r="V595">
        <v>0.19766279651682256</v>
      </c>
      <c r="W595">
        <v>0.21987926475468841</v>
      </c>
      <c r="X595">
        <v>5.5590568412825565E-2</v>
      </c>
      <c r="Y595">
        <v>9.0453552467018011E-3</v>
      </c>
    </row>
    <row r="596" spans="1:25" x14ac:dyDescent="0.25">
      <c r="A596" s="1083"/>
      <c r="B596" s="1455">
        <v>346</v>
      </c>
      <c r="C596" s="1087">
        <v>1.004308354760526</v>
      </c>
      <c r="D596" s="1087">
        <v>0.97930153846966228</v>
      </c>
      <c r="E596" s="1087">
        <v>0.97554396952359101</v>
      </c>
      <c r="F596" s="1087">
        <v>1.0062230501770264</v>
      </c>
      <c r="G596" s="1087">
        <v>1.0079011193928782</v>
      </c>
      <c r="H596" s="1087">
        <v>0.97151197771363251</v>
      </c>
      <c r="I596" s="1087">
        <v>0.99585764815364208</v>
      </c>
      <c r="K596">
        <v>1.825679815830215</v>
      </c>
      <c r="L596">
        <v>0</v>
      </c>
      <c r="M596">
        <v>3.7404876032904643E-3</v>
      </c>
      <c r="N596">
        <v>0.32958699259209628</v>
      </c>
      <c r="O596">
        <v>0.24068302369227804</v>
      </c>
      <c r="P596">
        <v>1.2949526069919649E-2</v>
      </c>
      <c r="Q596">
        <v>1.5489966456168729E-3</v>
      </c>
      <c r="R596">
        <v>3.7338909114818055E-3</v>
      </c>
      <c r="S596">
        <v>0.36086728437689791</v>
      </c>
      <c r="T596">
        <v>0.40505191348485114</v>
      </c>
      <c r="U596">
        <v>0</v>
      </c>
      <c r="V596">
        <v>0.20080510354518732</v>
      </c>
      <c r="W596">
        <v>0.21320228087618087</v>
      </c>
      <c r="X596">
        <v>5.0828871054751305E-2</v>
      </c>
      <c r="Y596">
        <v>1.0162420184245314E-2</v>
      </c>
    </row>
    <row r="597" spans="1:25" x14ac:dyDescent="0.25">
      <c r="A597" s="1083"/>
      <c r="B597" s="1455">
        <v>347</v>
      </c>
      <c r="C597" s="1087">
        <v>1.0107436031429722</v>
      </c>
      <c r="D597" s="1087">
        <v>1.0267601811557487</v>
      </c>
      <c r="E597" s="1087">
        <v>1.0188789760858898</v>
      </c>
      <c r="F597" s="1087">
        <v>0.99095807252441992</v>
      </c>
      <c r="G597" s="1087">
        <v>0.97461867812112291</v>
      </c>
      <c r="H597" s="1087">
        <v>0.96284443824777977</v>
      </c>
      <c r="I597" s="1087">
        <v>1.000020090865247</v>
      </c>
      <c r="K597">
        <v>1.7947088555381534</v>
      </c>
      <c r="L597">
        <v>0</v>
      </c>
      <c r="M597">
        <v>3.285763344442443E-3</v>
      </c>
      <c r="N597">
        <v>0.33045402697126958</v>
      </c>
      <c r="O597">
        <v>0.23405635671870251</v>
      </c>
      <c r="P597">
        <v>1.3081057362522889E-2</v>
      </c>
      <c r="Q597">
        <v>1.5817556791223883E-3</v>
      </c>
      <c r="R597">
        <v>3.2798769226020305E-3</v>
      </c>
      <c r="S597">
        <v>0.34968266219804744</v>
      </c>
      <c r="T597">
        <v>0.39916671089449574</v>
      </c>
      <c r="U597">
        <v>0</v>
      </c>
      <c r="V597">
        <v>0.19657246795983185</v>
      </c>
      <c r="W597">
        <v>0.20804064399179298</v>
      </c>
      <c r="X597">
        <v>5.3152316412022789E-2</v>
      </c>
      <c r="Y597">
        <v>8.9267437721857728E-3</v>
      </c>
    </row>
    <row r="598" spans="1:25" x14ac:dyDescent="0.25">
      <c r="A598" s="1083"/>
      <c r="B598" s="1455">
        <v>348</v>
      </c>
      <c r="C598" s="1087">
        <v>0.98664389987610912</v>
      </c>
      <c r="D598" s="1087">
        <v>0.97757224654120156</v>
      </c>
      <c r="E598" s="1087">
        <v>1.0118821469334358</v>
      </c>
      <c r="F598" s="1087">
        <v>0.9706940754127007</v>
      </c>
      <c r="G598" s="1087">
        <v>1.018492855757702</v>
      </c>
      <c r="H598" s="1087">
        <v>0.96562152181369998</v>
      </c>
      <c r="I598" s="1087">
        <v>1.0201120919658171</v>
      </c>
      <c r="K598">
        <v>1.8493467209713732</v>
      </c>
      <c r="L598">
        <v>0</v>
      </c>
      <c r="M598">
        <v>3.5157578876365719E-3</v>
      </c>
      <c r="N598">
        <v>0.34612932342399882</v>
      </c>
      <c r="O598">
        <v>0.23919294709101838</v>
      </c>
      <c r="P598">
        <v>1.3307633075311874E-2</v>
      </c>
      <c r="Q598">
        <v>1.6403467734963503E-3</v>
      </c>
      <c r="R598">
        <v>3.5095192383129796E-3</v>
      </c>
      <c r="S598">
        <v>0.3758953678199719</v>
      </c>
      <c r="T598">
        <v>0.39096259447508458</v>
      </c>
      <c r="U598">
        <v>0</v>
      </c>
      <c r="V598">
        <v>0.19989633855399941</v>
      </c>
      <c r="W598">
        <v>0.21885293526880961</v>
      </c>
      <c r="X598">
        <v>5.3923718685022139E-2</v>
      </c>
      <c r="Y598">
        <v>9.5517544539819449E-3</v>
      </c>
    </row>
    <row r="599" spans="1:25" x14ac:dyDescent="0.25">
      <c r="A599" s="1083"/>
      <c r="B599" s="1455">
        <v>349</v>
      </c>
      <c r="C599" s="1087">
        <v>1.0093349283365365</v>
      </c>
      <c r="D599" s="1087">
        <v>1.0012375178587523</v>
      </c>
      <c r="E599" s="1087">
        <v>1.0182255125731792</v>
      </c>
      <c r="F599" s="1087">
        <v>1.0196370348292296</v>
      </c>
      <c r="G599" s="1087">
        <v>1.0333639856475287</v>
      </c>
      <c r="H599" s="1087">
        <v>1.007081665023023</v>
      </c>
      <c r="I599" s="1087">
        <v>1.0184088692462829</v>
      </c>
      <c r="K599">
        <v>1.8718332523081829</v>
      </c>
      <c r="L599">
        <v>0</v>
      </c>
      <c r="M599">
        <v>3.4932948183098566E-3</v>
      </c>
      <c r="N599">
        <v>0.35065656801187389</v>
      </c>
      <c r="O599">
        <v>0.24003319085672192</v>
      </c>
      <c r="P599">
        <v>1.3565343518965762E-2</v>
      </c>
      <c r="Q599">
        <v>1.5988890787392918E-3</v>
      </c>
      <c r="R599">
        <v>3.4873325430326905E-3</v>
      </c>
      <c r="S599">
        <v>0.36969383812414786</v>
      </c>
      <c r="T599">
        <v>0.41071476169781557</v>
      </c>
      <c r="U599">
        <v>0</v>
      </c>
      <c r="V599">
        <v>0.20048366716529639</v>
      </c>
      <c r="W599">
        <v>0.22084826342391048</v>
      </c>
      <c r="X599">
        <v>5.4753323122719293E-2</v>
      </c>
      <c r="Y599">
        <v>9.4913695832711358E-3</v>
      </c>
    </row>
    <row r="600" spans="1:25" x14ac:dyDescent="0.25">
      <c r="A600" s="1083"/>
      <c r="B600" s="1455">
        <v>350</v>
      </c>
      <c r="C600" s="1087">
        <v>0.99130024458432275</v>
      </c>
      <c r="D600" s="1087">
        <v>1.0068711508172856</v>
      </c>
      <c r="E600" s="1087">
        <v>1.0014276642456232</v>
      </c>
      <c r="F600" s="1087">
        <v>1.006305904965682</v>
      </c>
      <c r="G600" s="1087">
        <v>1.0339345704298144</v>
      </c>
      <c r="H600" s="1087">
        <v>1.0084539517140918</v>
      </c>
      <c r="I600" s="1087">
        <v>0.97749009715180712</v>
      </c>
      <c r="K600">
        <v>1.8578996769332461</v>
      </c>
      <c r="L600">
        <v>0</v>
      </c>
      <c r="M600">
        <v>3.6756779154870061E-3</v>
      </c>
      <c r="N600">
        <v>0.35054025905571862</v>
      </c>
      <c r="O600">
        <v>0.23988492457633048</v>
      </c>
      <c r="P600">
        <v>1.3199850030567728E-2</v>
      </c>
      <c r="Q600">
        <v>1.5956565098075835E-3</v>
      </c>
      <c r="R600">
        <v>3.6694087056276651E-3</v>
      </c>
      <c r="S600">
        <v>0.36025150358050284</v>
      </c>
      <c r="T600">
        <v>0.40524178434467206</v>
      </c>
      <c r="U600">
        <v>0</v>
      </c>
      <c r="V600">
        <v>0.20089208566795266</v>
      </c>
      <c r="W600">
        <v>0.22308719218949788</v>
      </c>
      <c r="X600">
        <v>5.3225769311589795E-2</v>
      </c>
      <c r="Y600">
        <v>9.9869208764637885E-3</v>
      </c>
    </row>
    <row r="601" spans="1:25" x14ac:dyDescent="0.25">
      <c r="A601" s="1083"/>
      <c r="B601" s="1455">
        <v>351</v>
      </c>
      <c r="C601" s="1087">
        <v>1.0115494070805811</v>
      </c>
      <c r="D601" s="1087">
        <v>0.95894859530996923</v>
      </c>
      <c r="E601" s="1087">
        <v>0.97954074963258375</v>
      </c>
      <c r="F601" s="1087">
        <v>0.9914207176037968</v>
      </c>
      <c r="G601" s="1087">
        <v>1.007128853374919</v>
      </c>
      <c r="H601" s="1087">
        <v>1.0054769124280076</v>
      </c>
      <c r="I601" s="1087">
        <v>0.99332765970637293</v>
      </c>
      <c r="K601">
        <v>1.8490988032125264</v>
      </c>
      <c r="L601">
        <v>0</v>
      </c>
      <c r="M601">
        <v>3.8555128195088316E-3</v>
      </c>
      <c r="N601">
        <v>0.34392028017424897</v>
      </c>
      <c r="O601">
        <v>0.24017553868278704</v>
      </c>
      <c r="P601">
        <v>1.2989885159917119E-2</v>
      </c>
      <c r="Q601">
        <v>1.5575792953898234E-3</v>
      </c>
      <c r="R601">
        <v>3.8489616825106098E-3</v>
      </c>
      <c r="S601">
        <v>0.3677853285012293</v>
      </c>
      <c r="T601">
        <v>0.39911690205735478</v>
      </c>
      <c r="U601">
        <v>0</v>
      </c>
      <c r="V601">
        <v>0.19988946287619613</v>
      </c>
      <c r="W601">
        <v>0.22190980313245828</v>
      </c>
      <c r="X601">
        <v>5.1284969580025583E-2</v>
      </c>
      <c r="Y601">
        <v>1.0475604889916239E-2</v>
      </c>
    </row>
    <row r="602" spans="1:25" x14ac:dyDescent="0.25">
      <c r="A602" s="1083"/>
      <c r="B602" s="1455">
        <v>352</v>
      </c>
      <c r="C602" s="1087">
        <v>1.0052043846192382</v>
      </c>
      <c r="D602" s="1087">
        <v>0.99692097790353007</v>
      </c>
      <c r="E602" s="1087">
        <v>0.99755721155879218</v>
      </c>
      <c r="F602" s="1087">
        <v>1.0110135698005882</v>
      </c>
      <c r="G602" s="1087">
        <v>0.98570316803961744</v>
      </c>
      <c r="H602" s="1087">
        <v>1.0173257815031</v>
      </c>
      <c r="I602" s="1087">
        <v>0.97914912226595008</v>
      </c>
      <c r="K602">
        <v>1.8561083181847786</v>
      </c>
      <c r="L602">
        <v>0</v>
      </c>
      <c r="M602">
        <v>3.7054594646345673E-3</v>
      </c>
      <c r="N602">
        <v>0.34923692403245316</v>
      </c>
      <c r="O602">
        <v>0.23967637795468877</v>
      </c>
      <c r="P602">
        <v>1.3167001042166233E-2</v>
      </c>
      <c r="Q602">
        <v>1.573344759692139E-3</v>
      </c>
      <c r="R602">
        <v>3.6992030285613324E-3</v>
      </c>
      <c r="S602">
        <v>0.35935195755328142</v>
      </c>
      <c r="T602">
        <v>0.40711387072969091</v>
      </c>
      <c r="U602">
        <v>0</v>
      </c>
      <c r="V602">
        <v>0.20030162624501349</v>
      </c>
      <c r="W602">
        <v>0.22279608981364074</v>
      </c>
      <c r="X602">
        <v>5.2829371288429079E-2</v>
      </c>
      <c r="Y602">
        <v>1.0068011201793313E-2</v>
      </c>
    </row>
    <row r="603" spans="1:25" x14ac:dyDescent="0.25">
      <c r="A603" s="1083"/>
      <c r="B603" s="1455">
        <v>353</v>
      </c>
      <c r="C603" s="1087">
        <v>1.0014494140332615</v>
      </c>
      <c r="D603" s="1087">
        <v>1.0264983084887962</v>
      </c>
      <c r="E603" s="1087">
        <v>1.04323448090647</v>
      </c>
      <c r="F603" s="1087">
        <v>1.0106729644319437</v>
      </c>
      <c r="G603" s="1087">
        <v>1.0164213096607746</v>
      </c>
      <c r="H603" s="1087">
        <v>0.99175741272328766</v>
      </c>
      <c r="I603" s="1087">
        <v>1.0033004687839444</v>
      </c>
      <c r="K603">
        <v>1.8548313290838845</v>
      </c>
      <c r="L603">
        <v>0</v>
      </c>
      <c r="M603">
        <v>3.2494021117328098E-3</v>
      </c>
      <c r="N603">
        <v>0.35197120791229453</v>
      </c>
      <c r="O603">
        <v>0.23780758367198401</v>
      </c>
      <c r="P603">
        <v>1.3607221346945367E-2</v>
      </c>
      <c r="Q603">
        <v>1.6379028554740608E-3</v>
      </c>
      <c r="R603">
        <v>3.2437505564086797E-3</v>
      </c>
      <c r="S603">
        <v>0.35958860053592345</v>
      </c>
      <c r="T603">
        <v>0.40726042343199431</v>
      </c>
      <c r="U603">
        <v>0</v>
      </c>
      <c r="V603">
        <v>0.19938225759026817</v>
      </c>
      <c r="W603">
        <v>0.21831680700715259</v>
      </c>
      <c r="X603">
        <v>5.6436556574708981E-2</v>
      </c>
      <c r="Y603">
        <v>8.8284197124608894E-3</v>
      </c>
    </row>
    <row r="604" spans="1:25" x14ac:dyDescent="0.25">
      <c r="A604" s="1083"/>
      <c r="B604" s="1455">
        <v>354</v>
      </c>
      <c r="C604" s="1087">
        <v>1.0433356758333336</v>
      </c>
      <c r="D604" s="1087">
        <v>1.0205094509097137</v>
      </c>
      <c r="E604" s="1087">
        <v>0.98233689569970817</v>
      </c>
      <c r="F604" s="1087">
        <v>1.0178293610947231</v>
      </c>
      <c r="G604" s="1087">
        <v>0.96150785312697096</v>
      </c>
      <c r="H604" s="1087">
        <v>1.004837633308147</v>
      </c>
      <c r="I604" s="1087">
        <v>0.97867750150680533</v>
      </c>
      <c r="K604">
        <v>1.7826181212327756</v>
      </c>
      <c r="L604">
        <v>0</v>
      </c>
      <c r="M604">
        <v>3.589378130394236E-3</v>
      </c>
      <c r="N604">
        <v>0.32292257606360986</v>
      </c>
      <c r="O604">
        <v>0.23332011682809764</v>
      </c>
      <c r="P604">
        <v>1.2717836510120697E-2</v>
      </c>
      <c r="Q604">
        <v>1.477445112228413E-3</v>
      </c>
      <c r="R604">
        <v>3.5832179341236531E-3</v>
      </c>
      <c r="S604">
        <v>0.33922505057435787</v>
      </c>
      <c r="T604">
        <v>0.40976525534983599</v>
      </c>
      <c r="U604">
        <v>0</v>
      </c>
      <c r="V604">
        <v>0.19555360331603269</v>
      </c>
      <c r="W604">
        <v>0.2079923560909441</v>
      </c>
      <c r="X604">
        <v>4.9897703574608869E-2</v>
      </c>
      <c r="Y604">
        <v>9.7523380092100556E-3</v>
      </c>
    </row>
    <row r="605" spans="1:25" x14ac:dyDescent="0.25">
      <c r="A605" s="1083"/>
      <c r="B605" s="1455">
        <v>355</v>
      </c>
      <c r="C605" s="1087">
        <v>0.99933536346093754</v>
      </c>
      <c r="D605" s="1087">
        <v>0.9786979600793233</v>
      </c>
      <c r="E605" s="1087">
        <v>0.97803233857376048</v>
      </c>
      <c r="F605" s="1087">
        <v>1.0013103692409788</v>
      </c>
      <c r="G605" s="1087">
        <v>1.0062078354052841</v>
      </c>
      <c r="H605" s="1087">
        <v>1.0286998066607096</v>
      </c>
      <c r="I605" s="1087">
        <v>1.0339343216583248</v>
      </c>
      <c r="K605">
        <v>1.8884454827913797</v>
      </c>
      <c r="L605">
        <v>0</v>
      </c>
      <c r="M605">
        <v>3.9614967118995412E-3</v>
      </c>
      <c r="N605">
        <v>0.35176073472394997</v>
      </c>
      <c r="O605">
        <v>0.24079652569086218</v>
      </c>
      <c r="P605">
        <v>1.3307764930360589E-2</v>
      </c>
      <c r="Q605">
        <v>1.5612731637184381E-3</v>
      </c>
      <c r="R605">
        <v>3.9548991011296936E-3</v>
      </c>
      <c r="S605">
        <v>0.38753544851152816</v>
      </c>
      <c r="T605">
        <v>0.4030891738403195</v>
      </c>
      <c r="U605">
        <v>0</v>
      </c>
      <c r="V605">
        <v>0.2009600969209043</v>
      </c>
      <c r="W605">
        <v>0.22718621716735043</v>
      </c>
      <c r="X605">
        <v>5.1490913832019376E-2</v>
      </c>
      <c r="Y605">
        <v>1.0763931621136723E-2</v>
      </c>
    </row>
    <row r="606" spans="1:25" x14ac:dyDescent="0.25">
      <c r="A606" s="1083"/>
      <c r="B606" s="1455">
        <v>356</v>
      </c>
      <c r="C606" s="1087">
        <v>0.98707982824376483</v>
      </c>
      <c r="D606" s="1087">
        <v>0.99261176631318726</v>
      </c>
      <c r="E606" s="1087">
        <v>0.9793251050200994</v>
      </c>
      <c r="F606" s="1087">
        <v>1.0035340946042737</v>
      </c>
      <c r="G606" s="1087">
        <v>0.98325924471743298</v>
      </c>
      <c r="H606" s="1087">
        <v>0.98911245024190386</v>
      </c>
      <c r="I606" s="1087">
        <v>1.0026525927567262</v>
      </c>
      <c r="K606">
        <v>1.8534320930816066</v>
      </c>
      <c r="L606">
        <v>0</v>
      </c>
      <c r="M606">
        <v>3.8170593097922507E-3</v>
      </c>
      <c r="N606">
        <v>0.34025342945303366</v>
      </c>
      <c r="O606">
        <v>0.24117796336427094</v>
      </c>
      <c r="P606">
        <v>1.3110707617760828E-2</v>
      </c>
      <c r="Q606">
        <v>1.5739483897035786E-3</v>
      </c>
      <c r="R606">
        <v>3.810434875237845E-3</v>
      </c>
      <c r="S606">
        <v>0.37021096337753184</v>
      </c>
      <c r="T606">
        <v>0.40399210051359602</v>
      </c>
      <c r="U606">
        <v>0</v>
      </c>
      <c r="V606">
        <v>0.20174111257052493</v>
      </c>
      <c r="W606">
        <v>0.21957386406089954</v>
      </c>
      <c r="X606">
        <v>5.1433880547959325E-2</v>
      </c>
      <c r="Y606">
        <v>1.037074762087838E-2</v>
      </c>
    </row>
    <row r="607" spans="1:25" x14ac:dyDescent="0.25">
      <c r="A607" s="1083"/>
      <c r="B607" s="1455">
        <v>357</v>
      </c>
      <c r="C607" s="1087">
        <v>1.0308902953612114</v>
      </c>
      <c r="D607" s="1087">
        <v>1.0231794436401487</v>
      </c>
      <c r="E607" s="1087">
        <v>0.99633321327651736</v>
      </c>
      <c r="F607" s="1087">
        <v>0.96856450154801355</v>
      </c>
      <c r="G607" s="1087">
        <v>0.96554157411428521</v>
      </c>
      <c r="H607" s="1087">
        <v>0.99435629794351721</v>
      </c>
      <c r="I607" s="1087">
        <v>0.98026071438021445</v>
      </c>
      <c r="K607">
        <v>1.764547291117792</v>
      </c>
      <c r="L607">
        <v>0</v>
      </c>
      <c r="M607">
        <v>3.4906807427486763E-3</v>
      </c>
      <c r="N607">
        <v>0.32775238712247834</v>
      </c>
      <c r="O607">
        <v>0.22915371444311028</v>
      </c>
      <c r="P607">
        <v>1.2579944864353721E-2</v>
      </c>
      <c r="Q607">
        <v>1.516289272821278E-3</v>
      </c>
      <c r="R607">
        <v>3.4846281794324251E-3</v>
      </c>
      <c r="S607">
        <v>0.34184747768503709</v>
      </c>
      <c r="T607">
        <v>0.3900133573553623</v>
      </c>
      <c r="U607">
        <v>0</v>
      </c>
      <c r="V607">
        <v>0.19264854509242144</v>
      </c>
      <c r="W607">
        <v>0.20925034290278582</v>
      </c>
      <c r="X607">
        <v>5.0307275745690633E-2</v>
      </c>
      <c r="Y607">
        <v>9.484009197044431E-3</v>
      </c>
    </row>
    <row r="608" spans="1:25" x14ac:dyDescent="0.25">
      <c r="A608" s="1083"/>
      <c r="B608" s="1455">
        <v>358</v>
      </c>
      <c r="C608" s="1087">
        <v>0.96723661389311655</v>
      </c>
      <c r="D608" s="1087">
        <v>1.0226931993575665</v>
      </c>
      <c r="E608" s="1087">
        <v>1.0256927981144786</v>
      </c>
      <c r="F608" s="1087">
        <v>0.97908382397361959</v>
      </c>
      <c r="G608" s="1087">
        <v>0.96962322601899231</v>
      </c>
      <c r="H608" s="1087">
        <v>1.0317606563439692</v>
      </c>
      <c r="I608" s="1087">
        <v>1.0087261977339566</v>
      </c>
      <c r="K608">
        <v>1.9040223167796499</v>
      </c>
      <c r="L608">
        <v>0</v>
      </c>
      <c r="M608">
        <v>3.6362997623494132E-3</v>
      </c>
      <c r="N608">
        <v>0.37342457243893046</v>
      </c>
      <c r="O608">
        <v>0.23841289037046487</v>
      </c>
      <c r="P608">
        <v>1.3589966622574612E-2</v>
      </c>
      <c r="Q608">
        <v>1.6674560099467339E-3</v>
      </c>
      <c r="R608">
        <v>3.6302243589329459E-3</v>
      </c>
      <c r="S608">
        <v>0.38238578751012697</v>
      </c>
      <c r="T608">
        <v>0.39442471271753776</v>
      </c>
      <c r="U608">
        <v>0</v>
      </c>
      <c r="V608">
        <v>0.20050920227618405</v>
      </c>
      <c r="W608">
        <v>0.23411094002016425</v>
      </c>
      <c r="X608">
        <v>5.5622590215258276E-2</v>
      </c>
      <c r="Y608">
        <v>9.8802740018771734E-3</v>
      </c>
    </row>
    <row r="609" spans="1:25" x14ac:dyDescent="0.25">
      <c r="A609" s="1083"/>
      <c r="B609" s="1455">
        <v>359</v>
      </c>
      <c r="C609" s="1087">
        <v>1.0287992552968286</v>
      </c>
      <c r="D609" s="1087">
        <v>1.032637893352409</v>
      </c>
      <c r="E609" s="1087">
        <v>0.99450025765206718</v>
      </c>
      <c r="F609" s="1087">
        <v>1.0412907847661643</v>
      </c>
      <c r="G609" s="1087">
        <v>0.96644756887914762</v>
      </c>
      <c r="H609" s="1087">
        <v>1.0285331002534992</v>
      </c>
      <c r="I609" s="1087">
        <v>0.99904618166427173</v>
      </c>
      <c r="K609">
        <v>1.8361868982374945</v>
      </c>
      <c r="L609">
        <v>0</v>
      </c>
      <c r="M609">
        <v>3.6102773094303475E-3</v>
      </c>
      <c r="N609">
        <v>0.3371084687677221</v>
      </c>
      <c r="O609">
        <v>0.2365450603986331</v>
      </c>
      <c r="P609">
        <v>1.3190900333177715E-2</v>
      </c>
      <c r="Q609">
        <v>1.5108283124037267E-3</v>
      </c>
      <c r="R609">
        <v>3.604212044000083E-3</v>
      </c>
      <c r="S609">
        <v>0.35307167757651803</v>
      </c>
      <c r="T609">
        <v>0.41928663467911154</v>
      </c>
      <c r="U609">
        <v>0</v>
      </c>
      <c r="V609">
        <v>0.19838397913422293</v>
      </c>
      <c r="W609">
        <v>0.21547112629941498</v>
      </c>
      <c r="X609">
        <v>5.1814810946130802E-2</v>
      </c>
      <c r="Y609">
        <v>9.8094770555872367E-3</v>
      </c>
    </row>
    <row r="610" spans="1:25" x14ac:dyDescent="0.25">
      <c r="A610" s="1083"/>
      <c r="B610" s="1455">
        <v>360</v>
      </c>
      <c r="C610" s="1087">
        <v>1.0208581489322057</v>
      </c>
      <c r="D610" s="1087">
        <v>1.0285194535217943</v>
      </c>
      <c r="E610" s="1087">
        <v>1.0417132666971005</v>
      </c>
      <c r="F610" s="1087">
        <v>0.99974698979676824</v>
      </c>
      <c r="G610" s="1087">
        <v>1.0223157299042185</v>
      </c>
      <c r="H610" s="1087">
        <v>1.0170529893770142</v>
      </c>
      <c r="I610" s="1087">
        <v>1.0291431434320164</v>
      </c>
      <c r="K610">
        <v>1.8512389164499556</v>
      </c>
      <c r="L610">
        <v>0</v>
      </c>
      <c r="M610">
        <v>3.2752623304012672E-3</v>
      </c>
      <c r="N610">
        <v>0.35314934163788853</v>
      </c>
      <c r="O610">
        <v>0.23400714469752246</v>
      </c>
      <c r="P610">
        <v>1.3576609149271416E-2</v>
      </c>
      <c r="Q610">
        <v>1.602954780679408E-3</v>
      </c>
      <c r="R610">
        <v>3.2697052070238832E-3</v>
      </c>
      <c r="S610">
        <v>0.365965334795466</v>
      </c>
      <c r="T610">
        <v>0.40284821027551609</v>
      </c>
      <c r="U610">
        <v>0</v>
      </c>
      <c r="V610">
        <v>0.19629668167191636</v>
      </c>
      <c r="W610">
        <v>0.2192493479490327</v>
      </c>
      <c r="X610">
        <v>5.5649788900550258E-2</v>
      </c>
      <c r="Y610">
        <v>8.8990597154871964E-3</v>
      </c>
    </row>
    <row r="611" spans="1:25" x14ac:dyDescent="0.25">
      <c r="A611" s="1083"/>
      <c r="B611" s="1455">
        <v>361</v>
      </c>
      <c r="C611" s="1087">
        <v>1.0321057056518645</v>
      </c>
      <c r="D611" s="1087">
        <v>1.017362904280722</v>
      </c>
      <c r="E611" s="1087">
        <v>1.0065838217694585</v>
      </c>
      <c r="F611" s="1087">
        <v>1.0203987777195425</v>
      </c>
      <c r="G611" s="1087">
        <v>1.0129245909545426</v>
      </c>
      <c r="H611" s="1087">
        <v>1.0013900552279873</v>
      </c>
      <c r="I611" s="1087">
        <v>1.0094227692793933</v>
      </c>
      <c r="K611">
        <v>1.820259493787973</v>
      </c>
      <c r="L611">
        <v>0</v>
      </c>
      <c r="M611">
        <v>3.4475791259174593E-3</v>
      </c>
      <c r="N611">
        <v>0.33399471871478736</v>
      </c>
      <c r="O611">
        <v>0.23558337095031859</v>
      </c>
      <c r="P611">
        <v>1.3192555577371496E-2</v>
      </c>
      <c r="Q611">
        <v>1.5346199675344155E-3</v>
      </c>
      <c r="R611">
        <v>3.4416456439292863E-3</v>
      </c>
      <c r="S611">
        <v>0.35399049663486293</v>
      </c>
      <c r="T611">
        <v>0.41094898766823101</v>
      </c>
      <c r="U611">
        <v>0</v>
      </c>
      <c r="V611">
        <v>0.19722158628381703</v>
      </c>
      <c r="W611">
        <v>0.21187581242687772</v>
      </c>
      <c r="X611">
        <v>5.2556254141565402E-2</v>
      </c>
      <c r="Y611">
        <v>9.3670249045939118E-3</v>
      </c>
    </row>
    <row r="612" spans="1:25" x14ac:dyDescent="0.25">
      <c r="A612" s="1083"/>
      <c r="B612" s="1455">
        <v>362</v>
      </c>
      <c r="C612" s="1087">
        <v>1.0105627060097042</v>
      </c>
      <c r="D612" s="1087">
        <v>1.01474194261803</v>
      </c>
      <c r="E612" s="1087">
        <v>1.009483124656122</v>
      </c>
      <c r="F612" s="1087">
        <v>0.98202238928396635</v>
      </c>
      <c r="G612" s="1087">
        <v>0.98776809878494776</v>
      </c>
      <c r="H612" s="1087">
        <v>1.0133382351084612</v>
      </c>
      <c r="I612" s="1087">
        <v>0.9755940844362927</v>
      </c>
      <c r="K612">
        <v>1.8214427882178432</v>
      </c>
      <c r="L612">
        <v>0</v>
      </c>
      <c r="M612">
        <v>3.5486560419110301E-3</v>
      </c>
      <c r="N612">
        <v>0.34684785327733575</v>
      </c>
      <c r="O612">
        <v>0.23405977802992245</v>
      </c>
      <c r="P612">
        <v>1.2971513381360471E-2</v>
      </c>
      <c r="Q612">
        <v>1.5737873069576226E-3</v>
      </c>
      <c r="R612">
        <v>3.5426257297761191E-3</v>
      </c>
      <c r="S612">
        <v>0.35211193112545131</v>
      </c>
      <c r="T612">
        <v>0.39551087192034928</v>
      </c>
      <c r="U612">
        <v>0</v>
      </c>
      <c r="V612">
        <v>0.19638750074921896</v>
      </c>
      <c r="W612">
        <v>0.21963360054890849</v>
      </c>
      <c r="X612">
        <v>5.2710122780280332E-2</v>
      </c>
      <c r="Y612">
        <v>9.6418594101926377E-3</v>
      </c>
    </row>
    <row r="613" spans="1:25" x14ac:dyDescent="0.25">
      <c r="A613" s="1083"/>
      <c r="B613" s="1455">
        <v>363</v>
      </c>
      <c r="C613" s="1087">
        <v>0.97320097811820505</v>
      </c>
      <c r="D613" s="1087">
        <v>0.99716965255744217</v>
      </c>
      <c r="E613" s="1087">
        <v>1.0138778358979965</v>
      </c>
      <c r="F613" s="1087">
        <v>0.9972995488550036</v>
      </c>
      <c r="G613" s="1087">
        <v>0.98782591707044032</v>
      </c>
      <c r="H613" s="1087">
        <v>0.99528743939818898</v>
      </c>
      <c r="I613" s="1087">
        <v>1.0412612671533596</v>
      </c>
      <c r="K613">
        <v>1.9025461661370262</v>
      </c>
      <c r="L613">
        <v>0</v>
      </c>
      <c r="M613">
        <v>3.6208513113874141E-3</v>
      </c>
      <c r="N613">
        <v>0.35866891116587063</v>
      </c>
      <c r="O613">
        <v>0.24219585123471105</v>
      </c>
      <c r="P613">
        <v>1.371612287611592E-2</v>
      </c>
      <c r="Q613">
        <v>1.6533428651421527E-3</v>
      </c>
      <c r="R613">
        <v>3.614602118216187E-3</v>
      </c>
      <c r="S613">
        <v>0.39057562517626332</v>
      </c>
      <c r="T613">
        <v>0.40169054443156776</v>
      </c>
      <c r="U613">
        <v>0</v>
      </c>
      <c r="V613">
        <v>0.20269902312929614</v>
      </c>
      <c r="W613">
        <v>0.22650165826450369</v>
      </c>
      <c r="X613">
        <v>5.5013580774209203E-2</v>
      </c>
      <c r="Y613">
        <v>9.8377554125164274E-3</v>
      </c>
    </row>
    <row r="614" spans="1:25" x14ac:dyDescent="0.25">
      <c r="A614" s="1083"/>
      <c r="B614" s="1455">
        <v>364</v>
      </c>
      <c r="C614" s="1087">
        <v>0.99091294433443333</v>
      </c>
      <c r="D614" s="1087">
        <v>0.97179885264463328</v>
      </c>
      <c r="E614" s="1087">
        <v>0.97589437030082293</v>
      </c>
      <c r="F614" s="1087">
        <v>0.98133341821191189</v>
      </c>
      <c r="G614" s="1087">
        <v>1.0125728366960178</v>
      </c>
      <c r="H614" s="1087">
        <v>1.0060305401068403</v>
      </c>
      <c r="I614" s="1087">
        <v>0.95677994181861092</v>
      </c>
      <c r="K614">
        <v>1.8426701692981038</v>
      </c>
      <c r="L614">
        <v>0</v>
      </c>
      <c r="M614">
        <v>3.9384036273062703E-3</v>
      </c>
      <c r="N614">
        <v>0.34741954539892889</v>
      </c>
      <c r="O614">
        <v>0.24004964233647685</v>
      </c>
      <c r="P614">
        <v>1.2789283402391402E-2</v>
      </c>
      <c r="Q614">
        <v>1.5753689604656373E-3</v>
      </c>
      <c r="R614">
        <v>3.9317019469672929E-3</v>
      </c>
      <c r="S614">
        <v>0.35899777575917002</v>
      </c>
      <c r="T614">
        <v>0.39503471769342829</v>
      </c>
      <c r="U614">
        <v>0</v>
      </c>
      <c r="V614">
        <v>0.20047303838702263</v>
      </c>
      <c r="W614">
        <v>0.22468764342753711</v>
      </c>
      <c r="X614">
        <v>5.0949058998573236E-2</v>
      </c>
      <c r="Y614">
        <v>1.0700796614446484E-2</v>
      </c>
    </row>
    <row r="615" spans="1:25" x14ac:dyDescent="0.25">
      <c r="A615" s="1083"/>
      <c r="B615" s="1455">
        <v>365</v>
      </c>
      <c r="C615" s="1087">
        <v>1.0269842541962164</v>
      </c>
      <c r="D615" s="1087">
        <v>1.0132141994133104</v>
      </c>
      <c r="E615" s="1087">
        <v>1.0135173013683598</v>
      </c>
      <c r="F615" s="1087">
        <v>0.98587785851682752</v>
      </c>
      <c r="G615" s="1087">
        <v>1.0152704935039198</v>
      </c>
      <c r="H615" s="1087">
        <v>0.99790530949498613</v>
      </c>
      <c r="I615" s="1087">
        <v>0.9786400791684341</v>
      </c>
      <c r="K615">
        <v>1.797586557496669</v>
      </c>
      <c r="L615">
        <v>0</v>
      </c>
      <c r="M615">
        <v>3.4128777119671822E-3</v>
      </c>
      <c r="N615">
        <v>0.33769655650094782</v>
      </c>
      <c r="O615">
        <v>0.23279743851847065</v>
      </c>
      <c r="P615">
        <v>1.2919655367294303E-2</v>
      </c>
      <c r="Q615">
        <v>1.5561917930860952E-3</v>
      </c>
      <c r="R615">
        <v>3.4069891292107524E-3</v>
      </c>
      <c r="S615">
        <v>0.34523100988061112</v>
      </c>
      <c r="T615">
        <v>0.39708796174760552</v>
      </c>
      <c r="U615">
        <v>0</v>
      </c>
      <c r="V615">
        <v>0.19512384701100413</v>
      </c>
      <c r="W615">
        <v>0.21330503945705315</v>
      </c>
      <c r="X615">
        <v>5.2602044507306663E-2</v>
      </c>
      <c r="Y615">
        <v>9.2727012960470666E-3</v>
      </c>
    </row>
    <row r="616" spans="1:25" x14ac:dyDescent="0.25">
      <c r="A616" s="1083"/>
      <c r="B616" s="1455">
        <v>366</v>
      </c>
      <c r="C616" s="1087">
        <v>1.0020835072242367</v>
      </c>
      <c r="D616" s="1087">
        <v>0.98992377309190094</v>
      </c>
      <c r="E616" s="1087">
        <v>1.0201845378890606</v>
      </c>
      <c r="F616" s="1087">
        <v>1.0099030320792874</v>
      </c>
      <c r="G616" s="1087">
        <v>1.0266249417643705</v>
      </c>
      <c r="H616" s="1087">
        <v>1.001455451356666</v>
      </c>
      <c r="I616" s="1087">
        <v>0.98868398987183226</v>
      </c>
      <c r="K616">
        <v>1.8682003069171833</v>
      </c>
      <c r="L616">
        <v>0</v>
      </c>
      <c r="M616">
        <v>3.5067137101804534E-3</v>
      </c>
      <c r="N616">
        <v>0.35410892607598043</v>
      </c>
      <c r="O616">
        <v>0.24096210414619085</v>
      </c>
      <c r="P616">
        <v>1.3443312176460321E-2</v>
      </c>
      <c r="Q616">
        <v>1.621143730572919E-3</v>
      </c>
      <c r="R616">
        <v>3.5007051273242855E-3</v>
      </c>
      <c r="S616">
        <v>0.36281175765227358</v>
      </c>
      <c r="T616">
        <v>0.40680600745271528</v>
      </c>
      <c r="U616">
        <v>0</v>
      </c>
      <c r="V616">
        <v>0.20105616818519398</v>
      </c>
      <c r="W616">
        <v>0.22275368471833654</v>
      </c>
      <c r="X616">
        <v>5.5115446012871251E-2</v>
      </c>
      <c r="Y616">
        <v>9.527765349441629E-3</v>
      </c>
    </row>
    <row r="617" spans="1:25" x14ac:dyDescent="0.25">
      <c r="A617" s="1083"/>
      <c r="B617" s="1455">
        <v>367</v>
      </c>
      <c r="C617" s="1087">
        <v>1.0264553524327305</v>
      </c>
      <c r="D617" s="1087">
        <v>1.0403722557672608</v>
      </c>
      <c r="E617" s="1087">
        <v>0.99592597486223977</v>
      </c>
      <c r="F617" s="1087">
        <v>0.99250732305151046</v>
      </c>
      <c r="G617" s="1087">
        <v>0.99185003996815535</v>
      </c>
      <c r="H617" s="1087">
        <v>0.97343901473221484</v>
      </c>
      <c r="I617" s="1087">
        <v>1.0295687375867657</v>
      </c>
      <c r="K617">
        <v>1.7752586084974435</v>
      </c>
      <c r="L617">
        <v>0</v>
      </c>
      <c r="M617">
        <v>3.4033071206299326E-3</v>
      </c>
      <c r="N617">
        <v>0.31913821115910274</v>
      </c>
      <c r="O617">
        <v>0.23075057902950971</v>
      </c>
      <c r="P617">
        <v>1.2887764739369183E-2</v>
      </c>
      <c r="Q617">
        <v>1.5120662883782237E-3</v>
      </c>
      <c r="R617">
        <v>3.3972637601121973E-3</v>
      </c>
      <c r="S617">
        <v>0.3535267746098299</v>
      </c>
      <c r="T617">
        <v>0.39965200782729898</v>
      </c>
      <c r="U617">
        <v>0</v>
      </c>
      <c r="V617">
        <v>0.19424107240272881</v>
      </c>
      <c r="W617">
        <v>0.20380270812152221</v>
      </c>
      <c r="X617">
        <v>5.0507235632893763E-2</v>
      </c>
      <c r="Y617">
        <v>9.2462320473278604E-3</v>
      </c>
    </row>
    <row r="618" spans="1:25" x14ac:dyDescent="0.25">
      <c r="A618" s="1083"/>
      <c r="B618" s="1455">
        <v>368</v>
      </c>
      <c r="C618" s="1087">
        <v>0.98505841073372435</v>
      </c>
      <c r="D618" s="1087">
        <v>0.99773234801211075</v>
      </c>
      <c r="E618" s="1087">
        <v>0.99227221057967496</v>
      </c>
      <c r="F618" s="1087">
        <v>1.0184997091364552</v>
      </c>
      <c r="G618" s="1087">
        <v>1.0014920099014453</v>
      </c>
      <c r="H618" s="1087">
        <v>0.98127374073180018</v>
      </c>
      <c r="I618" s="1087">
        <v>1.0327658269412383</v>
      </c>
      <c r="K618">
        <v>1.8742618476674697</v>
      </c>
      <c r="L618">
        <v>0</v>
      </c>
      <c r="M618">
        <v>3.6854812013215397E-3</v>
      </c>
      <c r="N618">
        <v>0.34177341464626504</v>
      </c>
      <c r="O618">
        <v>0.24287554812519799</v>
      </c>
      <c r="P618">
        <v>1.3468816579630312E-2</v>
      </c>
      <c r="Q618">
        <v>1.5959627774907235E-3</v>
      </c>
      <c r="R618">
        <v>3.6790295731414144E-3</v>
      </c>
      <c r="S618">
        <v>0.37969254025309884</v>
      </c>
      <c r="T618">
        <v>0.41009588455355639</v>
      </c>
      <c r="U618">
        <v>0</v>
      </c>
      <c r="V618">
        <v>0.20305913028186892</v>
      </c>
      <c r="W618">
        <v>0.21875868808218854</v>
      </c>
      <c r="X618">
        <v>5.2935208290032905E-2</v>
      </c>
      <c r="Y618">
        <v>1.0013105706318087E-2</v>
      </c>
    </row>
    <row r="619" spans="1:25" x14ac:dyDescent="0.25">
      <c r="A619" s="1083"/>
      <c r="B619" s="1455">
        <v>369</v>
      </c>
      <c r="C619" s="1087">
        <v>1.0254714786918744</v>
      </c>
      <c r="D619" s="1087">
        <v>0.97331029843737638</v>
      </c>
      <c r="E619" s="1087">
        <v>1.0053558705148984</v>
      </c>
      <c r="F619" s="1087">
        <v>1.016817242173484</v>
      </c>
      <c r="G619" s="1087">
        <v>1.0299218965286239</v>
      </c>
      <c r="H619" s="1087">
        <v>0.97864927354570574</v>
      </c>
      <c r="I619" s="1087">
        <v>0.98347150702810315</v>
      </c>
      <c r="K619">
        <v>1.8289291166721933</v>
      </c>
      <c r="L619">
        <v>0</v>
      </c>
      <c r="M619">
        <v>3.4835876567385284E-3</v>
      </c>
      <c r="N619">
        <v>0.3362118958774139</v>
      </c>
      <c r="O619">
        <v>0.24043741568562599</v>
      </c>
      <c r="P619">
        <v>1.3168578659213887E-2</v>
      </c>
      <c r="Q619">
        <v>1.5700907516175225E-3</v>
      </c>
      <c r="R619">
        <v>3.4774938042411597E-3</v>
      </c>
      <c r="S619">
        <v>0.35179567155672758</v>
      </c>
      <c r="T619">
        <v>0.40949898506668253</v>
      </c>
      <c r="U619">
        <v>0</v>
      </c>
      <c r="V619">
        <v>0.19999232753775487</v>
      </c>
      <c r="W619">
        <v>0.21344529109858132</v>
      </c>
      <c r="X619">
        <v>5.3350362511453212E-2</v>
      </c>
      <c r="Y619">
        <v>9.4645917796199585E-3</v>
      </c>
    </row>
    <row r="620" spans="1:25" x14ac:dyDescent="0.25">
      <c r="A620" s="1083"/>
      <c r="B620" s="1455">
        <v>370</v>
      </c>
      <c r="C620" s="1087">
        <v>1.0298085892130109</v>
      </c>
      <c r="D620" s="1087">
        <v>1.0111852216944497</v>
      </c>
      <c r="E620" s="1087">
        <v>1.0243208669547084</v>
      </c>
      <c r="F620" s="1087">
        <v>1.0106795814944838</v>
      </c>
      <c r="G620" s="1087">
        <v>1.029662760594386</v>
      </c>
      <c r="H620" s="1087">
        <v>0.98440309722106678</v>
      </c>
      <c r="I620" s="1087">
        <v>0.99419362161315727</v>
      </c>
      <c r="K620">
        <v>1.8124867890618681</v>
      </c>
      <c r="L620">
        <v>0</v>
      </c>
      <c r="M620">
        <v>3.2868221788047887E-3</v>
      </c>
      <c r="N620">
        <v>0.33610152161328916</v>
      </c>
      <c r="O620">
        <v>0.23564171847065307</v>
      </c>
      <c r="P620">
        <v>1.3226105739623333E-2</v>
      </c>
      <c r="Q620">
        <v>1.5709765366942188E-3</v>
      </c>
      <c r="R620">
        <v>3.2810738622554912E-3</v>
      </c>
      <c r="S620">
        <v>0.34787912108804986</v>
      </c>
      <c r="T620">
        <v>0.40714454055267968</v>
      </c>
      <c r="U620">
        <v>0</v>
      </c>
      <c r="V620">
        <v>0.19708619304405633</v>
      </c>
      <c r="W620">
        <v>0.21088935633326839</v>
      </c>
      <c r="X620">
        <v>5.4023002552750346E-2</v>
      </c>
      <c r="Y620">
        <v>8.930001447351444E-3</v>
      </c>
    </row>
    <row r="621" spans="1:25" x14ac:dyDescent="0.25">
      <c r="A621" s="1083"/>
      <c r="B621" s="1455">
        <v>371</v>
      </c>
      <c r="C621" s="1087">
        <v>1.0260106575054402</v>
      </c>
      <c r="D621" s="1087">
        <v>0.96073953473754892</v>
      </c>
      <c r="E621" s="1087">
        <v>0.98462982850157199</v>
      </c>
      <c r="F621" s="1087">
        <v>0.98034331247646478</v>
      </c>
      <c r="G621" s="1087">
        <v>0.97590776021060088</v>
      </c>
      <c r="H621" s="1087">
        <v>0.98914435289369429</v>
      </c>
      <c r="I621" s="1087">
        <v>1.0308380463339106</v>
      </c>
      <c r="K621">
        <v>1.8279757395025857</v>
      </c>
      <c r="L621">
        <v>0</v>
      </c>
      <c r="M621">
        <v>3.6970336424851386E-3</v>
      </c>
      <c r="N621">
        <v>0.33494243941912749</v>
      </c>
      <c r="O621">
        <v>0.23703102922259572</v>
      </c>
      <c r="P621">
        <v>1.3015351000539381E-2</v>
      </c>
      <c r="Q621">
        <v>1.5429019123451976E-3</v>
      </c>
      <c r="R621">
        <v>3.6906463081876209E-3</v>
      </c>
      <c r="S621">
        <v>0.37292119448188282</v>
      </c>
      <c r="T621">
        <v>0.39468730389806561</v>
      </c>
      <c r="U621">
        <v>0</v>
      </c>
      <c r="V621">
        <v>0.19735001729071253</v>
      </c>
      <c r="W621">
        <v>0.21542155085930867</v>
      </c>
      <c r="X621">
        <v>5.1025616122646555E-2</v>
      </c>
      <c r="Y621">
        <v>1.0044722629658186E-2</v>
      </c>
    </row>
    <row r="622" spans="1:25" x14ac:dyDescent="0.25">
      <c r="A622" s="1083"/>
      <c r="B622" s="1455">
        <v>372</v>
      </c>
      <c r="C622" s="1087">
        <v>0.98800924832637638</v>
      </c>
      <c r="D622" s="1087">
        <v>1.0018792700520764</v>
      </c>
      <c r="E622" s="1087">
        <v>0.99517296178260894</v>
      </c>
      <c r="F622" s="1087">
        <v>0.99686084239859163</v>
      </c>
      <c r="G622" s="1087">
        <v>1.0311969508525967</v>
      </c>
      <c r="H622" s="1087">
        <v>1.0053226130563249</v>
      </c>
      <c r="I622" s="1087">
        <v>0.98156519907420636</v>
      </c>
      <c r="K622">
        <v>1.8549730858849414</v>
      </c>
      <c r="L622">
        <v>0</v>
      </c>
      <c r="M622">
        <v>3.733778508761798E-3</v>
      </c>
      <c r="N622">
        <v>0.34934667456406659</v>
      </c>
      <c r="O622">
        <v>0.23957547254007985</v>
      </c>
      <c r="P622">
        <v>1.3124759921644748E-2</v>
      </c>
      <c r="Q622">
        <v>1.5934922493021125E-3</v>
      </c>
      <c r="R622">
        <v>3.7273947658612353E-3</v>
      </c>
      <c r="S622">
        <v>0.36332128530198937</v>
      </c>
      <c r="T622">
        <v>0.40140050156421947</v>
      </c>
      <c r="U622">
        <v>0</v>
      </c>
      <c r="V622">
        <v>0.20066282735359214</v>
      </c>
      <c r="W622">
        <v>0.22319927453163005</v>
      </c>
      <c r="X622">
        <v>5.2610441783996355E-2</v>
      </c>
      <c r="Y622">
        <v>1.0144739817319948E-2</v>
      </c>
    </row>
    <row r="623" spans="1:25" x14ac:dyDescent="0.25">
      <c r="A623" s="1083"/>
      <c r="B623" s="1455">
        <v>373</v>
      </c>
      <c r="C623" s="1087">
        <v>1.0161316131091049</v>
      </c>
      <c r="D623" s="1087">
        <v>0.99114109115092108</v>
      </c>
      <c r="E623" s="1087">
        <v>0.99442227138827177</v>
      </c>
      <c r="F623" s="1087">
        <v>1.0016900346295925</v>
      </c>
      <c r="G623" s="1087">
        <v>0.96426377870718882</v>
      </c>
      <c r="H623" s="1087">
        <v>0.9655314222937289</v>
      </c>
      <c r="I623" s="1087">
        <v>1.0133771051790974</v>
      </c>
      <c r="K623">
        <v>1.8128530997168368</v>
      </c>
      <c r="L623">
        <v>0</v>
      </c>
      <c r="M623">
        <v>3.5123140788577921E-3</v>
      </c>
      <c r="N623">
        <v>0.32785105848718327</v>
      </c>
      <c r="O623">
        <v>0.23781084565952298</v>
      </c>
      <c r="P623">
        <v>1.3066340033161173E-2</v>
      </c>
      <c r="Q623">
        <v>1.5548361513914532E-3</v>
      </c>
      <c r="R623">
        <v>3.506070627393595E-3</v>
      </c>
      <c r="S623">
        <v>0.35964904052323504</v>
      </c>
      <c r="T623">
        <v>0.40334050663701282</v>
      </c>
      <c r="U623">
        <v>0</v>
      </c>
      <c r="V623">
        <v>0.19863937738537016</v>
      </c>
      <c r="W623">
        <v>0.20956427997397276</v>
      </c>
      <c r="X623">
        <v>5.1840689845556384E-2</v>
      </c>
      <c r="Y623">
        <v>9.5423684718936672E-3</v>
      </c>
    </row>
    <row r="624" spans="1:25" x14ac:dyDescent="0.25">
      <c r="A624" s="1083"/>
      <c r="B624" s="1455">
        <v>374</v>
      </c>
      <c r="C624" s="1087">
        <v>0.97131029901791621</v>
      </c>
      <c r="D624" s="1087">
        <v>0.98464265630558123</v>
      </c>
      <c r="E624" s="1087">
        <v>0.98563359087716118</v>
      </c>
      <c r="F624" s="1087">
        <v>1.029953283392691</v>
      </c>
      <c r="G624" s="1087">
        <v>0.99448113990674547</v>
      </c>
      <c r="H624" s="1087">
        <v>1.027691519017957</v>
      </c>
      <c r="I624" s="1087">
        <v>1.0187888608104867</v>
      </c>
      <c r="K624">
        <v>1.9359569101463465</v>
      </c>
      <c r="L624">
        <v>0</v>
      </c>
      <c r="M624">
        <v>3.9964166655311641E-3</v>
      </c>
      <c r="N624">
        <v>0.36319940071317564</v>
      </c>
      <c r="O624">
        <v>0.24721527799827533</v>
      </c>
      <c r="P624">
        <v>1.3665730738594962E-2</v>
      </c>
      <c r="Q624">
        <v>1.6155898211314345E-3</v>
      </c>
      <c r="R624">
        <v>3.9897492930162414E-3</v>
      </c>
      <c r="S624">
        <v>0.39147589798873716</v>
      </c>
      <c r="T624">
        <v>0.41466653048781871</v>
      </c>
      <c r="U624">
        <v>0</v>
      </c>
      <c r="V624">
        <v>0.20626734665263113</v>
      </c>
      <c r="W624">
        <v>0.23344718729525346</v>
      </c>
      <c r="X624">
        <v>5.3551833468152059E-2</v>
      </c>
      <c r="Y624">
        <v>1.085878235508924E-2</v>
      </c>
    </row>
    <row r="625" spans="1:25" x14ac:dyDescent="0.25">
      <c r="A625" s="1083"/>
      <c r="B625" s="1455">
        <v>375</v>
      </c>
      <c r="C625" s="1087">
        <v>0.96579428058998418</v>
      </c>
      <c r="D625" s="1087">
        <v>0.95556207934464721</v>
      </c>
      <c r="E625" s="1087">
        <v>1.0390760780139876</v>
      </c>
      <c r="F625" s="1087">
        <v>1.0216246764894406</v>
      </c>
      <c r="G625" s="1087">
        <v>0.99432581652507968</v>
      </c>
      <c r="H625" s="1087">
        <v>1.007172134266046</v>
      </c>
      <c r="I625" s="1087">
        <v>1.0043443861343111</v>
      </c>
      <c r="K625">
        <v>1.9692579563925348</v>
      </c>
      <c r="L625">
        <v>0</v>
      </c>
      <c r="M625">
        <v>3.5873068405354617E-3</v>
      </c>
      <c r="N625">
        <v>0.38370412546745009</v>
      </c>
      <c r="O625">
        <v>0.25076388187956461</v>
      </c>
      <c r="P625">
        <v>1.4196453488736414E-2</v>
      </c>
      <c r="Q625">
        <v>1.740155844896941E-3</v>
      </c>
      <c r="R625">
        <v>3.5812245173982163E-3</v>
      </c>
      <c r="S625">
        <v>0.3913017777639054</v>
      </c>
      <c r="T625">
        <v>0.41164704528534962</v>
      </c>
      <c r="U625">
        <v>0</v>
      </c>
      <c r="V625">
        <v>0.20813763751318445</v>
      </c>
      <c r="W625">
        <v>0.23860013363442323</v>
      </c>
      <c r="X625">
        <v>5.9425915252147826E-2</v>
      </c>
      <c r="Y625">
        <v>9.7469125860130627E-3</v>
      </c>
    </row>
    <row r="626" spans="1:25" x14ac:dyDescent="0.25">
      <c r="A626" s="1083"/>
      <c r="B626" s="1455">
        <v>376</v>
      </c>
      <c r="C626" s="1087">
        <v>1.0019727917267038</v>
      </c>
      <c r="D626" s="1087">
        <v>1.0078369039958359</v>
      </c>
      <c r="E626" s="1087">
        <v>0.99329565620528348</v>
      </c>
      <c r="F626" s="1087">
        <v>0.99862569159089576</v>
      </c>
      <c r="G626" s="1087">
        <v>0.96866347208206061</v>
      </c>
      <c r="H626" s="1087">
        <v>1.00809095842779</v>
      </c>
      <c r="I626" s="1087">
        <v>0.99744032487925738</v>
      </c>
      <c r="K626">
        <v>1.8420426566757508</v>
      </c>
      <c r="L626">
        <v>0</v>
      </c>
      <c r="M626">
        <v>3.6941288259947471E-3</v>
      </c>
      <c r="N626">
        <v>0.34366270365899193</v>
      </c>
      <c r="O626">
        <v>0.23747461934856415</v>
      </c>
      <c r="P626">
        <v>1.3093144057885345E-2</v>
      </c>
      <c r="Q626">
        <v>1.564421324273695E-3</v>
      </c>
      <c r="R626">
        <v>3.6878248181784843E-3</v>
      </c>
      <c r="S626">
        <v>0.36333172734359948</v>
      </c>
      <c r="T626">
        <v>0.40209983118093784</v>
      </c>
      <c r="U626">
        <v>0</v>
      </c>
      <c r="V626">
        <v>0.19898353548631736</v>
      </c>
      <c r="W626">
        <v>0.21982657995567023</v>
      </c>
      <c r="X626">
        <v>5.1975354863367962E-2</v>
      </c>
      <c r="Y626">
        <v>1.0037043463957248E-2</v>
      </c>
    </row>
    <row r="627" spans="1:25" x14ac:dyDescent="0.25">
      <c r="A627" s="1083"/>
      <c r="B627" s="1455">
        <v>377</v>
      </c>
      <c r="C627" s="1087">
        <v>0.97039516515587565</v>
      </c>
      <c r="D627" s="1087">
        <v>1.0148026997756796</v>
      </c>
      <c r="E627" s="1087">
        <v>0.98804554257904009</v>
      </c>
      <c r="F627" s="1087">
        <v>1.0135059518419813</v>
      </c>
      <c r="G627" s="1087">
        <v>1.002286800038269</v>
      </c>
      <c r="H627" s="1087">
        <v>0.99231022151577974</v>
      </c>
      <c r="I627" s="1087">
        <v>0.98750766725439254</v>
      </c>
      <c r="K627">
        <v>1.8667472271500314</v>
      </c>
      <c r="L627">
        <v>0</v>
      </c>
      <c r="M627">
        <v>3.7813587667702192E-3</v>
      </c>
      <c r="N627">
        <v>0.34617276215177162</v>
      </c>
      <c r="O627">
        <v>0.24235617642224741</v>
      </c>
      <c r="P627">
        <v>1.323150633769057E-2</v>
      </c>
      <c r="Q627">
        <v>1.6018546712243324E-3</v>
      </c>
      <c r="R627">
        <v>3.7747975458099002E-3</v>
      </c>
      <c r="S627">
        <v>0.36707436079444317</v>
      </c>
      <c r="T627">
        <v>0.40805938972397504</v>
      </c>
      <c r="U627">
        <v>0</v>
      </c>
      <c r="V627">
        <v>0.2033269497063083</v>
      </c>
      <c r="W627">
        <v>0.22216487379600866</v>
      </c>
      <c r="X627">
        <v>5.2492160209305146E-2</v>
      </c>
      <c r="Y627">
        <v>1.0273754558017999E-2</v>
      </c>
    </row>
    <row r="628" spans="1:25" x14ac:dyDescent="0.25">
      <c r="A628" s="1083"/>
      <c r="B628" s="1455">
        <v>378</v>
      </c>
      <c r="C628" s="1087">
        <v>1.0211601156820573</v>
      </c>
      <c r="D628" s="1087">
        <v>0.99640945418857041</v>
      </c>
      <c r="E628" s="1087">
        <v>0.97491121290289595</v>
      </c>
      <c r="F628" s="1087">
        <v>1.0046328685444235</v>
      </c>
      <c r="G628" s="1087">
        <v>0.97340959411094519</v>
      </c>
      <c r="H628" s="1087">
        <v>1.0402820486170774</v>
      </c>
      <c r="I628" s="1087">
        <v>1.0037166950970424</v>
      </c>
      <c r="K628">
        <v>1.8470839580468514</v>
      </c>
      <c r="L628">
        <v>0</v>
      </c>
      <c r="M628">
        <v>3.9071311799544605E-3</v>
      </c>
      <c r="N628">
        <v>0.34364387720370504</v>
      </c>
      <c r="O628">
        <v>0.23674979996665896</v>
      </c>
      <c r="P628">
        <v>1.2972668705639153E-2</v>
      </c>
      <c r="Q628">
        <v>1.511884233642738E-3</v>
      </c>
      <c r="R628">
        <v>3.9006798275029449E-3</v>
      </c>
      <c r="S628">
        <v>0.36654330746973257</v>
      </c>
      <c r="T628">
        <v>0.40440800799798382</v>
      </c>
      <c r="U628">
        <v>0</v>
      </c>
      <c r="V628">
        <v>0.19796754495682845</v>
      </c>
      <c r="W628">
        <v>0.2223849205105099</v>
      </c>
      <c r="X628">
        <v>5.0292033722897506E-2</v>
      </c>
      <c r="Y628">
        <v>1.061636463170346E-2</v>
      </c>
    </row>
    <row r="629" spans="1:25" x14ac:dyDescent="0.25">
      <c r="A629" s="1083"/>
      <c r="B629" s="1455">
        <v>379</v>
      </c>
      <c r="C629" s="1087">
        <v>0.97706847343785519</v>
      </c>
      <c r="D629" s="1087">
        <v>1.023915724287451</v>
      </c>
      <c r="E629" s="1087">
        <v>1.010928363031574</v>
      </c>
      <c r="F629" s="1087">
        <v>0.98941477737899086</v>
      </c>
      <c r="G629" s="1087">
        <v>1.0063215618625654</v>
      </c>
      <c r="H629" s="1087">
        <v>0.99263883197874569</v>
      </c>
      <c r="I629" s="1087">
        <v>0.97170376574862416</v>
      </c>
      <c r="K629">
        <v>1.8439942564282874</v>
      </c>
      <c r="L629">
        <v>0</v>
      </c>
      <c r="M629">
        <v>3.5676220414275969E-3</v>
      </c>
      <c r="N629">
        <v>0.35022862208510125</v>
      </c>
      <c r="O629">
        <v>0.23811077947291762</v>
      </c>
      <c r="P629">
        <v>1.3149453334292476E-2</v>
      </c>
      <c r="Q629">
        <v>1.6243745196046538E-3</v>
      </c>
      <c r="R629">
        <v>3.5614257950158817E-3</v>
      </c>
      <c r="S629">
        <v>0.35727563859060246</v>
      </c>
      <c r="T629">
        <v>0.39849689317089904</v>
      </c>
      <c r="U629">
        <v>0</v>
      </c>
      <c r="V629">
        <v>0.20016590924288996</v>
      </c>
      <c r="W629">
        <v>0.22157574886754206</v>
      </c>
      <c r="X629">
        <v>5.3680006400513583E-2</v>
      </c>
      <c r="Y629">
        <v>9.6930269903354304E-3</v>
      </c>
    </row>
    <row r="630" spans="1:25" x14ac:dyDescent="0.25">
      <c r="A630" s="1083"/>
      <c r="B630" s="1455">
        <v>380</v>
      </c>
      <c r="C630" s="1087">
        <v>0.9944411461567243</v>
      </c>
      <c r="D630" s="1087">
        <v>0.97057563146385339</v>
      </c>
      <c r="E630" s="1087">
        <v>1.0127857168160848</v>
      </c>
      <c r="F630" s="1087">
        <v>1.0115427080177362</v>
      </c>
      <c r="G630" s="1087">
        <v>0.988410208889695</v>
      </c>
      <c r="H630" s="1087">
        <v>0.96761997781268594</v>
      </c>
      <c r="I630" s="1087">
        <v>0.99149020970075807</v>
      </c>
      <c r="K630">
        <v>1.8626958020643596</v>
      </c>
      <c r="L630">
        <v>0</v>
      </c>
      <c r="M630">
        <v>3.5036531913444449E-3</v>
      </c>
      <c r="N630">
        <v>0.34589128577529815</v>
      </c>
      <c r="O630">
        <v>0.24395990992719316</v>
      </c>
      <c r="P630">
        <v>1.3427659238818506E-2</v>
      </c>
      <c r="Q630">
        <v>1.6337300814677665E-3</v>
      </c>
      <c r="R630">
        <v>3.4974571332955346E-3</v>
      </c>
      <c r="S630">
        <v>0.36436973864138028</v>
      </c>
      <c r="T630">
        <v>0.40742062216011593</v>
      </c>
      <c r="U630">
        <v>0</v>
      </c>
      <c r="V630">
        <v>0.20303691819239139</v>
      </c>
      <c r="W630">
        <v>0.2185801270310401</v>
      </c>
      <c r="X630">
        <v>5.486308169430823E-2</v>
      </c>
      <c r="Y630">
        <v>9.5189253803963144E-3</v>
      </c>
    </row>
    <row r="631" spans="1:25" x14ac:dyDescent="0.25">
      <c r="A631" s="1083"/>
      <c r="B631" s="1455">
        <v>381</v>
      </c>
      <c r="C631" s="1087">
        <v>0.99139926644853116</v>
      </c>
      <c r="D631" s="1087">
        <v>0.95494198542659559</v>
      </c>
      <c r="E631" s="1087">
        <v>0.99424827992939191</v>
      </c>
      <c r="F631" s="1087">
        <v>0.99863187492864958</v>
      </c>
      <c r="G631" s="1087">
        <v>1.0262305930336413</v>
      </c>
      <c r="H631" s="1087">
        <v>0.99040585030880091</v>
      </c>
      <c r="I631" s="1087">
        <v>0.98365388804092702</v>
      </c>
      <c r="K631">
        <v>1.8739247120352138</v>
      </c>
      <c r="L631">
        <v>0</v>
      </c>
      <c r="M631">
        <v>3.768544861003907E-3</v>
      </c>
      <c r="N631">
        <v>0.35160051329686165</v>
      </c>
      <c r="O631">
        <v>0.24410414489348609</v>
      </c>
      <c r="P631">
        <v>1.3245617452361446E-2</v>
      </c>
      <c r="Q631">
        <v>1.6172182812877747E-3</v>
      </c>
      <c r="R631">
        <v>3.762047396174814E-3</v>
      </c>
      <c r="S631">
        <v>0.36985120034910796</v>
      </c>
      <c r="T631">
        <v>0.40210805951330841</v>
      </c>
      <c r="U631">
        <v>0</v>
      </c>
      <c r="V631">
        <v>0.20298917184417836</v>
      </c>
      <c r="W631">
        <v>0.22476960654798542</v>
      </c>
      <c r="X631">
        <v>5.3406624467669014E-2</v>
      </c>
      <c r="Y631">
        <v>1.0239052853796993E-2</v>
      </c>
    </row>
    <row r="632" spans="1:25" x14ac:dyDescent="0.25">
      <c r="A632" s="1083"/>
      <c r="B632" s="1455">
        <v>382</v>
      </c>
      <c r="C632" s="1087">
        <v>0.9679163145708054</v>
      </c>
      <c r="D632" s="1087">
        <v>1.0178942143704548</v>
      </c>
      <c r="E632" s="1087">
        <v>1.0138398124977419</v>
      </c>
      <c r="F632" s="1087">
        <v>0.99889366753117104</v>
      </c>
      <c r="G632" s="1087">
        <v>1.0065224073544088</v>
      </c>
      <c r="H632" s="1087">
        <v>1.0149141009936857</v>
      </c>
      <c r="I632" s="1087">
        <v>0.99263883285036425</v>
      </c>
      <c r="K632">
        <v>1.8927613466104192</v>
      </c>
      <c r="L632">
        <v>0</v>
      </c>
      <c r="M632">
        <v>3.6719781042966419E-3</v>
      </c>
      <c r="N632">
        <v>0.3637016218876537</v>
      </c>
      <c r="O632">
        <v>0.24100462285979971</v>
      </c>
      <c r="P632">
        <v>1.3487874645196145E-2</v>
      </c>
      <c r="Q632">
        <v>1.6486814219859802E-3</v>
      </c>
      <c r="R632">
        <v>3.6657457936802038E-3</v>
      </c>
      <c r="S632">
        <v>0.37376769631367224</v>
      </c>
      <c r="T632">
        <v>0.40233238834152929</v>
      </c>
      <c r="U632">
        <v>0</v>
      </c>
      <c r="V632">
        <v>0.20233713644168275</v>
      </c>
      <c r="W632">
        <v>0.22968524680093619</v>
      </c>
      <c r="X632">
        <v>5.4825358570958257E-2</v>
      </c>
      <c r="Y632">
        <v>9.9769516376213997E-3</v>
      </c>
    </row>
    <row r="633" spans="1:25" x14ac:dyDescent="0.25">
      <c r="A633" s="1083"/>
      <c r="B633" s="1455">
        <v>383</v>
      </c>
      <c r="C633" s="1087">
        <v>0.98712017442206323</v>
      </c>
      <c r="D633" s="1087">
        <v>0.99807918569155563</v>
      </c>
      <c r="E633" s="1087">
        <v>1.0264530025697278</v>
      </c>
      <c r="F633" s="1087">
        <v>1.0297037269098306</v>
      </c>
      <c r="G633" s="1087">
        <v>0.98968349086857421</v>
      </c>
      <c r="H633" s="1087">
        <v>1.0123258780155744</v>
      </c>
      <c r="I633" s="1087">
        <v>0.99045342464627051</v>
      </c>
      <c r="K633">
        <v>1.9063025554520667</v>
      </c>
      <c r="L633">
        <v>0</v>
      </c>
      <c r="M633">
        <v>3.5368546606582446E-3</v>
      </c>
      <c r="N633">
        <v>0.36404463832436296</v>
      </c>
      <c r="O633">
        <v>0.24439792613652078</v>
      </c>
      <c r="P633">
        <v>1.3748251005656111E-2</v>
      </c>
      <c r="Q633">
        <v>1.65118731068595E-3</v>
      </c>
      <c r="R633">
        <v>3.5308527169677331E-3</v>
      </c>
      <c r="S633">
        <v>0.36935520039290975</v>
      </c>
      <c r="T633">
        <v>0.41482181127873224</v>
      </c>
      <c r="U633">
        <v>0</v>
      </c>
      <c r="V633">
        <v>0.20398206381162917</v>
      </c>
      <c r="W633">
        <v>0.22812409699391825</v>
      </c>
      <c r="X633">
        <v>5.6573564991038855E-2</v>
      </c>
      <c r="Y633">
        <v>9.6098171503008391E-3</v>
      </c>
    </row>
    <row r="634" spans="1:25" x14ac:dyDescent="0.25">
      <c r="A634" s="1083"/>
      <c r="B634" s="1455">
        <v>384</v>
      </c>
      <c r="C634" s="1087">
        <v>1.0032913145751214</v>
      </c>
      <c r="D634" s="1087">
        <v>1.0077090065452641</v>
      </c>
      <c r="E634" s="1087">
        <v>0.99244701121248535</v>
      </c>
      <c r="F634" s="1087">
        <v>1.0041997577043695</v>
      </c>
      <c r="G634" s="1087">
        <v>1.0105639438374669</v>
      </c>
      <c r="H634" s="1087">
        <v>0.99356583742337223</v>
      </c>
      <c r="I634" s="1087">
        <v>0.99107735779229422</v>
      </c>
      <c r="K634">
        <v>1.8302516245691434</v>
      </c>
      <c r="L634">
        <v>0</v>
      </c>
      <c r="M634">
        <v>3.6426202098545695E-3</v>
      </c>
      <c r="N634">
        <v>0.33798551193571796</v>
      </c>
      <c r="O634">
        <v>0.23796165124142923</v>
      </c>
      <c r="P634">
        <v>1.3046844428206548E-2</v>
      </c>
      <c r="Q634">
        <v>1.5610271902363987E-3</v>
      </c>
      <c r="R634">
        <v>3.6363132404205762E-3</v>
      </c>
      <c r="S634">
        <v>0.35796111916298823</v>
      </c>
      <c r="T634">
        <v>0.4043391093481285</v>
      </c>
      <c r="U634">
        <v>0</v>
      </c>
      <c r="V634">
        <v>0.19931741886874288</v>
      </c>
      <c r="W634">
        <v>0.21631040476449567</v>
      </c>
      <c r="X634">
        <v>5.1877998668543764E-2</v>
      </c>
      <c r="Y634">
        <v>9.896845930087262E-3</v>
      </c>
    </row>
    <row r="635" spans="1:25" x14ac:dyDescent="0.25">
      <c r="A635" s="1083"/>
      <c r="B635" s="1455">
        <v>385</v>
      </c>
      <c r="C635" s="1087">
        <v>1.0019895270579451</v>
      </c>
      <c r="D635" s="1087">
        <v>1.0193032531776278</v>
      </c>
      <c r="E635" s="1087">
        <v>0.97407802970033719</v>
      </c>
      <c r="F635" s="1087">
        <v>1.0218709404909956</v>
      </c>
      <c r="G635" s="1087">
        <v>0.98909375855341453</v>
      </c>
      <c r="H635" s="1087">
        <v>0.9518616853696017</v>
      </c>
      <c r="I635" s="1087">
        <v>0.99705498657873326</v>
      </c>
      <c r="K635">
        <v>1.7962346822232307</v>
      </c>
      <c r="L635">
        <v>0</v>
      </c>
      <c r="M635">
        <v>3.604853688322412E-3</v>
      </c>
      <c r="N635">
        <v>0.3162005830512537</v>
      </c>
      <c r="O635">
        <v>0.23873588151211633</v>
      </c>
      <c r="P635">
        <v>1.2874680008918169E-2</v>
      </c>
      <c r="Q635">
        <v>1.5255001725121378E-3</v>
      </c>
      <c r="R635">
        <v>3.5983273081483026E-3</v>
      </c>
      <c r="S635">
        <v>0.35064217457992125</v>
      </c>
      <c r="T635">
        <v>0.41134201072884802</v>
      </c>
      <c r="U635">
        <v>0</v>
      </c>
      <c r="V635">
        <v>0.20022983063603206</v>
      </c>
      <c r="W635">
        <v>0.20473395405481451</v>
      </c>
      <c r="X635">
        <v>5.0163133114486051E-2</v>
      </c>
      <c r="Y635">
        <v>9.7934607445013411E-3</v>
      </c>
    </row>
    <row r="636" spans="1:25" x14ac:dyDescent="0.25">
      <c r="A636" s="1083"/>
      <c r="B636" s="1455">
        <v>386</v>
      </c>
      <c r="C636" s="1087">
        <v>0.99749993333184639</v>
      </c>
      <c r="D636" s="1087">
        <v>1.0465168942596472</v>
      </c>
      <c r="E636" s="1087">
        <v>0.99245220642876786</v>
      </c>
      <c r="F636" s="1087">
        <v>0.98498251861932029</v>
      </c>
      <c r="G636" s="1087">
        <v>0.97293316873842117</v>
      </c>
      <c r="H636" s="1087">
        <v>1.0187322794248546</v>
      </c>
      <c r="I636" s="1087">
        <v>1.0297091316932996</v>
      </c>
      <c r="K636">
        <v>1.832320563544247</v>
      </c>
      <c r="L636">
        <v>0</v>
      </c>
      <c r="M636">
        <v>3.6806347536152226E-3</v>
      </c>
      <c r="N636">
        <v>0.34152972675646948</v>
      </c>
      <c r="O636">
        <v>0.23269546987747858</v>
      </c>
      <c r="P636">
        <v>1.3077426094594275E-2</v>
      </c>
      <c r="Q636">
        <v>1.5465451993534585E-3</v>
      </c>
      <c r="R636">
        <v>3.6743863963658559E-3</v>
      </c>
      <c r="S636">
        <v>0.37095230400017343</v>
      </c>
      <c r="T636">
        <v>0.39660135567124349</v>
      </c>
      <c r="U636">
        <v>0</v>
      </c>
      <c r="V636">
        <v>0.19631212481454272</v>
      </c>
      <c r="W636">
        <v>0.21857798529467093</v>
      </c>
      <c r="X636">
        <v>5.1033405683213656E-2</v>
      </c>
      <c r="Y636">
        <v>1.0000468509757833E-2</v>
      </c>
    </row>
    <row r="637" spans="1:25" x14ac:dyDescent="0.25">
      <c r="A637" s="1083"/>
      <c r="B637" s="1455">
        <v>387</v>
      </c>
      <c r="C637" s="1087">
        <v>0.98957991103532239</v>
      </c>
      <c r="D637" s="1087">
        <v>0.98152270786608231</v>
      </c>
      <c r="E637" s="1087">
        <v>0.99098537444120183</v>
      </c>
      <c r="F637" s="1087">
        <v>0.97834117278640997</v>
      </c>
      <c r="G637" s="1087">
        <v>1.0131376132664975</v>
      </c>
      <c r="H637" s="1087">
        <v>1.0059324147433806</v>
      </c>
      <c r="I637" s="1087">
        <v>0.98075886847309823</v>
      </c>
      <c r="K637">
        <v>1.8530723510894342</v>
      </c>
      <c r="L637">
        <v>0</v>
      </c>
      <c r="M637">
        <v>3.8033764891090361E-3</v>
      </c>
      <c r="N637">
        <v>0.35133957287675616</v>
      </c>
      <c r="O637">
        <v>0.23908989683591267</v>
      </c>
      <c r="P637">
        <v>1.3016861757297172E-2</v>
      </c>
      <c r="Q637">
        <v>1.5969129847379477E-3</v>
      </c>
      <c r="R637">
        <v>3.7968951074351196E-3</v>
      </c>
      <c r="S637">
        <v>0.36662040803960522</v>
      </c>
      <c r="T637">
        <v>0.39391858645056116</v>
      </c>
      <c r="U637">
        <v>0</v>
      </c>
      <c r="V637">
        <v>0.19992009170167865</v>
      </c>
      <c r="W637">
        <v>0.22506372453968709</v>
      </c>
      <c r="X637">
        <v>5.2178880448569616E-2</v>
      </c>
      <c r="Y637">
        <v>1.0333896836302618E-2</v>
      </c>
    </row>
    <row r="638" spans="1:25" x14ac:dyDescent="0.25">
      <c r="A638" s="1083"/>
      <c r="B638" s="1455">
        <v>388</v>
      </c>
      <c r="C638" s="1087">
        <v>0.97074272912148751</v>
      </c>
      <c r="D638" s="1087">
        <v>0.99334775399727393</v>
      </c>
      <c r="E638" s="1087">
        <v>1.0067413682000428</v>
      </c>
      <c r="F638" s="1087">
        <v>1.007967754842912</v>
      </c>
      <c r="G638" s="1087">
        <v>0.98470939649052713</v>
      </c>
      <c r="H638" s="1087">
        <v>1.0129657789184747</v>
      </c>
      <c r="I638" s="1087">
        <v>0.97014900745854926</v>
      </c>
      <c r="K638">
        <v>1.897964370579857</v>
      </c>
      <c r="L638">
        <v>0</v>
      </c>
      <c r="M638">
        <v>3.7568315850624191E-3</v>
      </c>
      <c r="N638">
        <v>0.36413901072950305</v>
      </c>
      <c r="O638">
        <v>0.24407416286267458</v>
      </c>
      <c r="P638">
        <v>1.3421710755050966E-2</v>
      </c>
      <c r="Q638">
        <v>1.647568077529134E-3</v>
      </c>
      <c r="R638">
        <v>3.7504645184962232E-3</v>
      </c>
      <c r="S638">
        <v>0.36874165309239948</v>
      </c>
      <c r="T638">
        <v>0.40594356242623103</v>
      </c>
      <c r="U638">
        <v>0</v>
      </c>
      <c r="V638">
        <v>0.20407146896506587</v>
      </c>
      <c r="W638">
        <v>0.23097578483448503</v>
      </c>
      <c r="X638">
        <v>5.4748287824432675E-2</v>
      </c>
      <c r="Y638">
        <v>1.0207528079050473E-2</v>
      </c>
    </row>
    <row r="639" spans="1:25" x14ac:dyDescent="0.25">
      <c r="A639" s="1083"/>
      <c r="B639" s="1455">
        <v>389</v>
      </c>
      <c r="C639" s="1087">
        <v>1.0108082986177529</v>
      </c>
      <c r="D639" s="1087">
        <v>1.0143531144481082</v>
      </c>
      <c r="E639" s="1087">
        <v>0.99713771915384875</v>
      </c>
      <c r="F639" s="1087">
        <v>1.0146260317997646</v>
      </c>
      <c r="G639" s="1087">
        <v>1.021075675277108</v>
      </c>
      <c r="H639" s="1087">
        <v>1.0051260639227679</v>
      </c>
      <c r="I639" s="1087">
        <v>1.0384397769722178</v>
      </c>
      <c r="K639">
        <v>1.851964249978272</v>
      </c>
      <c r="L639">
        <v>0</v>
      </c>
      <c r="M639">
        <v>3.6093676421580308E-3</v>
      </c>
      <c r="N639">
        <v>0.33973657291348586</v>
      </c>
      <c r="O639">
        <v>0.23765782563116769</v>
      </c>
      <c r="P639">
        <v>1.3353073832885682E-2</v>
      </c>
      <c r="Q639">
        <v>1.5531153215651325E-3</v>
      </c>
      <c r="R639">
        <v>3.6031835817798355E-3</v>
      </c>
      <c r="S639">
        <v>0.3730948615999673</v>
      </c>
      <c r="T639">
        <v>0.40856595901073417</v>
      </c>
      <c r="U639">
        <v>0</v>
      </c>
      <c r="V639">
        <v>0.19907504678294596</v>
      </c>
      <c r="W639">
        <v>0.21679225919587422</v>
      </c>
      <c r="X639">
        <v>5.2335041829567809E-2</v>
      </c>
      <c r="Y639">
        <v>9.8066779204562058E-3</v>
      </c>
    </row>
    <row r="640" spans="1:25" x14ac:dyDescent="0.25">
      <c r="A640" s="1083"/>
      <c r="B640" s="1455">
        <v>390</v>
      </c>
      <c r="C640" s="1087">
        <v>0.98272699115628548</v>
      </c>
      <c r="D640" s="1087">
        <v>0.97869440501951299</v>
      </c>
      <c r="E640" s="1087">
        <v>1.0217896051448425</v>
      </c>
      <c r="F640" s="1087">
        <v>1.0365354292293176</v>
      </c>
      <c r="G640" s="1087">
        <v>1.001282694722158</v>
      </c>
      <c r="H640" s="1087">
        <v>1.034351553257723</v>
      </c>
      <c r="I640" s="1087">
        <v>1.0233607776200007</v>
      </c>
      <c r="K640">
        <v>1.9581043738880883</v>
      </c>
      <c r="L640">
        <v>0</v>
      </c>
      <c r="M640">
        <v>3.7041316971096936E-3</v>
      </c>
      <c r="N640">
        <v>0.37589962492361861</v>
      </c>
      <c r="O640">
        <v>0.24769770549430289</v>
      </c>
      <c r="P640">
        <v>1.4078424214601832E-2</v>
      </c>
      <c r="Q640">
        <v>1.6634478921407746E-3</v>
      </c>
      <c r="R640">
        <v>3.6979969815318378E-3</v>
      </c>
      <c r="S640">
        <v>0.39169024081061543</v>
      </c>
      <c r="T640">
        <v>0.41754421633599065</v>
      </c>
      <c r="U640">
        <v>0</v>
      </c>
      <c r="V640">
        <v>0.20610279483652591</v>
      </c>
      <c r="W640">
        <v>0.23622789147781914</v>
      </c>
      <c r="X640">
        <v>5.7141433878699403E-2</v>
      </c>
      <c r="Y640">
        <v>1.0064728739352324E-2</v>
      </c>
    </row>
    <row r="641" spans="1:25" x14ac:dyDescent="0.25">
      <c r="A641" s="1083"/>
      <c r="B641" s="1455">
        <v>391</v>
      </c>
      <c r="C641" s="1087">
        <v>0.9698770293741148</v>
      </c>
      <c r="D641" s="1087">
        <v>1.0024593617679585</v>
      </c>
      <c r="E641" s="1087">
        <v>0.97334344413398122</v>
      </c>
      <c r="F641" s="1087">
        <v>0.96871689608342815</v>
      </c>
      <c r="G641" s="1087">
        <v>0.98287370118853257</v>
      </c>
      <c r="H641" s="1087">
        <v>0.96607235443464212</v>
      </c>
      <c r="I641" s="1087">
        <v>0.97709793003929013</v>
      </c>
      <c r="K641">
        <v>1.8145088645480325</v>
      </c>
      <c r="L641">
        <v>0</v>
      </c>
      <c r="M641">
        <v>3.8194061781674066E-3</v>
      </c>
      <c r="N641">
        <v>0.33427874776322447</v>
      </c>
      <c r="O641">
        <v>0.23800653737355446</v>
      </c>
      <c r="P641">
        <v>1.2715192697968503E-2</v>
      </c>
      <c r="Q641">
        <v>1.5852903230573923E-3</v>
      </c>
      <c r="R641">
        <v>3.8126084564829884E-3</v>
      </c>
      <c r="S641">
        <v>0.36085765795503677</v>
      </c>
      <c r="T641">
        <v>0.38994125157340703</v>
      </c>
      <c r="U641">
        <v>0</v>
      </c>
      <c r="V641">
        <v>0.20002439801386462</v>
      </c>
      <c r="W641">
        <v>0.21654058349880073</v>
      </c>
      <c r="X641">
        <v>5.0189339678294601E-2</v>
      </c>
      <c r="Y641">
        <v>1.037666339250679E-2</v>
      </c>
    </row>
    <row r="642" spans="1:25" x14ac:dyDescent="0.25">
      <c r="A642" s="1083"/>
      <c r="B642" s="1455">
        <v>392</v>
      </c>
      <c r="C642" s="1087">
        <v>0.98853196482817252</v>
      </c>
      <c r="D642" s="1087">
        <v>1.0351941059075485</v>
      </c>
      <c r="E642" s="1087">
        <v>1.0418207543952205</v>
      </c>
      <c r="F642" s="1087">
        <v>0.98161195521153732</v>
      </c>
      <c r="G642" s="1087">
        <v>0.99218524547483644</v>
      </c>
      <c r="H642" s="1087">
        <v>0.9872414382332495</v>
      </c>
      <c r="I642" s="1087">
        <v>1.0252292319531549</v>
      </c>
      <c r="K642">
        <v>1.850170495409261</v>
      </c>
      <c r="L642">
        <v>0</v>
      </c>
      <c r="M642">
        <v>3.2720219875290455E-3</v>
      </c>
      <c r="N642">
        <v>0.35289686112228358</v>
      </c>
      <c r="O642">
        <v>0.23515396154437521</v>
      </c>
      <c r="P642">
        <v>1.3549320334984859E-2</v>
      </c>
      <c r="Q642">
        <v>1.6512807868002992E-3</v>
      </c>
      <c r="R642">
        <v>3.2662992357004273E-3</v>
      </c>
      <c r="S642">
        <v>0.36970043959822019</v>
      </c>
      <c r="T642">
        <v>0.39554135299983612</v>
      </c>
      <c r="U642">
        <v>0</v>
      </c>
      <c r="V642">
        <v>0.19785274855455465</v>
      </c>
      <c r="W642">
        <v>0.21907833677418256</v>
      </c>
      <c r="X642">
        <v>5.5862126661527393E-2</v>
      </c>
      <c r="Y642">
        <v>8.8897897843228917E-3</v>
      </c>
    </row>
    <row r="643" spans="1:25" x14ac:dyDescent="0.25">
      <c r="A643" s="1083"/>
      <c r="B643" s="1455">
        <v>393</v>
      </c>
      <c r="C643" s="1087">
        <v>0.9737284163854294</v>
      </c>
      <c r="D643" s="1087">
        <v>1.0155833415490751</v>
      </c>
      <c r="E643" s="1087">
        <v>1.0151468714570049</v>
      </c>
      <c r="F643" s="1087">
        <v>0.96039366366168555</v>
      </c>
      <c r="G643" s="1087">
        <v>1.0026911003917278</v>
      </c>
      <c r="H643" s="1087">
        <v>0.99402588690512328</v>
      </c>
      <c r="I643" s="1087">
        <v>0.97670281603583864</v>
      </c>
      <c r="K643">
        <v>1.8403192871791287</v>
      </c>
      <c r="L643">
        <v>0</v>
      </c>
      <c r="M643">
        <v>3.5689218400944247E-3</v>
      </c>
      <c r="N643">
        <v>0.35489280900081138</v>
      </c>
      <c r="O643">
        <v>0.23586169608002092</v>
      </c>
      <c r="P643">
        <v>1.3074105286413796E-2</v>
      </c>
      <c r="Q643">
        <v>1.6426003361644987E-3</v>
      </c>
      <c r="R643">
        <v>3.5627376884594451E-3</v>
      </c>
      <c r="S643">
        <v>0.36223355355684705</v>
      </c>
      <c r="T643">
        <v>0.38683311772085394</v>
      </c>
      <c r="U643">
        <v>0</v>
      </c>
      <c r="V643">
        <v>0.1984424650959874</v>
      </c>
      <c r="W643">
        <v>0.22394131378834348</v>
      </c>
      <c r="X643">
        <v>5.3707212933495625E-2</v>
      </c>
      <c r="Y643">
        <v>9.6965975318232516E-3</v>
      </c>
    </row>
    <row r="644" spans="1:25" x14ac:dyDescent="0.25">
      <c r="A644" s="1083"/>
      <c r="B644" s="1455">
        <v>394</v>
      </c>
      <c r="C644" s="1087">
        <v>0.99615050261965421</v>
      </c>
      <c r="D644" s="1087">
        <v>1.0206093778355352</v>
      </c>
      <c r="E644" s="1087">
        <v>1.00238529220954</v>
      </c>
      <c r="F644" s="1087">
        <v>0.98985996042828106</v>
      </c>
      <c r="G644" s="1087">
        <v>0.96675098934949089</v>
      </c>
      <c r="H644" s="1087">
        <v>1.0060257260833265</v>
      </c>
      <c r="I644" s="1087">
        <v>0.98007889124416392</v>
      </c>
      <c r="K644">
        <v>1.831857965675626</v>
      </c>
      <c r="L644">
        <v>0</v>
      </c>
      <c r="M644">
        <v>3.6152113656174132E-3</v>
      </c>
      <c r="N644">
        <v>0.34578004846777599</v>
      </c>
      <c r="O644">
        <v>0.23603068826452619</v>
      </c>
      <c r="P644">
        <v>1.302920329297857E-2</v>
      </c>
      <c r="Q644">
        <v>1.5809135766204239E-3</v>
      </c>
      <c r="R644">
        <v>3.6090185546513677E-3</v>
      </c>
      <c r="S644">
        <v>0.35634436765827299</v>
      </c>
      <c r="T644">
        <v>0.39862471468841731</v>
      </c>
      <c r="U644">
        <v>0</v>
      </c>
      <c r="V644">
        <v>0.19824311975006081</v>
      </c>
      <c r="W644">
        <v>0.21992630529813639</v>
      </c>
      <c r="X644">
        <v>5.2482238696687035E-2</v>
      </c>
      <c r="Y644">
        <v>9.8225587931142257E-3</v>
      </c>
    </row>
    <row r="645" spans="1:25" x14ac:dyDescent="0.25">
      <c r="A645" s="1083"/>
      <c r="B645" s="1455">
        <v>395</v>
      </c>
      <c r="C645" s="1087">
        <v>0.98873340485814509</v>
      </c>
      <c r="D645" s="1087">
        <v>0.99852464630715343</v>
      </c>
      <c r="E645" s="1087">
        <v>1.0255926664125252</v>
      </c>
      <c r="F645" s="1087">
        <v>0.97128217354400836</v>
      </c>
      <c r="G645" s="1087">
        <v>1.0063641088441424</v>
      </c>
      <c r="H645" s="1087">
        <v>0.98796376676989817</v>
      </c>
      <c r="I645" s="1087">
        <v>1.0107697972017231</v>
      </c>
      <c r="K645">
        <v>1.8544231281441537</v>
      </c>
      <c r="L645">
        <v>0</v>
      </c>
      <c r="M645">
        <v>3.450824736356735E-3</v>
      </c>
      <c r="N645">
        <v>0.35424512755123266</v>
      </c>
      <c r="O645">
        <v>0.23716576736976178</v>
      </c>
      <c r="P645">
        <v>1.3371046054024035E-2</v>
      </c>
      <c r="Q645">
        <v>1.6467088044199091E-3</v>
      </c>
      <c r="R645">
        <v>3.4448230599124006E-3</v>
      </c>
      <c r="S645">
        <v>0.37165934388152999</v>
      </c>
      <c r="T645">
        <v>0.39128121164061364</v>
      </c>
      <c r="U645">
        <v>0</v>
      </c>
      <c r="V645">
        <v>0.19870641312561191</v>
      </c>
      <c r="W645">
        <v>0.22210040770558592</v>
      </c>
      <c r="X645">
        <v>5.4877430904352785E-2</v>
      </c>
      <c r="Y645">
        <v>9.3756727834650496E-3</v>
      </c>
    </row>
    <row r="646" spans="1:25" x14ac:dyDescent="0.25">
      <c r="A646" s="1083"/>
      <c r="B646" s="1455">
        <v>396</v>
      </c>
      <c r="C646" s="1087">
        <v>1.0152851023654914</v>
      </c>
      <c r="D646" s="1087">
        <v>1.0130900521189867</v>
      </c>
      <c r="E646" s="1087">
        <v>1.0384711891393299</v>
      </c>
      <c r="F646" s="1087">
        <v>1.0131009800815187</v>
      </c>
      <c r="G646" s="1087">
        <v>1.01107347714595</v>
      </c>
      <c r="H646" s="1087">
        <v>0.99887466207335918</v>
      </c>
      <c r="I646" s="1087">
        <v>0.99497036188431731</v>
      </c>
      <c r="K646">
        <v>1.8486806482946674</v>
      </c>
      <c r="L646">
        <v>0</v>
      </c>
      <c r="M646">
        <v>3.2829466618248928E-3</v>
      </c>
      <c r="N646">
        <v>0.35049356221651512</v>
      </c>
      <c r="O646">
        <v>0.23766816877845046</v>
      </c>
      <c r="P646">
        <v>1.3508323571049696E-2</v>
      </c>
      <c r="Q646">
        <v>1.6160496582603059E-3</v>
      </c>
      <c r="R646">
        <v>3.2772875145742069E-3</v>
      </c>
      <c r="S646">
        <v>0.35549983216004666</v>
      </c>
      <c r="T646">
        <v>0.40820874731111428</v>
      </c>
      <c r="U646">
        <v>0</v>
      </c>
      <c r="V646">
        <v>0.19879150491745004</v>
      </c>
      <c r="W646">
        <v>0.21802871918739253</v>
      </c>
      <c r="X646">
        <v>5.5951703384504441E-2</v>
      </c>
      <c r="Y646">
        <v>8.9196962571321623E-3</v>
      </c>
    </row>
    <row r="647" spans="1:25" x14ac:dyDescent="0.25">
      <c r="A647" s="1083"/>
      <c r="B647" s="1455">
        <v>397</v>
      </c>
      <c r="C647" s="1087">
        <v>1.0389304132866366</v>
      </c>
      <c r="D647" s="1087">
        <v>0.95175523593435718</v>
      </c>
      <c r="E647" s="1087">
        <v>0.97299193765218717</v>
      </c>
      <c r="F647" s="1087">
        <v>1.0030832895220247</v>
      </c>
      <c r="G647" s="1087">
        <v>1.0214791577884437</v>
      </c>
      <c r="H647" s="1087">
        <v>0.9870414765568053</v>
      </c>
      <c r="I647" s="1087">
        <v>0.9952258319320334</v>
      </c>
      <c r="K647">
        <v>1.8132599372995841</v>
      </c>
      <c r="L647">
        <v>0</v>
      </c>
      <c r="M647">
        <v>3.7501462433342215E-3</v>
      </c>
      <c r="N647">
        <v>0.32788117284829893</v>
      </c>
      <c r="O647">
        <v>0.23901196550374107</v>
      </c>
      <c r="P647">
        <v>1.2823034381455781E-2</v>
      </c>
      <c r="Q647">
        <v>1.5103954707489343E-3</v>
      </c>
      <c r="R647">
        <v>3.7436625700068078E-3</v>
      </c>
      <c r="S647">
        <v>0.35693914384928344</v>
      </c>
      <c r="T647">
        <v>0.40377279004784261</v>
      </c>
      <c r="U647">
        <v>0</v>
      </c>
      <c r="V647">
        <v>0.19843572996632616</v>
      </c>
      <c r="W647">
        <v>0.21244394167108049</v>
      </c>
      <c r="X647">
        <v>5.0259231816608102E-2</v>
      </c>
      <c r="Y647">
        <v>1.0189015417523999E-2</v>
      </c>
    </row>
    <row r="648" spans="1:25" x14ac:dyDescent="0.25">
      <c r="A648" s="1083"/>
      <c r="B648" s="1455">
        <v>398</v>
      </c>
      <c r="C648" s="1087">
        <v>1.0031110939083692</v>
      </c>
      <c r="D648" s="1087">
        <v>0.98931532873178663</v>
      </c>
      <c r="E648" s="1087">
        <v>1.0313827493863232</v>
      </c>
      <c r="F648" s="1087">
        <v>0.98888428032475229</v>
      </c>
      <c r="G648" s="1087">
        <v>1.0067676657409053</v>
      </c>
      <c r="H648" s="1087">
        <v>0.98011850067865824</v>
      </c>
      <c r="I648" s="1087">
        <v>0.99694850699874682</v>
      </c>
      <c r="K648">
        <v>1.8466146620905641</v>
      </c>
      <c r="L648">
        <v>0</v>
      </c>
      <c r="M648">
        <v>3.3515181331367511E-3</v>
      </c>
      <c r="N648">
        <v>0.35016717942123293</v>
      </c>
      <c r="O648">
        <v>0.23856218962044962</v>
      </c>
      <c r="P648">
        <v>1.3397138046244816E-2</v>
      </c>
      <c r="Q648">
        <v>1.6390684121973535E-3</v>
      </c>
      <c r="R648">
        <v>3.3456507273885291E-3</v>
      </c>
      <c r="S648">
        <v>0.36184324000303608</v>
      </c>
      <c r="T648">
        <v>0.39840760771460998</v>
      </c>
      <c r="U648">
        <v>0</v>
      </c>
      <c r="V648">
        <v>0.19922808511796528</v>
      </c>
      <c r="W648">
        <v>0.21876756120521434</v>
      </c>
      <c r="X648">
        <v>5.5502701568875247E-2</v>
      </c>
      <c r="Y648">
        <v>9.1057583864857013E-3</v>
      </c>
    </row>
    <row r="649" spans="1:25" x14ac:dyDescent="0.25">
      <c r="A649" s="1083"/>
      <c r="B649" s="1455">
        <v>399</v>
      </c>
      <c r="C649" s="1087">
        <v>1.0075719132135064</v>
      </c>
      <c r="D649" s="1087">
        <v>1.0044041633519949</v>
      </c>
      <c r="E649" s="1087">
        <v>0.97580739548364215</v>
      </c>
      <c r="F649" s="1087">
        <v>1.0320713527659604</v>
      </c>
      <c r="G649" s="1087">
        <v>1.0035839046231225</v>
      </c>
      <c r="H649" s="1087">
        <v>1.0092573974609362</v>
      </c>
      <c r="I649" s="1087">
        <v>1.0295295167823437</v>
      </c>
      <c r="K649">
        <v>1.8617790775110319</v>
      </c>
      <c r="L649">
        <v>0</v>
      </c>
      <c r="M649">
        <v>3.817844275444876E-3</v>
      </c>
      <c r="N649">
        <v>0.33669427199474034</v>
      </c>
      <c r="O649">
        <v>0.24072815378609841</v>
      </c>
      <c r="P649">
        <v>1.3268916067613705E-2</v>
      </c>
      <c r="Q649">
        <v>1.528861440389215E-3</v>
      </c>
      <c r="R649">
        <v>3.8113386766360302E-3</v>
      </c>
      <c r="S649">
        <v>0.37362022100953352</v>
      </c>
      <c r="T649">
        <v>0.41545868454775864</v>
      </c>
      <c r="U649">
        <v>0</v>
      </c>
      <c r="V649">
        <v>0.20129019654028918</v>
      </c>
      <c r="W649">
        <v>0.21776330777346856</v>
      </c>
      <c r="X649">
        <v>5.1059762479602526E-2</v>
      </c>
      <c r="Y649">
        <v>1.0373207470346184E-2</v>
      </c>
    </row>
    <row r="650" spans="1:25" x14ac:dyDescent="0.25">
      <c r="A650" s="1083"/>
      <c r="B650" s="1455">
        <v>400</v>
      </c>
      <c r="C650" s="1087">
        <v>0.99334658751542404</v>
      </c>
      <c r="D650" s="1087">
        <v>0.99897097765575971</v>
      </c>
      <c r="E650" s="1087">
        <v>1.0464151877709356</v>
      </c>
      <c r="F650" s="1087">
        <v>0.9627785130870572</v>
      </c>
      <c r="G650" s="1087">
        <v>1.0006781921223351</v>
      </c>
      <c r="H650" s="1087">
        <v>0.96432582929763799</v>
      </c>
      <c r="I650" s="1087">
        <v>0.97897178713191157</v>
      </c>
      <c r="K650">
        <v>1.8240631647037702</v>
      </c>
      <c r="L650">
        <v>0</v>
      </c>
      <c r="M650">
        <v>3.2111567857440407E-3</v>
      </c>
      <c r="N650">
        <v>0.35119501518445245</v>
      </c>
      <c r="O650">
        <v>0.23583262225309121</v>
      </c>
      <c r="P650">
        <v>1.3264464110251383E-2</v>
      </c>
      <c r="Q650">
        <v>1.6748539240048124E-3</v>
      </c>
      <c r="R650">
        <v>3.2054344488126676E-3</v>
      </c>
      <c r="S650">
        <v>0.3542010236279261</v>
      </c>
      <c r="T650">
        <v>0.38798002286388866</v>
      </c>
      <c r="U650">
        <v>0</v>
      </c>
      <c r="V650">
        <v>0.19756544599282508</v>
      </c>
      <c r="W650">
        <v>0.21741711753724124</v>
      </c>
      <c r="X650">
        <v>5.6214185648531936E-2</v>
      </c>
      <c r="Y650">
        <v>8.7241358984860157E-3</v>
      </c>
    </row>
    <row r="651" spans="1:25" x14ac:dyDescent="0.25">
      <c r="A651" s="1083"/>
      <c r="B651" s="1455">
        <v>401</v>
      </c>
      <c r="C651" s="1087">
        <v>0.99844293728378275</v>
      </c>
      <c r="D651" s="1087">
        <v>1.0124540895108602</v>
      </c>
      <c r="E651" s="1087">
        <v>1.0006185243732491</v>
      </c>
      <c r="F651" s="1087">
        <v>1.0114550359532164</v>
      </c>
      <c r="G651" s="1087">
        <v>1.0354975234414543</v>
      </c>
      <c r="H651" s="1087">
        <v>1.0035159611928408</v>
      </c>
      <c r="I651" s="1087">
        <v>0.98366516688559513</v>
      </c>
      <c r="K651">
        <v>1.8467034726211795</v>
      </c>
      <c r="L651">
        <v>0</v>
      </c>
      <c r="M651">
        <v>3.6264694026935979E-3</v>
      </c>
      <c r="N651">
        <v>0.34499110611732414</v>
      </c>
      <c r="O651">
        <v>0.2390385399835589</v>
      </c>
      <c r="P651">
        <v>1.3179839251444366E-2</v>
      </c>
      <c r="Q651">
        <v>1.5793796761897543E-3</v>
      </c>
      <c r="R651">
        <v>3.6202485041030973E-3</v>
      </c>
      <c r="S651">
        <v>0.35793901564642627</v>
      </c>
      <c r="T651">
        <v>0.40731038917144424</v>
      </c>
      <c r="U651">
        <v>0</v>
      </c>
      <c r="V651">
        <v>0.20025318853857724</v>
      </c>
      <c r="W651">
        <v>0.21966660102614305</v>
      </c>
      <c r="X651">
        <v>5.2898511095089834E-2</v>
      </c>
      <c r="Y651">
        <v>9.8531230135699924E-3</v>
      </c>
    </row>
    <row r="652" spans="1:25" x14ac:dyDescent="0.25">
      <c r="A652" s="1083"/>
      <c r="B652" s="1455">
        <v>402</v>
      </c>
      <c r="C652" s="1087">
        <v>1.0213930795738206</v>
      </c>
      <c r="D652" s="1087">
        <v>1.0078191144072166</v>
      </c>
      <c r="E652" s="1087">
        <v>0.98306637011769493</v>
      </c>
      <c r="F652" s="1087">
        <v>1.0138433074269424</v>
      </c>
      <c r="G652" s="1087">
        <v>0.97042698212214507</v>
      </c>
      <c r="H652" s="1087">
        <v>0.97728307961248972</v>
      </c>
      <c r="I652" s="1087">
        <v>1.0440379304680678</v>
      </c>
      <c r="K652">
        <v>1.816951786893815</v>
      </c>
      <c r="L652">
        <v>0</v>
      </c>
      <c r="M652">
        <v>3.5865838352976053E-3</v>
      </c>
      <c r="N652">
        <v>0.32337681371337712</v>
      </c>
      <c r="O652">
        <v>0.23675009366781388</v>
      </c>
      <c r="P652">
        <v>1.3115829061633758E-2</v>
      </c>
      <c r="Q652">
        <v>1.5179480185311017E-3</v>
      </c>
      <c r="R652">
        <v>3.5802691282430378E-3</v>
      </c>
      <c r="S652">
        <v>0.36723639754087639</v>
      </c>
      <c r="T652">
        <v>0.40816494595622638</v>
      </c>
      <c r="U652">
        <v>0</v>
      </c>
      <c r="V652">
        <v>0.19815973489340249</v>
      </c>
      <c r="W652">
        <v>0.20818876932392713</v>
      </c>
      <c r="X652">
        <v>5.0703257093405639E-2</v>
      </c>
      <c r="Y652">
        <v>9.7443123316766148E-3</v>
      </c>
    </row>
    <row r="653" spans="1:25" x14ac:dyDescent="0.25">
      <c r="A653" s="1083"/>
      <c r="B653" s="1455">
        <v>403</v>
      </c>
      <c r="C653" s="1087">
        <v>0.96601556221876517</v>
      </c>
      <c r="D653" s="1087">
        <v>1.0176237747547494</v>
      </c>
      <c r="E653" s="1087">
        <v>1.0277874112394005</v>
      </c>
      <c r="F653" s="1087">
        <v>0.9997296490459654</v>
      </c>
      <c r="G653" s="1087">
        <v>0.978773284046209</v>
      </c>
      <c r="H653" s="1087">
        <v>0.99953651367543972</v>
      </c>
      <c r="I653" s="1087">
        <v>0.99241958024614063</v>
      </c>
      <c r="K653">
        <v>1.8916882519234424</v>
      </c>
      <c r="L653">
        <v>0</v>
      </c>
      <c r="M653">
        <v>3.5217254128848234E-3</v>
      </c>
      <c r="N653">
        <v>0.36395400488084867</v>
      </c>
      <c r="O653">
        <v>0.24157696660613764</v>
      </c>
      <c r="P653">
        <v>1.3610113671062574E-2</v>
      </c>
      <c r="Q653">
        <v>1.6765724006447132E-3</v>
      </c>
      <c r="R653">
        <v>3.5156563934146184E-3</v>
      </c>
      <c r="S653">
        <v>0.37179840681110954</v>
      </c>
      <c r="T653">
        <v>0.40275482569863236</v>
      </c>
      <c r="U653">
        <v>0</v>
      </c>
      <c r="V653">
        <v>0.20272599729642268</v>
      </c>
      <c r="W653">
        <v>0.22788105096720085</v>
      </c>
      <c r="X653">
        <v>5.6147924843796153E-2</v>
      </c>
      <c r="Y653">
        <v>9.568457767055975E-3</v>
      </c>
    </row>
    <row r="654" spans="1:25" x14ac:dyDescent="0.25">
      <c r="A654" s="1083"/>
      <c r="B654" s="1455">
        <v>404</v>
      </c>
      <c r="C654" s="1087">
        <v>1.0410685984096397</v>
      </c>
      <c r="D654" s="1087">
        <v>1.0306126487157032</v>
      </c>
      <c r="E654" s="1087">
        <v>1.0204066078734473</v>
      </c>
      <c r="F654" s="1087">
        <v>1.0428203695956306</v>
      </c>
      <c r="G654" s="1087">
        <v>0.99351530240084851</v>
      </c>
      <c r="H654" s="1087">
        <v>0.99691221566585586</v>
      </c>
      <c r="I654" s="1087">
        <v>1.0171621671417479</v>
      </c>
      <c r="K654">
        <v>1.8214645074259415</v>
      </c>
      <c r="L654">
        <v>0</v>
      </c>
      <c r="M654">
        <v>3.2819092364732762E-3</v>
      </c>
      <c r="N654">
        <v>0.33162584826886926</v>
      </c>
      <c r="O654">
        <v>0.23579523910946856</v>
      </c>
      <c r="P654">
        <v>1.3407163926099841E-2</v>
      </c>
      <c r="Q654">
        <v>1.5358553014070482E-3</v>
      </c>
      <c r="R654">
        <v>3.2762206909559043E-3</v>
      </c>
      <c r="S654">
        <v>0.35035059574057714</v>
      </c>
      <c r="T654">
        <v>0.42006709045023</v>
      </c>
      <c r="U654">
        <v>0</v>
      </c>
      <c r="V654">
        <v>0.19749214907536528</v>
      </c>
      <c r="W654">
        <v>0.20858210543515276</v>
      </c>
      <c r="X654">
        <v>5.3697355949367219E-2</v>
      </c>
      <c r="Y654">
        <v>8.9167927149214569E-3</v>
      </c>
    </row>
    <row r="655" spans="1:25" x14ac:dyDescent="0.25">
      <c r="A655" s="1083"/>
      <c r="B655" s="1455">
        <v>405</v>
      </c>
      <c r="C655" s="1087">
        <v>0.99893327718720759</v>
      </c>
      <c r="D655" s="1087">
        <v>0.99933037829154492</v>
      </c>
      <c r="E655" s="1087">
        <v>1.0275937176998935</v>
      </c>
      <c r="F655" s="1087">
        <v>1.0302728918820074</v>
      </c>
      <c r="G655" s="1087">
        <v>0.9703517988607816</v>
      </c>
      <c r="H655" s="1087">
        <v>1.022791078573746</v>
      </c>
      <c r="I655" s="1087">
        <v>1.0226310191939294</v>
      </c>
      <c r="K655">
        <v>1.911898023886909</v>
      </c>
      <c r="L655">
        <v>0</v>
      </c>
      <c r="M655">
        <v>3.5202174638217731E-3</v>
      </c>
      <c r="N655">
        <v>0.36359938092339578</v>
      </c>
      <c r="O655">
        <v>0.24286951035461538</v>
      </c>
      <c r="P655">
        <v>1.3872377247738241E-2</v>
      </c>
      <c r="Q655">
        <v>1.6327994656815442E-3</v>
      </c>
      <c r="R655">
        <v>3.5143033423713794E-3</v>
      </c>
      <c r="S655">
        <v>0.37852705788285984</v>
      </c>
      <c r="T655">
        <v>0.41505835818113096</v>
      </c>
      <c r="U655">
        <v>0</v>
      </c>
      <c r="V655">
        <v>0.20266712159238454</v>
      </c>
      <c r="W655">
        <v>0.22768599943012757</v>
      </c>
      <c r="X655">
        <v>5.6426557722276331E-2</v>
      </c>
      <c r="Y655">
        <v>9.5647752081494345E-3</v>
      </c>
    </row>
    <row r="656" spans="1:25" x14ac:dyDescent="0.25">
      <c r="A656" s="1083"/>
      <c r="B656" s="1455">
        <v>406</v>
      </c>
      <c r="C656" s="1087">
        <v>1.0035884652223142</v>
      </c>
      <c r="D656" s="1087">
        <v>0.98959221670817021</v>
      </c>
      <c r="E656" s="1087">
        <v>1.0233095654820175</v>
      </c>
      <c r="F656" s="1087">
        <v>0.99482542939362562</v>
      </c>
      <c r="G656" s="1087">
        <v>1.021857088136551</v>
      </c>
      <c r="H656" s="1087">
        <v>1.0005503675128593</v>
      </c>
      <c r="I656" s="1087">
        <v>0.95622994744456102</v>
      </c>
      <c r="K656">
        <v>1.8459202184348902</v>
      </c>
      <c r="L656">
        <v>0</v>
      </c>
      <c r="M656">
        <v>3.4764812979835333E-3</v>
      </c>
      <c r="N656">
        <v>0.3544140635716625</v>
      </c>
      <c r="O656">
        <v>0.23907067066667595</v>
      </c>
      <c r="P656">
        <v>1.3196734057618549E-2</v>
      </c>
      <c r="Q656">
        <v>1.6242692736490106E-3</v>
      </c>
      <c r="R656">
        <v>3.4705192837559966E-3</v>
      </c>
      <c r="S656">
        <v>0.35031451560204441</v>
      </c>
      <c r="T656">
        <v>0.4007516189100242</v>
      </c>
      <c r="U656">
        <v>0</v>
      </c>
      <c r="V656">
        <v>0.19962943085412357</v>
      </c>
      <c r="W656">
        <v>0.22251776783230456</v>
      </c>
      <c r="X656">
        <v>5.4961500247005531E-2</v>
      </c>
      <c r="Y656">
        <v>9.4456094340094037E-3</v>
      </c>
    </row>
    <row r="657" spans="1:25" x14ac:dyDescent="0.25">
      <c r="A657" s="1083"/>
      <c r="B657" s="1455">
        <v>407</v>
      </c>
      <c r="C657" s="1087">
        <v>1.0345384979208256</v>
      </c>
      <c r="D657" s="1087">
        <v>0.98654722919600568</v>
      </c>
      <c r="E657" s="1087">
        <v>0.99527184646027089</v>
      </c>
      <c r="F657" s="1087">
        <v>1.0267101859204515</v>
      </c>
      <c r="G657" s="1087">
        <v>1.0151481782844969</v>
      </c>
      <c r="H657" s="1087">
        <v>0.96224271996682997</v>
      </c>
      <c r="I657" s="1087">
        <v>0.99445189201732032</v>
      </c>
      <c r="K657">
        <v>1.8019398434990601</v>
      </c>
      <c r="L657">
        <v>0</v>
      </c>
      <c r="M657">
        <v>3.4399374633166408E-3</v>
      </c>
      <c r="N657">
        <v>0.32192734648669946</v>
      </c>
      <c r="O657">
        <v>0.2389786311145192</v>
      </c>
      <c r="P657">
        <v>1.304510954116408E-2</v>
      </c>
      <c r="Q657">
        <v>1.5314019190733397E-3</v>
      </c>
      <c r="R657">
        <v>3.4338043503333404E-3</v>
      </c>
      <c r="S657">
        <v>0.3469401323035905</v>
      </c>
      <c r="T657">
        <v>0.41342038648098134</v>
      </c>
      <c r="U657">
        <v>0</v>
      </c>
      <c r="V657">
        <v>0.19909795201593994</v>
      </c>
      <c r="W657">
        <v>0.20566818018277963</v>
      </c>
      <c r="X657">
        <v>5.1991153078985886E-2</v>
      </c>
      <c r="Y657">
        <v>9.3456834883074852E-3</v>
      </c>
    </row>
    <row r="658" spans="1:25" x14ac:dyDescent="0.25">
      <c r="A658" s="1083"/>
      <c r="B658" s="1455">
        <v>408</v>
      </c>
      <c r="C658" s="1087">
        <v>1.0107951543681359</v>
      </c>
      <c r="D658" s="1087">
        <v>0.96469805778597417</v>
      </c>
      <c r="E658" s="1087">
        <v>1.0000993422774989</v>
      </c>
      <c r="F658" s="1087">
        <v>0.95921554703041578</v>
      </c>
      <c r="G658" s="1087">
        <v>0.99730715048002705</v>
      </c>
      <c r="H658" s="1087">
        <v>1.0246029277300208</v>
      </c>
      <c r="I658" s="1087">
        <v>1.0134653155242386</v>
      </c>
      <c r="K658">
        <v>1.8588086433128521</v>
      </c>
      <c r="L658">
        <v>0</v>
      </c>
      <c r="M658">
        <v>3.7569448485362078E-3</v>
      </c>
      <c r="N658">
        <v>0.35685410190119571</v>
      </c>
      <c r="O658">
        <v>0.23601703504037874</v>
      </c>
      <c r="P658">
        <v>1.3116183751404657E-2</v>
      </c>
      <c r="Q658">
        <v>1.5896444484384917E-3</v>
      </c>
      <c r="R658">
        <v>3.7506733974038363E-3</v>
      </c>
      <c r="S658">
        <v>0.37801063122387174</v>
      </c>
      <c r="T658">
        <v>0.38627066059741683</v>
      </c>
      <c r="U658">
        <v>0</v>
      </c>
      <c r="V658">
        <v>0.19692533035308663</v>
      </c>
      <c r="W658">
        <v>0.22729384207765474</v>
      </c>
      <c r="X658">
        <v>5.2529388791956406E-2</v>
      </c>
      <c r="Y658">
        <v>1.0208096578580081E-2</v>
      </c>
    </row>
    <row r="659" spans="1:25" x14ac:dyDescent="0.25">
      <c r="A659" s="1083"/>
      <c r="B659" s="1455">
        <v>409</v>
      </c>
      <c r="C659" s="1087">
        <v>0.99309326296471645</v>
      </c>
      <c r="D659" s="1087">
        <v>1.0304240065853487</v>
      </c>
      <c r="E659" s="1087">
        <v>0.991469888215324</v>
      </c>
      <c r="F659" s="1087">
        <v>1.0185038069991119</v>
      </c>
      <c r="G659" s="1087">
        <v>0.99143989314142911</v>
      </c>
      <c r="H659" s="1087">
        <v>0.99633216410357117</v>
      </c>
      <c r="I659" s="1087">
        <v>0.97243906127135937</v>
      </c>
      <c r="K659">
        <v>1.8308507204958639</v>
      </c>
      <c r="L659">
        <v>0</v>
      </c>
      <c r="M659">
        <v>3.6530572961813511E-3</v>
      </c>
      <c r="N659">
        <v>0.33794387025390149</v>
      </c>
      <c r="O659">
        <v>0.2385966309001559</v>
      </c>
      <c r="P659">
        <v>1.3035297616214287E-2</v>
      </c>
      <c r="Q659">
        <v>1.5614248281652534E-3</v>
      </c>
      <c r="R659">
        <v>3.6467295018577472E-3</v>
      </c>
      <c r="S659">
        <v>0.35095095402900878</v>
      </c>
      <c r="T659">
        <v>0.41009261194139035</v>
      </c>
      <c r="U659">
        <v>0</v>
      </c>
      <c r="V659">
        <v>0.20042961069382348</v>
      </c>
      <c r="W659">
        <v>0.21641664425238996</v>
      </c>
      <c r="X659">
        <v>5.1904808215137592E-2</v>
      </c>
      <c r="Y659">
        <v>9.9251955599995827E-3</v>
      </c>
    </row>
    <row r="660" spans="1:25" x14ac:dyDescent="0.25">
      <c r="A660" s="1083"/>
      <c r="B660" s="1455">
        <v>410</v>
      </c>
      <c r="C660" s="1087">
        <v>0.99970980609435356</v>
      </c>
      <c r="D660" s="1087">
        <v>1.000702733016313</v>
      </c>
      <c r="E660" s="1087">
        <v>1.0023702477122047</v>
      </c>
      <c r="F660" s="1087">
        <v>1.0287687306364197</v>
      </c>
      <c r="G660" s="1087">
        <v>1.034781463245936</v>
      </c>
      <c r="H660" s="1087">
        <v>0.99615098079912467</v>
      </c>
      <c r="I660" s="1087">
        <v>1.0096204614142315</v>
      </c>
      <c r="K660">
        <v>1.8691448386205067</v>
      </c>
      <c r="L660">
        <v>0</v>
      </c>
      <c r="M660">
        <v>3.6049975474578316E-3</v>
      </c>
      <c r="N660">
        <v>0.34478305310836455</v>
      </c>
      <c r="O660">
        <v>0.24208873305906459</v>
      </c>
      <c r="P660">
        <v>1.3456450460051209E-2</v>
      </c>
      <c r="Q660">
        <v>1.5877201965474822E-3</v>
      </c>
      <c r="R660">
        <v>3.5987777822991209E-3</v>
      </c>
      <c r="S660">
        <v>0.36796193549907402</v>
      </c>
      <c r="T660">
        <v>0.41429350124172415</v>
      </c>
      <c r="U660">
        <v>0</v>
      </c>
      <c r="V660">
        <v>0.20222566775553552</v>
      </c>
      <c r="W660">
        <v>0.21929424456006846</v>
      </c>
      <c r="X660">
        <v>5.3665065718594952E-2</v>
      </c>
      <c r="Y660">
        <v>9.7946867866411103E-3</v>
      </c>
    </row>
    <row r="661" spans="1:25" x14ac:dyDescent="0.25">
      <c r="A661" s="1083"/>
      <c r="B661" s="1455">
        <v>411</v>
      </c>
      <c r="C661" s="1087">
        <v>0.95402952008977782</v>
      </c>
      <c r="D661" s="1087">
        <v>0.98825521589679344</v>
      </c>
      <c r="E661" s="1087">
        <v>0.98783068109637817</v>
      </c>
      <c r="F661" s="1087">
        <v>0.9766068413164849</v>
      </c>
      <c r="G661" s="1087">
        <v>1.0336269177427586</v>
      </c>
      <c r="H661" s="1087">
        <v>0.99260639927517957</v>
      </c>
      <c r="I661" s="1087">
        <v>0.97674835509393609</v>
      </c>
      <c r="K661">
        <v>1.8780292925865631</v>
      </c>
      <c r="L661">
        <v>0</v>
      </c>
      <c r="M661">
        <v>3.9025206711563896E-3</v>
      </c>
      <c r="N661">
        <v>0.35703257004375205</v>
      </c>
      <c r="O661">
        <v>0.24253704913116733</v>
      </c>
      <c r="P661">
        <v>1.313203531927273E-2</v>
      </c>
      <c r="Q661">
        <v>1.6463223243115119E-3</v>
      </c>
      <c r="R661">
        <v>3.8957727968224557E-3</v>
      </c>
      <c r="S661">
        <v>0.37471771526509057</v>
      </c>
      <c r="T661">
        <v>0.3932017502966953</v>
      </c>
      <c r="U661">
        <v>0</v>
      </c>
      <c r="V661">
        <v>0.20333974799220772</v>
      </c>
      <c r="W661">
        <v>0.22916546651617348</v>
      </c>
      <c r="X661">
        <v>5.2660374260432054E-2</v>
      </c>
      <c r="Y661">
        <v>1.0603009311793397E-2</v>
      </c>
    </row>
    <row r="662" spans="1:25" x14ac:dyDescent="0.25">
      <c r="A662" s="1083"/>
      <c r="B662" s="1455">
        <v>412</v>
      </c>
      <c r="C662" s="1087">
        <v>1.0093726074521177</v>
      </c>
      <c r="D662" s="1087">
        <v>1.0196678414932079</v>
      </c>
      <c r="E662" s="1087">
        <v>0.98524718498338293</v>
      </c>
      <c r="F662" s="1087">
        <v>1.0388452369141783</v>
      </c>
      <c r="G662" s="1087">
        <v>0.99209412406214026</v>
      </c>
      <c r="H662" s="1087">
        <v>0.98779045121000597</v>
      </c>
      <c r="I662" s="1087">
        <v>0.97803928661136386</v>
      </c>
      <c r="K662">
        <v>1.8236406690763314</v>
      </c>
      <c r="L662">
        <v>0</v>
      </c>
      <c r="M662">
        <v>3.6282753429024654E-3</v>
      </c>
      <c r="N662">
        <v>0.32932789955029057</v>
      </c>
      <c r="O662">
        <v>0.23984843679723497</v>
      </c>
      <c r="P662">
        <v>1.3046547035775331E-2</v>
      </c>
      <c r="Q662">
        <v>1.5324467225213546E-3</v>
      </c>
      <c r="R662">
        <v>3.6219434778808806E-3</v>
      </c>
      <c r="S662">
        <v>0.34769000531079935</v>
      </c>
      <c r="T662">
        <v>0.41824408748441089</v>
      </c>
      <c r="U662">
        <v>0</v>
      </c>
      <c r="V662">
        <v>0.20089182335694619</v>
      </c>
      <c r="W662">
        <v>0.21172788400903789</v>
      </c>
      <c r="X662">
        <v>5.1480134500891506E-2</v>
      </c>
      <c r="Y662">
        <v>9.8577361734451582E-3</v>
      </c>
    </row>
    <row r="663" spans="1:25" x14ac:dyDescent="0.25">
      <c r="A663" s="1083"/>
      <c r="B663" s="1455">
        <v>413</v>
      </c>
      <c r="C663" s="1087">
        <v>0.98728051484013346</v>
      </c>
      <c r="D663" s="1087">
        <v>1.0105003055702872</v>
      </c>
      <c r="E663" s="1087">
        <v>0.9975120129096805</v>
      </c>
      <c r="F663" s="1087">
        <v>1.02109705642437</v>
      </c>
      <c r="G663" s="1087">
        <v>0.96173433037174416</v>
      </c>
      <c r="H663" s="1087">
        <v>0.96112390276434212</v>
      </c>
      <c r="I663" s="1087">
        <v>0.97095956646923076</v>
      </c>
      <c r="K663">
        <v>1.8287805949839571</v>
      </c>
      <c r="L663">
        <v>0</v>
      </c>
      <c r="M663">
        <v>3.5387805729813013E-3</v>
      </c>
      <c r="N663">
        <v>0.33344745014645322</v>
      </c>
      <c r="O663">
        <v>0.24169066244663512</v>
      </c>
      <c r="P663">
        <v>1.3124768108548268E-2</v>
      </c>
      <c r="Q663">
        <v>1.593185984869266E-3</v>
      </c>
      <c r="R663">
        <v>3.5324443468021448E-3</v>
      </c>
      <c r="S663">
        <v>0.35014558592434714</v>
      </c>
      <c r="T663">
        <v>0.41117399926285841</v>
      </c>
      <c r="U663">
        <v>0</v>
      </c>
      <c r="V663">
        <v>0.20238081953943773</v>
      </c>
      <c r="W663">
        <v>0.2127291959123436</v>
      </c>
      <c r="X663">
        <v>5.2887114842612611E-2</v>
      </c>
      <c r="Y663">
        <v>9.6141490420294708E-3</v>
      </c>
    </row>
    <row r="664" spans="1:25" x14ac:dyDescent="0.25">
      <c r="A664" s="1083"/>
      <c r="B664" s="1455">
        <v>414</v>
      </c>
      <c r="C664" s="1087">
        <v>1.0248415452123651</v>
      </c>
      <c r="D664" s="1087">
        <v>1.0322805968472086</v>
      </c>
      <c r="E664" s="1087">
        <v>1.0088892327959365</v>
      </c>
      <c r="F664" s="1087">
        <v>0.97477379947535792</v>
      </c>
      <c r="G664" s="1087">
        <v>1.0264948683930899</v>
      </c>
      <c r="H664" s="1087">
        <v>1.0105779769508059</v>
      </c>
      <c r="I664" s="1087">
        <v>0.96046430690958617</v>
      </c>
      <c r="K664">
        <v>1.7808892217744683</v>
      </c>
      <c r="L664">
        <v>0</v>
      </c>
      <c r="M664">
        <v>3.4613821059271527E-3</v>
      </c>
      <c r="N664">
        <v>0.33770243536291306</v>
      </c>
      <c r="O664">
        <v>0.22987775470321442</v>
      </c>
      <c r="P664">
        <v>1.2692491549599302E-2</v>
      </c>
      <c r="Q664">
        <v>1.5402888953254209E-3</v>
      </c>
      <c r="R664">
        <v>3.4554692428427178E-3</v>
      </c>
      <c r="S664">
        <v>0.33811900322535382</v>
      </c>
      <c r="T664">
        <v>0.39258796187201128</v>
      </c>
      <c r="U664">
        <v>0</v>
      </c>
      <c r="V664">
        <v>0.19340431638210281</v>
      </c>
      <c r="W664">
        <v>0.21392129110260397</v>
      </c>
      <c r="X664">
        <v>5.1644943360538355E-2</v>
      </c>
      <c r="Y664">
        <v>9.4046481838881129E-3</v>
      </c>
    </row>
    <row r="665" spans="1:25" x14ac:dyDescent="0.25">
      <c r="A665" s="1083"/>
      <c r="B665" s="1455">
        <v>415</v>
      </c>
      <c r="C665" s="1087">
        <v>0.99832216993289336</v>
      </c>
      <c r="D665" s="1087">
        <v>0.96759326124949563</v>
      </c>
      <c r="E665" s="1087">
        <v>1.0082890047238897</v>
      </c>
      <c r="F665" s="1087">
        <v>0.99879833532205908</v>
      </c>
      <c r="G665" s="1087">
        <v>0.98043022087032417</v>
      </c>
      <c r="H665" s="1087">
        <v>0.97808211115117571</v>
      </c>
      <c r="I665" s="1087">
        <v>1.0017508851193191</v>
      </c>
      <c r="K665">
        <v>1.8614851876131062</v>
      </c>
      <c r="L665">
        <v>0</v>
      </c>
      <c r="M665">
        <v>3.5661050093418571E-3</v>
      </c>
      <c r="N665">
        <v>0.34726905139911879</v>
      </c>
      <c r="O665">
        <v>0.24218755973422515</v>
      </c>
      <c r="P665">
        <v>1.3359617435059402E-2</v>
      </c>
      <c r="Q665">
        <v>1.6216369160041732E-3</v>
      </c>
      <c r="R665">
        <v>3.5598682392285418E-3</v>
      </c>
      <c r="S665">
        <v>0.36921246521191908</v>
      </c>
      <c r="T665">
        <v>0.40226013522379345</v>
      </c>
      <c r="U665">
        <v>0</v>
      </c>
      <c r="V665">
        <v>0.20163992440604678</v>
      </c>
      <c r="W665">
        <v>0.22006335382406333</v>
      </c>
      <c r="X665">
        <v>5.4188892396058376E-2</v>
      </c>
      <c r="Y665">
        <v>9.6887878369304164E-3</v>
      </c>
    </row>
    <row r="666" spans="1:25" x14ac:dyDescent="0.25">
      <c r="A666" s="1083"/>
      <c r="B666" s="1455">
        <v>416</v>
      </c>
      <c r="C666" s="1087">
        <v>1.021406532547892</v>
      </c>
      <c r="D666" s="1087">
        <v>1.0187399408156648</v>
      </c>
      <c r="E666" s="1087">
        <v>0.97155593902490467</v>
      </c>
      <c r="F666" s="1087">
        <v>1.0039348581691052</v>
      </c>
      <c r="G666" s="1087">
        <v>1.0198107261761118</v>
      </c>
      <c r="H666" s="1087">
        <v>1.0017381372039966</v>
      </c>
      <c r="I666" s="1087">
        <v>0.98915515847903734</v>
      </c>
      <c r="K666">
        <v>1.7957235231727522</v>
      </c>
      <c r="L666">
        <v>0</v>
      </c>
      <c r="M666">
        <v>3.7416746467158575E-3</v>
      </c>
      <c r="N666">
        <v>0.32570994542957726</v>
      </c>
      <c r="O666">
        <v>0.23438295232591666</v>
      </c>
      <c r="P666">
        <v>1.2697144513956546E-2</v>
      </c>
      <c r="Q666">
        <v>1.4927569715679138E-3</v>
      </c>
      <c r="R666">
        <v>3.7352379390599199E-3</v>
      </c>
      <c r="S666">
        <v>0.34998272726711244</v>
      </c>
      <c r="T666">
        <v>0.40410701327276044</v>
      </c>
      <c r="U666">
        <v>0</v>
      </c>
      <c r="V666">
        <v>0.19668559082053919</v>
      </c>
      <c r="W666">
        <v>0.21123058315940735</v>
      </c>
      <c r="X666">
        <v>4.9275159770301877E-2</v>
      </c>
      <c r="Y666">
        <v>1.0166086349265415E-2</v>
      </c>
    </row>
    <row r="667" spans="1:25" x14ac:dyDescent="0.25">
      <c r="A667" s="1083"/>
      <c r="B667" s="1455">
        <v>417</v>
      </c>
      <c r="C667" s="1087">
        <v>0.97360893033474549</v>
      </c>
      <c r="D667" s="1087">
        <v>1.0003054609697608</v>
      </c>
      <c r="E667" s="1087">
        <v>0.99736060035615592</v>
      </c>
      <c r="F667" s="1087">
        <v>0.97497542352703714</v>
      </c>
      <c r="G667" s="1087">
        <v>0.99437019447827557</v>
      </c>
      <c r="H667" s="1087">
        <v>0.97621156455178093</v>
      </c>
      <c r="I667" s="1087">
        <v>0.98306236539702452</v>
      </c>
      <c r="K667">
        <v>1.8387980976217173</v>
      </c>
      <c r="L667">
        <v>0</v>
      </c>
      <c r="M667">
        <v>3.665304726581926E-3</v>
      </c>
      <c r="N667">
        <v>0.34522014924829686</v>
      </c>
      <c r="O667">
        <v>0.23887167999347927</v>
      </c>
      <c r="P667">
        <v>1.3035663722571119E-2</v>
      </c>
      <c r="Q667">
        <v>1.6218618390542719E-3</v>
      </c>
      <c r="R667">
        <v>3.6588514145048019E-3</v>
      </c>
      <c r="S667">
        <v>0.3642406504925822</v>
      </c>
      <c r="T667">
        <v>0.39260090886836818</v>
      </c>
      <c r="U667">
        <v>0</v>
      </c>
      <c r="V667">
        <v>0.20042070766997055</v>
      </c>
      <c r="W667">
        <v>0.22026069231262119</v>
      </c>
      <c r="X667">
        <v>5.2574049376611719E-2</v>
      </c>
      <c r="Y667">
        <v>9.9581874102374381E-3</v>
      </c>
    </row>
    <row r="668" spans="1:25" x14ac:dyDescent="0.25">
      <c r="A668" s="1083"/>
      <c r="B668" s="1455">
        <v>418</v>
      </c>
      <c r="C668" s="1087">
        <v>0.95347779354008488</v>
      </c>
      <c r="D668" s="1087">
        <v>0.97572466635002553</v>
      </c>
      <c r="E668" s="1087">
        <v>1.0131003575903086</v>
      </c>
      <c r="F668" s="1087">
        <v>1.0427980952946208</v>
      </c>
      <c r="G668" s="1087">
        <v>1.041599874731387</v>
      </c>
      <c r="H668" s="1087">
        <v>1.0078486291850779</v>
      </c>
      <c r="I668" s="1087">
        <v>1.0095014082300584</v>
      </c>
      <c r="K668">
        <v>1.971215076029784</v>
      </c>
      <c r="L668">
        <v>0</v>
      </c>
      <c r="M668">
        <v>3.7930635774718635E-3</v>
      </c>
      <c r="N668">
        <v>0.37484822367295467</v>
      </c>
      <c r="O668">
        <v>0.25243178367251379</v>
      </c>
      <c r="P668">
        <v>1.4105224443663295E-2</v>
      </c>
      <c r="Q668">
        <v>1.7008823955114538E-3</v>
      </c>
      <c r="R668">
        <v>3.7866191440353485E-3</v>
      </c>
      <c r="S668">
        <v>0.39364174325188517</v>
      </c>
      <c r="T668">
        <v>0.42001140908178508</v>
      </c>
      <c r="U668">
        <v>0</v>
      </c>
      <c r="V668">
        <v>0.21012505905271694</v>
      </c>
      <c r="W668">
        <v>0.23683285828405665</v>
      </c>
      <c r="X668">
        <v>5.7218407556735858E-2</v>
      </c>
      <c r="Y668">
        <v>1.0305929051398864E-2</v>
      </c>
    </row>
    <row r="669" spans="1:25" x14ac:dyDescent="0.25">
      <c r="A669" s="1083"/>
      <c r="B669" s="1455">
        <v>419</v>
      </c>
      <c r="C669" s="1087">
        <v>1.0057644085962596</v>
      </c>
      <c r="D669" s="1087">
        <v>1.0082695780547215</v>
      </c>
      <c r="E669" s="1087">
        <v>1.0059217955282145</v>
      </c>
      <c r="F669" s="1087">
        <v>1.0108396532205657</v>
      </c>
      <c r="G669" s="1087">
        <v>0.95751305830333378</v>
      </c>
      <c r="H669" s="1087">
        <v>1.0333928789681359</v>
      </c>
      <c r="I669" s="1087">
        <v>1.0101037366582539</v>
      </c>
      <c r="K669">
        <v>1.8759008121852208</v>
      </c>
      <c r="L669">
        <v>0</v>
      </c>
      <c r="M669">
        <v>3.675336640112774E-3</v>
      </c>
      <c r="N669">
        <v>0.35536111602467807</v>
      </c>
      <c r="O669">
        <v>0.23857108370623989</v>
      </c>
      <c r="P669">
        <v>1.3402646485382258E-2</v>
      </c>
      <c r="Q669">
        <v>1.5793670524244839E-3</v>
      </c>
      <c r="R669">
        <v>3.6692175629118762E-3</v>
      </c>
      <c r="S669">
        <v>0.37119520935143729</v>
      </c>
      <c r="T669">
        <v>0.4070951331995612</v>
      </c>
      <c r="U669">
        <v>0</v>
      </c>
      <c r="V669">
        <v>0.19967039418340327</v>
      </c>
      <c r="W669">
        <v>0.22552281793671458</v>
      </c>
      <c r="X669">
        <v>5.3522762673577355E-2</v>
      </c>
      <c r="Y669">
        <v>9.986400649001588E-3</v>
      </c>
    </row>
    <row r="670" spans="1:25" x14ac:dyDescent="0.25">
      <c r="A670" s="1083"/>
      <c r="B670" s="1455">
        <v>420</v>
      </c>
      <c r="C670" s="1087">
        <v>0.98852293072924702</v>
      </c>
      <c r="D670" s="1087">
        <v>1.0040060743651429</v>
      </c>
      <c r="E670" s="1087">
        <v>1.033116683555741</v>
      </c>
      <c r="F670" s="1087">
        <v>1.0073951085004214</v>
      </c>
      <c r="G670" s="1087">
        <v>1.0143139469227072</v>
      </c>
      <c r="H670" s="1087">
        <v>1.0272090065064263</v>
      </c>
      <c r="I670" s="1087">
        <v>1.013016121700302</v>
      </c>
      <c r="K670">
        <v>1.9103184318922446</v>
      </c>
      <c r="L670">
        <v>0</v>
      </c>
      <c r="M670">
        <v>3.5237476630952873E-3</v>
      </c>
      <c r="N670">
        <v>0.37013893194744629</v>
      </c>
      <c r="O670">
        <v>0.24110159245593971</v>
      </c>
      <c r="P670">
        <v>1.3789693225948649E-2</v>
      </c>
      <c r="Q670">
        <v>1.6564866326537495E-3</v>
      </c>
      <c r="R670">
        <v>3.5178497309045994E-3</v>
      </c>
      <c r="S670">
        <v>0.37884220541167141</v>
      </c>
      <c r="T670">
        <v>0.40587618272709253</v>
      </c>
      <c r="U670">
        <v>0</v>
      </c>
      <c r="V670">
        <v>0.20163402964924904</v>
      </c>
      <c r="W670">
        <v>0.23100052845692676</v>
      </c>
      <c r="X670">
        <v>5.6710252008836518E-2</v>
      </c>
      <c r="Y670">
        <v>9.5744273086701952E-3</v>
      </c>
    </row>
    <row r="671" spans="1:25" x14ac:dyDescent="0.25">
      <c r="A671" s="1083"/>
      <c r="B671" s="1455">
        <v>421</v>
      </c>
      <c r="C671" s="1087">
        <v>1.0082009361919357</v>
      </c>
      <c r="D671" s="1087">
        <v>1.0136174158499294</v>
      </c>
      <c r="E671" s="1087">
        <v>0.98300236535131014</v>
      </c>
      <c r="F671" s="1087">
        <v>1.0284545017495945</v>
      </c>
      <c r="G671" s="1087">
        <v>1.0021553369955711</v>
      </c>
      <c r="H671" s="1087">
        <v>0.98178742071199643</v>
      </c>
      <c r="I671" s="1087">
        <v>1.0005268293325029</v>
      </c>
      <c r="K671">
        <v>1.8251440137510071</v>
      </c>
      <c r="L671">
        <v>0</v>
      </c>
      <c r="M671">
        <v>3.6393572613340783E-3</v>
      </c>
      <c r="N671">
        <v>0.3280730315999969</v>
      </c>
      <c r="O671">
        <v>0.23941523374063661</v>
      </c>
      <c r="P671">
        <v>1.3076930588005043E-2</v>
      </c>
      <c r="Q671">
        <v>1.5341797417668958E-3</v>
      </c>
      <c r="R671">
        <v>3.6329737572540328E-3</v>
      </c>
      <c r="S671">
        <v>0.35620674313188833</v>
      </c>
      <c r="T671">
        <v>0.41404689817976209</v>
      </c>
      <c r="U671">
        <v>0</v>
      </c>
      <c r="V671">
        <v>0.20046887341025907</v>
      </c>
      <c r="W671">
        <v>0.21122073222686055</v>
      </c>
      <c r="X671">
        <v>5.1220017678144006E-2</v>
      </c>
      <c r="Y671">
        <v>9.8877569577682616E-3</v>
      </c>
    </row>
    <row r="672" spans="1:25" x14ac:dyDescent="0.25">
      <c r="A672" s="1083"/>
      <c r="B672" s="1455">
        <v>422</v>
      </c>
      <c r="C672" s="1087">
        <v>0.98543013311135264</v>
      </c>
      <c r="D672" s="1087">
        <v>0.97940965334959496</v>
      </c>
      <c r="E672" s="1087">
        <v>0.98599480824545216</v>
      </c>
      <c r="F672" s="1087">
        <v>1.0021967446919284</v>
      </c>
      <c r="G672" s="1087">
        <v>1.0216689479205656</v>
      </c>
      <c r="H672" s="1087">
        <v>1.0047270491362763</v>
      </c>
      <c r="I672" s="1087">
        <v>0.99187359475961823</v>
      </c>
      <c r="K672">
        <v>1.875650760574987</v>
      </c>
      <c r="L672">
        <v>0</v>
      </c>
      <c r="M672">
        <v>3.8589512977681918E-3</v>
      </c>
      <c r="N672">
        <v>0.35108055086900714</v>
      </c>
      <c r="O672">
        <v>0.24264994462881953</v>
      </c>
      <c r="P672">
        <v>1.321273466125948E-2</v>
      </c>
      <c r="Q672">
        <v>1.5964575118031568E-3</v>
      </c>
      <c r="R672">
        <v>3.8523702899189278E-3</v>
      </c>
      <c r="S672">
        <v>0.37252912550303607</v>
      </c>
      <c r="T672">
        <v>0.4034937214091559</v>
      </c>
      <c r="U672">
        <v>0</v>
      </c>
      <c r="V672">
        <v>0.20256097466623574</v>
      </c>
      <c r="W672">
        <v>0.22560629914106728</v>
      </c>
      <c r="X672">
        <v>5.2442651196815307E-2</v>
      </c>
      <c r="Y672">
        <v>1.048488199563455E-2</v>
      </c>
    </row>
    <row r="673" spans="1:25" x14ac:dyDescent="0.25">
      <c r="A673" s="1083"/>
      <c r="B673" s="1455">
        <v>423</v>
      </c>
      <c r="C673" s="1087">
        <v>1.0217192302727343</v>
      </c>
      <c r="D673" s="1087">
        <v>1.0075937935784074</v>
      </c>
      <c r="E673" s="1087">
        <v>0.98490430698829901</v>
      </c>
      <c r="F673" s="1087">
        <v>0.97717045292392235</v>
      </c>
      <c r="G673" s="1087">
        <v>0.99010682716946874</v>
      </c>
      <c r="H673" s="1087">
        <v>1.0020346435707579</v>
      </c>
      <c r="I673" s="1087">
        <v>1.0292006462334804</v>
      </c>
      <c r="K673">
        <v>1.8078074002487263</v>
      </c>
      <c r="L673">
        <v>0</v>
      </c>
      <c r="M673">
        <v>3.6634932024613019E-3</v>
      </c>
      <c r="N673">
        <v>0.33218580365249006</v>
      </c>
      <c r="O673">
        <v>0.23253363171697969</v>
      </c>
      <c r="P673">
        <v>1.2883000196108944E-2</v>
      </c>
      <c r="Q673">
        <v>1.5205990714097966E-3</v>
      </c>
      <c r="R673">
        <v>3.6572035771686023E-3</v>
      </c>
      <c r="S673">
        <v>0.36649670096729786</v>
      </c>
      <c r="T673">
        <v>0.39341151450716311</v>
      </c>
      <c r="U673">
        <v>0</v>
      </c>
      <c r="V673">
        <v>0.19504039206028539</v>
      </c>
      <c r="W673">
        <v>0.21361153262319529</v>
      </c>
      <c r="X673">
        <v>5.0176812538869957E-2</v>
      </c>
      <c r="Y673">
        <v>9.9537025402177317E-3</v>
      </c>
    </row>
    <row r="674" spans="1:25" x14ac:dyDescent="0.25">
      <c r="A674" s="1083"/>
      <c r="B674" s="1455">
        <v>424</v>
      </c>
      <c r="C674" s="1087">
        <v>0.96325901644299161</v>
      </c>
      <c r="D674" s="1087">
        <v>1.010045576051356</v>
      </c>
      <c r="E674" s="1087">
        <v>1.0175708961242815</v>
      </c>
      <c r="F674" s="1087">
        <v>1.0258720722559236</v>
      </c>
      <c r="G674" s="1087">
        <v>1.0099030041337882</v>
      </c>
      <c r="H674" s="1087">
        <v>1.0152991738440018</v>
      </c>
      <c r="I674" s="1087">
        <v>0.97750731003565883</v>
      </c>
      <c r="K674">
        <v>1.9182460581205147</v>
      </c>
      <c r="L674">
        <v>0</v>
      </c>
      <c r="M674">
        <v>3.6785040440347749E-3</v>
      </c>
      <c r="N674">
        <v>0.36851636063703636</v>
      </c>
      <c r="O674">
        <v>0.24564199196825481</v>
      </c>
      <c r="P674">
        <v>1.3690558398060387E-2</v>
      </c>
      <c r="Q674">
        <v>1.6683564981546319E-3</v>
      </c>
      <c r="R674">
        <v>3.6722700576280148E-3</v>
      </c>
      <c r="S674">
        <v>0.37155689373061501</v>
      </c>
      <c r="T674">
        <v>0.41322214484030761</v>
      </c>
      <c r="U674">
        <v>0</v>
      </c>
      <c r="V674">
        <v>0.205642555575692</v>
      </c>
      <c r="W674">
        <v>0.23219028711374967</v>
      </c>
      <c r="X674">
        <v>5.6128434811686841E-2</v>
      </c>
      <c r="Y674">
        <v>9.9947085333643021E-3</v>
      </c>
    </row>
    <row r="675" spans="1:25" x14ac:dyDescent="0.25">
      <c r="A675" s="1083"/>
      <c r="B675" s="1455">
        <v>425</v>
      </c>
      <c r="C675" s="1087">
        <v>1.0228953006244013</v>
      </c>
      <c r="D675" s="1087">
        <v>0.96666250828909295</v>
      </c>
      <c r="E675" s="1087">
        <v>0.99661050685193309</v>
      </c>
      <c r="F675" s="1087">
        <v>0.9687594068625468</v>
      </c>
      <c r="G675" s="1087">
        <v>0.97604612955019587</v>
      </c>
      <c r="H675" s="1087">
        <v>1.0275177061468515</v>
      </c>
      <c r="I675" s="1087">
        <v>0.97905858786903111</v>
      </c>
      <c r="K675">
        <v>1.8364479234800908</v>
      </c>
      <c r="L675">
        <v>0</v>
      </c>
      <c r="M675">
        <v>3.7463041502557816E-3</v>
      </c>
      <c r="N675">
        <v>0.35207604002704063</v>
      </c>
      <c r="O675">
        <v>0.23555597145978846</v>
      </c>
      <c r="P675">
        <v>1.2894855271606316E-2</v>
      </c>
      <c r="Q675">
        <v>1.5637332166617216E-3</v>
      </c>
      <c r="R675">
        <v>3.7400675891721422E-3</v>
      </c>
      <c r="S675">
        <v>0.36095940600471704</v>
      </c>
      <c r="T675">
        <v>0.39009346376606086</v>
      </c>
      <c r="U675">
        <v>0</v>
      </c>
      <c r="V675">
        <v>0.19640068418155901</v>
      </c>
      <c r="W675">
        <v>0.2247404986578983</v>
      </c>
      <c r="X675">
        <v>5.1990276391065904E-2</v>
      </c>
      <c r="Y675">
        <v>1.0179231064777156E-2</v>
      </c>
    </row>
    <row r="676" spans="1:25" x14ac:dyDescent="0.25">
      <c r="A676" s="1083"/>
      <c r="B676" s="1455">
        <v>426</v>
      </c>
      <c r="C676" s="1087">
        <v>0.96487214380019271</v>
      </c>
      <c r="D676" s="1087">
        <v>0.99512289501419671</v>
      </c>
      <c r="E676" s="1087">
        <v>0.98530434677952627</v>
      </c>
      <c r="F676" s="1087">
        <v>1.0230160227818088</v>
      </c>
      <c r="G676" s="1087">
        <v>0.98200775071870949</v>
      </c>
      <c r="H676" s="1087">
        <v>0.99819081434714108</v>
      </c>
      <c r="I676" s="1087">
        <v>0.98375828652785513</v>
      </c>
      <c r="K676">
        <v>1.8951627115027967</v>
      </c>
      <c r="L676">
        <v>0</v>
      </c>
      <c r="M676">
        <v>3.8878958394579946E-3</v>
      </c>
      <c r="N676">
        <v>0.35296333696838705</v>
      </c>
      <c r="O676">
        <v>0.24613384622347143</v>
      </c>
      <c r="P676">
        <v>1.336707349212753E-2</v>
      </c>
      <c r="Q676">
        <v>1.6189244725305374E-3</v>
      </c>
      <c r="R676">
        <v>3.8812078507069791E-3</v>
      </c>
      <c r="S676">
        <v>0.37283774794404229</v>
      </c>
      <c r="T676">
        <v>0.41187152034512292</v>
      </c>
      <c r="U676">
        <v>0</v>
      </c>
      <c r="V676">
        <v>0.20582264720899807</v>
      </c>
      <c r="W676">
        <v>0.22691512534572197</v>
      </c>
      <c r="X676">
        <v>5.3075809161343565E-2</v>
      </c>
      <c r="Y676">
        <v>1.0563368329800269E-2</v>
      </c>
    </row>
    <row r="677" spans="1:25" x14ac:dyDescent="0.25">
      <c r="A677" s="1083"/>
      <c r="B677" s="1455">
        <v>427</v>
      </c>
      <c r="C677" s="1087">
        <v>0.96891557562046693</v>
      </c>
      <c r="D677" s="1087">
        <v>0.97902078524740166</v>
      </c>
      <c r="E677" s="1087">
        <v>0.99891778895258554</v>
      </c>
      <c r="F677" s="1087">
        <v>1.0109588082272363</v>
      </c>
      <c r="G677" s="1087">
        <v>0.99781741759527753</v>
      </c>
      <c r="H677" s="1087">
        <v>1.0256388675403547</v>
      </c>
      <c r="I677" s="1087">
        <v>1.0026220440881275</v>
      </c>
      <c r="K677">
        <v>1.9308411282416318</v>
      </c>
      <c r="L677">
        <v>0</v>
      </c>
      <c r="M677">
        <v>3.9028102644858538E-3</v>
      </c>
      <c r="N677">
        <v>0.36937437379768301</v>
      </c>
      <c r="O677">
        <v>0.24600449767441299</v>
      </c>
      <c r="P677">
        <v>1.3627546023371646E-2</v>
      </c>
      <c r="Q677">
        <v>1.6465316283704305E-3</v>
      </c>
      <c r="R677">
        <v>3.8962904592470108E-3</v>
      </c>
      <c r="S677">
        <v>0.38719216212767543</v>
      </c>
      <c r="T677">
        <v>0.40710014325779142</v>
      </c>
      <c r="U677">
        <v>0</v>
      </c>
      <c r="V677">
        <v>0.20527070527523428</v>
      </c>
      <c r="W677">
        <v>0.23544229363038138</v>
      </c>
      <c r="X677">
        <v>5.4584976413683775E-2</v>
      </c>
      <c r="Y677">
        <v>1.0604418218265665E-2</v>
      </c>
    </row>
    <row r="678" spans="1:25" x14ac:dyDescent="0.25">
      <c r="A678" s="1083"/>
      <c r="B678" s="1455">
        <v>428</v>
      </c>
      <c r="C678" s="1087">
        <v>0.98277609516042608</v>
      </c>
      <c r="D678" s="1087">
        <v>0.97554394244416387</v>
      </c>
      <c r="E678" s="1087">
        <v>0.97857396681785747</v>
      </c>
      <c r="F678" s="1087">
        <v>0.9781895817899906</v>
      </c>
      <c r="G678" s="1087">
        <v>0.98086871457602376</v>
      </c>
      <c r="H678" s="1087">
        <v>0.97651278641512873</v>
      </c>
      <c r="I678" s="1087">
        <v>0.96527993623549102</v>
      </c>
      <c r="K678">
        <v>1.8298304670591767</v>
      </c>
      <c r="L678">
        <v>0</v>
      </c>
      <c r="M678">
        <v>3.8252960536971571E-3</v>
      </c>
      <c r="N678">
        <v>0.3401993709847857</v>
      </c>
      <c r="O678">
        <v>0.24030729100839077</v>
      </c>
      <c r="P678">
        <v>1.280558747200364E-2</v>
      </c>
      <c r="Q678">
        <v>1.590559031492231E-3</v>
      </c>
      <c r="R678">
        <v>3.8185860216413039E-3</v>
      </c>
      <c r="S678">
        <v>0.35910015610803636</v>
      </c>
      <c r="T678">
        <v>0.39378479111585607</v>
      </c>
      <c r="U678">
        <v>0</v>
      </c>
      <c r="V678">
        <v>0.20089037749963179</v>
      </c>
      <c r="W678">
        <v>0.2196436881703569</v>
      </c>
      <c r="X678">
        <v>5.1122423346312812E-2</v>
      </c>
      <c r="Y678">
        <v>1.0392932354363902E-2</v>
      </c>
    </row>
    <row r="679" spans="1:25" x14ac:dyDescent="0.25">
      <c r="A679" s="1083"/>
      <c r="B679" s="1455">
        <v>429</v>
      </c>
      <c r="C679" s="1087">
        <v>1.0138662566512315</v>
      </c>
      <c r="D679" s="1087">
        <v>0.97967085595952086</v>
      </c>
      <c r="E679" s="1087">
        <v>0.98637370311355455</v>
      </c>
      <c r="F679" s="1087">
        <v>0.98192310721749609</v>
      </c>
      <c r="G679" s="1087">
        <v>0.96914783876031507</v>
      </c>
      <c r="H679" s="1087">
        <v>0.99001995246765617</v>
      </c>
      <c r="I679" s="1087">
        <v>0.98236830136758602</v>
      </c>
      <c r="K679">
        <v>1.8136029776023257</v>
      </c>
      <c r="L679">
        <v>0</v>
      </c>
      <c r="M679">
        <v>3.6923004787641359E-3</v>
      </c>
      <c r="N679">
        <v>0.33629940858469975</v>
      </c>
      <c r="O679">
        <v>0.23676571930103918</v>
      </c>
      <c r="P679">
        <v>1.2817110146039985E-2</v>
      </c>
      <c r="Q679">
        <v>1.5521468656395764E-3</v>
      </c>
      <c r="R679">
        <v>3.6859096763220737E-3</v>
      </c>
      <c r="S679">
        <v>0.35594343166106612</v>
      </c>
      <c r="T679">
        <v>0.39533359854700317</v>
      </c>
      <c r="U679">
        <v>0</v>
      </c>
      <c r="V679">
        <v>0.19773493682653359</v>
      </c>
      <c r="W679">
        <v>0.2160561645818346</v>
      </c>
      <c r="X679">
        <v>5.1075020811760428E-2</v>
      </c>
      <c r="Y679">
        <v>1.0031831079150436E-2</v>
      </c>
    </row>
    <row r="680" spans="1:25" x14ac:dyDescent="0.25">
      <c r="A680" s="1083"/>
      <c r="B680" s="1455">
        <v>430</v>
      </c>
      <c r="C680" s="1087">
        <v>1.0045541648388105</v>
      </c>
      <c r="D680" s="1087">
        <v>0.99880289312768855</v>
      </c>
      <c r="E680" s="1087">
        <v>0.99173910143765098</v>
      </c>
      <c r="F680" s="1087">
        <v>1.0223566649226445</v>
      </c>
      <c r="G680" s="1087">
        <v>1.0000174280152752</v>
      </c>
      <c r="H680" s="1087">
        <v>0.98333033542824921</v>
      </c>
      <c r="I680" s="1087">
        <v>1.0089451084012648</v>
      </c>
      <c r="K680">
        <v>1.844694616668523</v>
      </c>
      <c r="L680">
        <v>0</v>
      </c>
      <c r="M680">
        <v>3.62298936403161E-3</v>
      </c>
      <c r="N680">
        <v>0.33543283581355787</v>
      </c>
      <c r="O680">
        <v>0.24079355533299476</v>
      </c>
      <c r="P680">
        <v>1.3244616044615354E-2</v>
      </c>
      <c r="Q680">
        <v>1.563426092873294E-3</v>
      </c>
      <c r="R680">
        <v>3.6166587671576061E-3</v>
      </c>
      <c r="S680">
        <v>0.36386969752121279</v>
      </c>
      <c r="T680">
        <v>0.41164559279782642</v>
      </c>
      <c r="U680">
        <v>0</v>
      </c>
      <c r="V680">
        <v>0.20119831447049835</v>
      </c>
      <c r="W680">
        <v>0.21477223807571452</v>
      </c>
      <c r="X680">
        <v>5.2337318183143154E-2</v>
      </c>
      <c r="Y680">
        <v>9.843352932960828E-3</v>
      </c>
    </row>
    <row r="681" spans="1:25" x14ac:dyDescent="0.25">
      <c r="A681" s="1083"/>
      <c r="B681" s="1455">
        <v>431</v>
      </c>
      <c r="C681" s="1087">
        <v>1.005136727477133</v>
      </c>
      <c r="D681" s="1087">
        <v>1.0266124114845561</v>
      </c>
      <c r="E681" s="1087">
        <v>0.96186244017466149</v>
      </c>
      <c r="F681" s="1087">
        <v>0.98703178823853988</v>
      </c>
      <c r="G681" s="1087">
        <v>0.99643330291590748</v>
      </c>
      <c r="H681" s="1087">
        <v>0.99922670006818937</v>
      </c>
      <c r="I681" s="1087">
        <v>1.0051510708689604</v>
      </c>
      <c r="K681">
        <v>1.797551912398099</v>
      </c>
      <c r="L681">
        <v>0</v>
      </c>
      <c r="M681">
        <v>3.8529217094465922E-3</v>
      </c>
      <c r="N681">
        <v>0.32559237915773992</v>
      </c>
      <c r="O681">
        <v>0.23347666640299264</v>
      </c>
      <c r="P681">
        <v>1.2633602677945771E-2</v>
      </c>
      <c r="Q681">
        <v>1.4964465353486491E-3</v>
      </c>
      <c r="R681">
        <v>3.8462710376237249E-3</v>
      </c>
      <c r="S681">
        <v>0.35934251400838102</v>
      </c>
      <c r="T681">
        <v>0.3972465634693147</v>
      </c>
      <c r="U681">
        <v>0</v>
      </c>
      <c r="V681">
        <v>0.19649829472266883</v>
      </c>
      <c r="W681">
        <v>0.21246988396098659</v>
      </c>
      <c r="X681">
        <v>4.8333930293036238E-2</v>
      </c>
      <c r="Y681">
        <v>1.0468281841504988E-2</v>
      </c>
    </row>
    <row r="682" spans="1:25" x14ac:dyDescent="0.25">
      <c r="A682" s="1083"/>
      <c r="B682" s="1455">
        <v>432</v>
      </c>
      <c r="C682" s="1087">
        <v>0.98457160370213104</v>
      </c>
      <c r="D682" s="1087">
        <v>1.0135253297304931</v>
      </c>
      <c r="E682" s="1087">
        <v>0.98665590954045479</v>
      </c>
      <c r="F682" s="1087">
        <v>0.98817514269253948</v>
      </c>
      <c r="G682" s="1087">
        <v>1.0421184811468973</v>
      </c>
      <c r="H682" s="1087">
        <v>0.9773129245555886</v>
      </c>
      <c r="I682" s="1087">
        <v>1.0189978690084527</v>
      </c>
      <c r="K682">
        <v>1.8333665358558811</v>
      </c>
      <c r="L682">
        <v>0</v>
      </c>
      <c r="M682">
        <v>3.68328869018881E-3</v>
      </c>
      <c r="N682">
        <v>0.33575759363957713</v>
      </c>
      <c r="O682">
        <v>0.23769482456959959</v>
      </c>
      <c r="P682">
        <v>1.3079578550968857E-2</v>
      </c>
      <c r="Q682">
        <v>1.5772332393015735E-3</v>
      </c>
      <c r="R682">
        <v>3.6768003020746873E-3</v>
      </c>
      <c r="S682">
        <v>0.37076399525851217</v>
      </c>
      <c r="T682">
        <v>0.39785241371594948</v>
      </c>
      <c r="U682">
        <v>0</v>
      </c>
      <c r="V682">
        <v>0.19962183611831691</v>
      </c>
      <c r="W682">
        <v>0.21566965403304825</v>
      </c>
      <c r="X682">
        <v>5.1348856753367339E-2</v>
      </c>
      <c r="Y682">
        <v>1.0007038365353466E-2</v>
      </c>
    </row>
    <row r="683" spans="1:25" x14ac:dyDescent="0.25">
      <c r="A683" s="1083"/>
      <c r="B683" s="1455">
        <v>433</v>
      </c>
      <c r="C683" s="1087">
        <v>1.0222652201574727</v>
      </c>
      <c r="D683" s="1087">
        <v>1.0164744444958382</v>
      </c>
      <c r="E683" s="1087">
        <v>0.96426004033965329</v>
      </c>
      <c r="F683" s="1087">
        <v>0.97422314050468406</v>
      </c>
      <c r="G683" s="1087">
        <v>0.99243200110072627</v>
      </c>
      <c r="H683" s="1087">
        <v>1.0423164257607569</v>
      </c>
      <c r="I683" s="1087">
        <v>0.9852820035929597</v>
      </c>
      <c r="K683">
        <v>1.8017580490058596</v>
      </c>
      <c r="L683">
        <v>0</v>
      </c>
      <c r="M683">
        <v>3.9535043256632525E-3</v>
      </c>
      <c r="N683">
        <v>0.33657704268619365</v>
      </c>
      <c r="O683">
        <v>0.2309904735859461</v>
      </c>
      <c r="P683">
        <v>1.25095193954004E-2</v>
      </c>
      <c r="Q683">
        <v>1.4810776350552206E-3</v>
      </c>
      <c r="R683">
        <v>3.9469710082388077E-3</v>
      </c>
      <c r="S683">
        <v>0.35571841946477933</v>
      </c>
      <c r="T683">
        <v>0.39210529350969431</v>
      </c>
      <c r="U683">
        <v>0</v>
      </c>
      <c r="V683">
        <v>0.19415987566801948</v>
      </c>
      <c r="W683">
        <v>0.21929999542976142</v>
      </c>
      <c r="X683">
        <v>4.818053098264817E-2</v>
      </c>
      <c r="Y683">
        <v>1.0742353965782851E-2</v>
      </c>
    </row>
    <row r="684" spans="1:25" x14ac:dyDescent="0.25">
      <c r="A684" s="1083"/>
      <c r="B684" s="1455">
        <v>434</v>
      </c>
      <c r="C684" s="1087">
        <v>0.96754556700427219</v>
      </c>
      <c r="D684" s="1087">
        <v>1.0109400371564468</v>
      </c>
      <c r="E684" s="1087">
        <v>1.0116390135471582</v>
      </c>
      <c r="F684" s="1087">
        <v>1.000205132184395</v>
      </c>
      <c r="G684" s="1087">
        <v>1.0053399764210129</v>
      </c>
      <c r="H684" s="1087">
        <v>0.99441497218312602</v>
      </c>
      <c r="I684" s="1087">
        <v>1.0160052924795762</v>
      </c>
      <c r="K684">
        <v>1.8903410003019092</v>
      </c>
      <c r="L684">
        <v>0</v>
      </c>
      <c r="M684">
        <v>3.6288012857737455E-3</v>
      </c>
      <c r="N684">
        <v>0.35700947768548125</v>
      </c>
      <c r="O684">
        <v>0.24186313240274665</v>
      </c>
      <c r="P684">
        <v>1.3569361885334074E-2</v>
      </c>
      <c r="Q684">
        <v>1.6499934804453573E-3</v>
      </c>
      <c r="R684">
        <v>3.6225212031884427E-3</v>
      </c>
      <c r="S684">
        <v>0.38025113761805762</v>
      </c>
      <c r="T684">
        <v>0.40284715978637137</v>
      </c>
      <c r="U684">
        <v>0</v>
      </c>
      <c r="V684">
        <v>0.20284749983195305</v>
      </c>
      <c r="W684">
        <v>0.22576630421145802</v>
      </c>
      <c r="X684">
        <v>5.468390493136413E-2</v>
      </c>
      <c r="Y684">
        <v>9.8593085512852473E-3</v>
      </c>
    </row>
    <row r="685" spans="1:25" x14ac:dyDescent="0.25">
      <c r="A685" s="1083"/>
      <c r="B685" s="1455">
        <v>435</v>
      </c>
      <c r="C685" s="1087">
        <v>0.98470118428047904</v>
      </c>
      <c r="D685" s="1087">
        <v>0.9798745136184599</v>
      </c>
      <c r="E685" s="1087">
        <v>0.99133127986138148</v>
      </c>
      <c r="F685" s="1087">
        <v>0.98739010025182794</v>
      </c>
      <c r="G685" s="1087">
        <v>0.98222873622178575</v>
      </c>
      <c r="H685" s="1087">
        <v>0.97518138077450456</v>
      </c>
      <c r="I685" s="1087">
        <v>0.99742667339630287</v>
      </c>
      <c r="K685">
        <v>1.8486454263666467</v>
      </c>
      <c r="L685">
        <v>0</v>
      </c>
      <c r="M685">
        <v>3.7062686845737206E-3</v>
      </c>
      <c r="N685">
        <v>0.34271271679691162</v>
      </c>
      <c r="O685">
        <v>0.24096292906929065</v>
      </c>
      <c r="P685">
        <v>1.3125939230746456E-2</v>
      </c>
      <c r="Q685">
        <v>1.6064988845926006E-3</v>
      </c>
      <c r="R685">
        <v>3.6997554142909751E-3</v>
      </c>
      <c r="S685">
        <v>0.36934918333892536</v>
      </c>
      <c r="T685">
        <v>0.39756409649133828</v>
      </c>
      <c r="U685">
        <v>0</v>
      </c>
      <c r="V685">
        <v>0.20134258483862227</v>
      </c>
      <c r="W685">
        <v>0.21948970843779142</v>
      </c>
      <c r="X685">
        <v>5.2428767935053154E-2</v>
      </c>
      <c r="Y685">
        <v>1.0069514613655496E-2</v>
      </c>
    </row>
    <row r="686" spans="1:25" x14ac:dyDescent="0.25">
      <c r="A686" s="1083"/>
      <c r="B686" s="1455">
        <v>436</v>
      </c>
      <c r="C686" s="1087">
        <v>1.0008151143677972</v>
      </c>
      <c r="D686" s="1087">
        <v>1.0056440407804752</v>
      </c>
      <c r="E686" s="1087">
        <v>0.95822162148876389</v>
      </c>
      <c r="F686" s="1087">
        <v>0.99422937113289489</v>
      </c>
      <c r="G686" s="1087">
        <v>1.0081249887132531</v>
      </c>
      <c r="H686" s="1087">
        <v>0.99443524626401691</v>
      </c>
      <c r="I686" s="1087">
        <v>1.021376900793469</v>
      </c>
      <c r="K686">
        <v>1.8215448667663177</v>
      </c>
      <c r="L686">
        <v>0</v>
      </c>
      <c r="M686">
        <v>3.9232270535125733E-3</v>
      </c>
      <c r="N686">
        <v>0.32785866681218628</v>
      </c>
      <c r="O686">
        <v>0.23680782302104314</v>
      </c>
      <c r="P686">
        <v>1.2805273359626798E-2</v>
      </c>
      <c r="Q686">
        <v>1.5093750021760001E-3</v>
      </c>
      <c r="R686">
        <v>3.9164422805510355E-3</v>
      </c>
      <c r="S686">
        <v>0.37000593124018483</v>
      </c>
      <c r="T686">
        <v>0.40012204968236936</v>
      </c>
      <c r="U686">
        <v>0</v>
      </c>
      <c r="V686">
        <v>0.19863223528796942</v>
      </c>
      <c r="W686">
        <v>0.21445099660491676</v>
      </c>
      <c r="X686">
        <v>4.8700035695995771E-2</v>
      </c>
      <c r="Y686">
        <v>1.0659264832809111E-2</v>
      </c>
    </row>
    <row r="687" spans="1:25" x14ac:dyDescent="0.25">
      <c r="A687" s="1083"/>
      <c r="B687" s="1455">
        <v>437</v>
      </c>
      <c r="C687" s="1087">
        <v>1.0034210718810406</v>
      </c>
      <c r="D687" s="1087">
        <v>0.98346209320798006</v>
      </c>
      <c r="E687" s="1087">
        <v>0.98262427276622744</v>
      </c>
      <c r="F687" s="1087">
        <v>1.0127415786931755</v>
      </c>
      <c r="G687" s="1087">
        <v>0.9796582959136606</v>
      </c>
      <c r="H687" s="1087">
        <v>0.99991972904387749</v>
      </c>
      <c r="I687" s="1087">
        <v>1.0024883451473361</v>
      </c>
      <c r="K687">
        <v>1.8559463093376969</v>
      </c>
      <c r="L687">
        <v>0</v>
      </c>
      <c r="M687">
        <v>3.7893806253858947E-3</v>
      </c>
      <c r="N687">
        <v>0.34121611861314627</v>
      </c>
      <c r="O687">
        <v>0.24124150850365278</v>
      </c>
      <c r="P687">
        <v>1.3157862528521698E-2</v>
      </c>
      <c r="Q687">
        <v>1.5595889960401926E-3</v>
      </c>
      <c r="R687">
        <v>3.7828837495719556E-3</v>
      </c>
      <c r="S687">
        <v>0.36801014175036051</v>
      </c>
      <c r="T687">
        <v>0.40771871961978995</v>
      </c>
      <c r="U687">
        <v>0</v>
      </c>
      <c r="V687">
        <v>0.20127875860753311</v>
      </c>
      <c r="W687">
        <v>0.21973512560435646</v>
      </c>
      <c r="X687">
        <v>5.1739219451065716E-2</v>
      </c>
      <c r="Y687">
        <v>1.0295762539041964E-2</v>
      </c>
    </row>
    <row r="688" spans="1:25" x14ac:dyDescent="0.25">
      <c r="A688" s="1083"/>
      <c r="B688" s="1455">
        <v>438</v>
      </c>
      <c r="C688" s="1087">
        <v>1.0149092733118115</v>
      </c>
      <c r="D688" s="1087">
        <v>0.96971448274149263</v>
      </c>
      <c r="E688" s="1087">
        <v>0.9717470026554389</v>
      </c>
      <c r="F688" s="1087">
        <v>1.0041039994749337</v>
      </c>
      <c r="G688" s="1087">
        <v>0.96502405104050737</v>
      </c>
      <c r="H688" s="1087">
        <v>1.0076745159220255</v>
      </c>
      <c r="I688" s="1087">
        <v>0.98499985913437194</v>
      </c>
      <c r="K688">
        <v>1.8398231368527447</v>
      </c>
      <c r="L688">
        <v>0</v>
      </c>
      <c r="M688">
        <v>3.8895923123781393E-3</v>
      </c>
      <c r="N688">
        <v>0.33879152135123103</v>
      </c>
      <c r="O688">
        <v>0.24008604707058975</v>
      </c>
      <c r="P688">
        <v>1.289894603004748E-2</v>
      </c>
      <c r="Q688">
        <v>1.5325619142628219E-3</v>
      </c>
      <c r="R688">
        <v>3.882987902647505E-3</v>
      </c>
      <c r="S688">
        <v>0.36156464384637771</v>
      </c>
      <c r="T688">
        <v>0.40417623517108409</v>
      </c>
      <c r="U688">
        <v>0</v>
      </c>
      <c r="V688">
        <v>0.20000281914556411</v>
      </c>
      <c r="W688">
        <v>0.21968749846375485</v>
      </c>
      <c r="X688">
        <v>5.0521255225173319E-2</v>
      </c>
      <c r="Y688">
        <v>1.0568213044388416E-2</v>
      </c>
    </row>
    <row r="689" spans="1:25" x14ac:dyDescent="0.25">
      <c r="A689" s="1083"/>
      <c r="B689" s="1455">
        <v>439</v>
      </c>
      <c r="C689" s="1087">
        <v>0.98428824701689754</v>
      </c>
      <c r="D689" s="1087">
        <v>1.010231151349299</v>
      </c>
      <c r="E689" s="1087">
        <v>1.0011125015125408</v>
      </c>
      <c r="F689" s="1087">
        <v>0.98656351788379926</v>
      </c>
      <c r="G689" s="1087">
        <v>1.0161837277821713</v>
      </c>
      <c r="H689" s="1087">
        <v>1.0333017055416447</v>
      </c>
      <c r="I689" s="1087">
        <v>1.0055417056920457</v>
      </c>
      <c r="K689">
        <v>1.881306370405575</v>
      </c>
      <c r="L689">
        <v>0</v>
      </c>
      <c r="M689">
        <v>3.7886191771978241E-3</v>
      </c>
      <c r="N689">
        <v>0.36097842006318526</v>
      </c>
      <c r="O689">
        <v>0.23806591846348454</v>
      </c>
      <c r="P689">
        <v>1.3303185545214194E-2</v>
      </c>
      <c r="Q689">
        <v>1.604345222859131E-3</v>
      </c>
      <c r="R689">
        <v>3.7823096471427389E-3</v>
      </c>
      <c r="S689">
        <v>0.37711499171711227</v>
      </c>
      <c r="T689">
        <v>0.39728959238546746</v>
      </c>
      <c r="U689">
        <v>0</v>
      </c>
      <c r="V689">
        <v>0.19977205305833839</v>
      </c>
      <c r="W689">
        <v>0.22977533813391918</v>
      </c>
      <c r="X689">
        <v>5.3114635324564625E-2</v>
      </c>
      <c r="Y689">
        <v>1.0294200021482446E-2</v>
      </c>
    </row>
    <row r="690" spans="1:25" x14ac:dyDescent="0.25">
      <c r="A690" s="1083"/>
      <c r="B690" s="1455">
        <v>440</v>
      </c>
      <c r="C690" s="1087">
        <v>0.99318710696042978</v>
      </c>
      <c r="D690" s="1087">
        <v>0.98885724074910586</v>
      </c>
      <c r="E690" s="1087">
        <v>1.0108867993200059</v>
      </c>
      <c r="F690" s="1087">
        <v>0.99716810664942446</v>
      </c>
      <c r="G690" s="1087">
        <v>0.97825781100154074</v>
      </c>
      <c r="H690" s="1087">
        <v>1.017647946085569</v>
      </c>
      <c r="I690" s="1087">
        <v>0.9691704496243424</v>
      </c>
      <c r="K690">
        <v>1.8716558053189649</v>
      </c>
      <c r="L690">
        <v>0</v>
      </c>
      <c r="M690">
        <v>3.6665974882371193E-3</v>
      </c>
      <c r="N690">
        <v>0.35991761879041034</v>
      </c>
      <c r="O690">
        <v>0.24049956680135523</v>
      </c>
      <c r="P690">
        <v>1.3264880573376872E-2</v>
      </c>
      <c r="Q690">
        <v>1.6203663470416604E-3</v>
      </c>
      <c r="R690">
        <v>3.6604157325101669E-3</v>
      </c>
      <c r="S690">
        <v>0.36182743546766782</v>
      </c>
      <c r="T690">
        <v>0.40161937255138447</v>
      </c>
      <c r="U690">
        <v>0</v>
      </c>
      <c r="V690">
        <v>0.20091245516717782</v>
      </c>
      <c r="W690">
        <v>0.22771145785237767</v>
      </c>
      <c r="X690">
        <v>5.432638855573E-2</v>
      </c>
      <c r="Y690">
        <v>9.9624449681707493E-3</v>
      </c>
    </row>
    <row r="691" spans="1:25" x14ac:dyDescent="0.25">
      <c r="A691" s="1083"/>
      <c r="B691" s="1455">
        <v>441</v>
      </c>
      <c r="C691" s="1087">
        <v>0.98201709193776365</v>
      </c>
      <c r="D691" s="1087">
        <v>1.009267866638494</v>
      </c>
      <c r="E691" s="1087">
        <v>0.98364531356045459</v>
      </c>
      <c r="F691" s="1087">
        <v>1.0037840147249348</v>
      </c>
      <c r="G691" s="1087">
        <v>0.99804277386612583</v>
      </c>
      <c r="H691" s="1087">
        <v>1.0138710487857465</v>
      </c>
      <c r="I691" s="1087">
        <v>1.0043217517775218</v>
      </c>
      <c r="K691">
        <v>1.8703928609238569</v>
      </c>
      <c r="L691">
        <v>0</v>
      </c>
      <c r="M691">
        <v>3.8634948586850864E-3</v>
      </c>
      <c r="N691">
        <v>0.34898289469117394</v>
      </c>
      <c r="O691">
        <v>0.24023666226816878</v>
      </c>
      <c r="P691">
        <v>1.3201915879708519E-2</v>
      </c>
      <c r="Q691">
        <v>1.5788885015095356E-3</v>
      </c>
      <c r="R691">
        <v>3.8569384718127606E-3</v>
      </c>
      <c r="S691">
        <v>0.37394383689355687</v>
      </c>
      <c r="T691">
        <v>0.40411863686001964</v>
      </c>
      <c r="U691">
        <v>0</v>
      </c>
      <c r="V691">
        <v>0.20145779599392996</v>
      </c>
      <c r="W691">
        <v>0.22459158368979343</v>
      </c>
      <c r="X691">
        <v>5.1789887452019345E-2</v>
      </c>
      <c r="Y691">
        <v>1.0497315080848807E-2</v>
      </c>
    </row>
    <row r="692" spans="1:25" x14ac:dyDescent="0.25">
      <c r="A692" s="1083"/>
      <c r="B692" s="1455">
        <v>442</v>
      </c>
      <c r="C692" s="1087">
        <v>0.99639605542031284</v>
      </c>
      <c r="D692" s="1087">
        <v>1.0195530353635545</v>
      </c>
      <c r="E692" s="1087">
        <v>1.0060094550224121</v>
      </c>
      <c r="F692" s="1087">
        <v>1.025882617666994</v>
      </c>
      <c r="G692" s="1087">
        <v>0.96234510745249224</v>
      </c>
      <c r="H692" s="1087">
        <v>0.98515909379385247</v>
      </c>
      <c r="I692" s="1087">
        <v>1.0179511960871168</v>
      </c>
      <c r="K692">
        <v>1.8549539769298236</v>
      </c>
      <c r="L692">
        <v>0</v>
      </c>
      <c r="M692">
        <v>3.5146628413655931E-3</v>
      </c>
      <c r="N692">
        <v>0.33988803618484764</v>
      </c>
      <c r="O692">
        <v>0.24031734243739047</v>
      </c>
      <c r="P692">
        <v>1.3444188714328044E-2</v>
      </c>
      <c r="Q692">
        <v>1.5872835509471578E-3</v>
      </c>
      <c r="R692">
        <v>3.5085147687761672E-3</v>
      </c>
      <c r="S692">
        <v>0.36642369023213378</v>
      </c>
      <c r="T692">
        <v>0.41315392869845097</v>
      </c>
      <c r="U692">
        <v>0</v>
      </c>
      <c r="V692">
        <v>0.20135175257444304</v>
      </c>
      <c r="W692">
        <v>0.21569137635700955</v>
      </c>
      <c r="X692">
        <v>5.3553505633837407E-2</v>
      </c>
      <c r="Y692">
        <v>9.5490206190260388E-3</v>
      </c>
    </row>
    <row r="693" spans="1:25" x14ac:dyDescent="0.25">
      <c r="A693" s="1083"/>
      <c r="B693" s="1455">
        <v>443</v>
      </c>
      <c r="C693" s="1087">
        <v>0.98247518490923602</v>
      </c>
      <c r="D693" s="1087">
        <v>1.0241084361772474</v>
      </c>
      <c r="E693" s="1087">
        <v>0.9538579173409899</v>
      </c>
      <c r="F693" s="1087">
        <v>1.0084119161201566</v>
      </c>
      <c r="G693" s="1087">
        <v>0.95936928892241269</v>
      </c>
      <c r="H693" s="1087">
        <v>1.0349853913415044</v>
      </c>
      <c r="I693" s="1087">
        <v>0.97979172961502503</v>
      </c>
      <c r="K693">
        <v>1.8525437666293978</v>
      </c>
      <c r="L693">
        <v>0</v>
      </c>
      <c r="M693">
        <v>4.1555746932698491E-3</v>
      </c>
      <c r="N693">
        <v>0.34268887276865262</v>
      </c>
      <c r="O693">
        <v>0.23883348879455779</v>
      </c>
      <c r="P693">
        <v>1.280187074726491E-2</v>
      </c>
      <c r="Q693">
        <v>1.519156989695536E-3</v>
      </c>
      <c r="R693">
        <v>4.1486523034397699E-3</v>
      </c>
      <c r="S693">
        <v>0.36513957649979278</v>
      </c>
      <c r="T693">
        <v>0.40580392817145128</v>
      </c>
      <c r="U693">
        <v>0</v>
      </c>
      <c r="V693">
        <v>0.20084532293350266</v>
      </c>
      <c r="W693">
        <v>0.22478407697093011</v>
      </c>
      <c r="X693">
        <v>4.8843131176281432E-2</v>
      </c>
      <c r="Y693">
        <v>1.1291263967098775E-2</v>
      </c>
    </row>
    <row r="694" spans="1:25" x14ac:dyDescent="0.25">
      <c r="A694" s="1083"/>
      <c r="B694" s="1455">
        <v>444</v>
      </c>
      <c r="C694" s="1087">
        <v>1.0121147981093226</v>
      </c>
      <c r="D694" s="1087">
        <v>0.99542507846572059</v>
      </c>
      <c r="E694" s="1087">
        <v>1.0085177178205449</v>
      </c>
      <c r="F694" s="1087">
        <v>1.0124919942189423</v>
      </c>
      <c r="G694" s="1087">
        <v>1.0221148596669598</v>
      </c>
      <c r="H694" s="1087">
        <v>1.0471502617416402</v>
      </c>
      <c r="I694" s="1087">
        <v>0.99533519898806788</v>
      </c>
      <c r="K694">
        <v>1.8846976779463902</v>
      </c>
      <c r="L694">
        <v>0</v>
      </c>
      <c r="M694">
        <v>3.7068996223552564E-3</v>
      </c>
      <c r="N694">
        <v>0.36127096906045891</v>
      </c>
      <c r="O694">
        <v>0.23931933163901833</v>
      </c>
      <c r="P694">
        <v>1.3403802300314429E-2</v>
      </c>
      <c r="Q694">
        <v>1.581880419116986E-3</v>
      </c>
      <c r="R694">
        <v>3.7008200793708429E-3</v>
      </c>
      <c r="S694">
        <v>0.36855312153924985</v>
      </c>
      <c r="T694">
        <v>0.40777658699838759</v>
      </c>
      <c r="U694">
        <v>0</v>
      </c>
      <c r="V694">
        <v>0.19983704886363532</v>
      </c>
      <c r="W694">
        <v>0.22890381903482948</v>
      </c>
      <c r="X694">
        <v>5.3984785353325314E-2</v>
      </c>
      <c r="Y694">
        <v>1.0072412281036145E-2</v>
      </c>
    </row>
    <row r="695" spans="1:25" x14ac:dyDescent="0.25">
      <c r="A695" s="1083"/>
      <c r="B695" s="1455">
        <v>445</v>
      </c>
      <c r="C695" s="1087">
        <v>1.0103390645891044</v>
      </c>
      <c r="D695" s="1087">
        <v>0.97137849091632267</v>
      </c>
      <c r="E695" s="1087">
        <v>1.0023348503501581</v>
      </c>
      <c r="F695" s="1087">
        <v>0.98440344096002574</v>
      </c>
      <c r="G695" s="1087">
        <v>1.0069036265409104</v>
      </c>
      <c r="H695" s="1087">
        <v>1.0110327460560735</v>
      </c>
      <c r="I695" s="1087">
        <v>1.0260602120433389</v>
      </c>
      <c r="K695">
        <v>1.8664379461477341</v>
      </c>
      <c r="L695">
        <v>0</v>
      </c>
      <c r="M695">
        <v>3.6791726623406425E-3</v>
      </c>
      <c r="N695">
        <v>0.35185061060662826</v>
      </c>
      <c r="O695">
        <v>0.2385316175209424</v>
      </c>
      <c r="P695">
        <v>1.3316126830117936E-2</v>
      </c>
      <c r="Q695">
        <v>1.5897581361099566E-3</v>
      </c>
      <c r="R695">
        <v>3.672944227969043E-3</v>
      </c>
      <c r="S695">
        <v>0.3789537457213541</v>
      </c>
      <c r="T695">
        <v>0.39642702822718695</v>
      </c>
      <c r="U695">
        <v>0</v>
      </c>
      <c r="V695">
        <v>0.19885657028770293</v>
      </c>
      <c r="W695">
        <v>0.22379440255135757</v>
      </c>
      <c r="X695">
        <v>5.3127771297913635E-2</v>
      </c>
      <c r="Y695">
        <v>9.9965434027923915E-3</v>
      </c>
    </row>
    <row r="696" spans="1:25" x14ac:dyDescent="0.25">
      <c r="A696" s="1083"/>
      <c r="B696" s="1455">
        <v>446</v>
      </c>
      <c r="C696" s="1087">
        <v>1.0375325204192671</v>
      </c>
      <c r="D696" s="1087">
        <v>1.0312882104162933</v>
      </c>
      <c r="E696" s="1087">
        <v>1.0088555176565324</v>
      </c>
      <c r="F696" s="1087">
        <v>0.97574594512878976</v>
      </c>
      <c r="G696" s="1087">
        <v>0.98656850913982386</v>
      </c>
      <c r="H696" s="1087">
        <v>1.0000820880558705</v>
      </c>
      <c r="I696" s="1087">
        <v>1.0102463392894956</v>
      </c>
      <c r="K696">
        <v>1.7777788564734509</v>
      </c>
      <c r="L696">
        <v>0</v>
      </c>
      <c r="M696">
        <v>3.3851312172829863E-3</v>
      </c>
      <c r="N696">
        <v>0.33022330209190326</v>
      </c>
      <c r="O696">
        <v>0.22862609554514043</v>
      </c>
      <c r="P696">
        <v>1.2839908847813147E-2</v>
      </c>
      <c r="Q696">
        <v>1.5219792875744806E-3</v>
      </c>
      <c r="R696">
        <v>3.379288028678993E-3</v>
      </c>
      <c r="S696">
        <v>0.34963618257724505</v>
      </c>
      <c r="T696">
        <v>0.39297929077196181</v>
      </c>
      <c r="U696">
        <v>0</v>
      </c>
      <c r="V696">
        <v>0.19225124111177513</v>
      </c>
      <c r="W696">
        <v>0.20918792997619182</v>
      </c>
      <c r="X696">
        <v>5.1321461420385371E-2</v>
      </c>
      <c r="Y696">
        <v>9.1973080320649526E-3</v>
      </c>
    </row>
    <row r="697" spans="1:25" x14ac:dyDescent="0.25">
      <c r="A697" s="1083"/>
      <c r="B697" s="1455">
        <v>447</v>
      </c>
      <c r="C697" s="1087">
        <v>0.98537379312011808</v>
      </c>
      <c r="D697" s="1087">
        <v>1.0218604839324055</v>
      </c>
      <c r="E697" s="1087">
        <v>0.99962096970791414</v>
      </c>
      <c r="F697" s="1087">
        <v>1.0031959150007006</v>
      </c>
      <c r="G697" s="1087">
        <v>1.0015333852727124</v>
      </c>
      <c r="H697" s="1087">
        <v>1.0205877056238277</v>
      </c>
      <c r="I697" s="1087">
        <v>1.0080373349286746</v>
      </c>
      <c r="K697">
        <v>1.8727276749000594</v>
      </c>
      <c r="L697">
        <v>0</v>
      </c>
      <c r="M697">
        <v>3.7263130425199569E-3</v>
      </c>
      <c r="N697">
        <v>0.35342129976841136</v>
      </c>
      <c r="O697">
        <v>0.23874711388338402</v>
      </c>
      <c r="P697">
        <v>1.3331876628699594E-2</v>
      </c>
      <c r="Q697">
        <v>1.5927245223404005E-3</v>
      </c>
      <c r="R697">
        <v>3.7200200811494163E-3</v>
      </c>
      <c r="S697">
        <v>0.37291137835459481</v>
      </c>
      <c r="T697">
        <v>0.4039783978282116</v>
      </c>
      <c r="U697">
        <v>0</v>
      </c>
      <c r="V697">
        <v>0.20047490650838398</v>
      </c>
      <c r="W697">
        <v>0.22517466214182905</v>
      </c>
      <c r="X697">
        <v>5.2976939868975309E-2</v>
      </c>
      <c r="Y697">
        <v>1.0124668356598534E-2</v>
      </c>
    </row>
    <row r="698" spans="1:25" x14ac:dyDescent="0.25">
      <c r="A698" s="1083"/>
      <c r="B698" s="1455">
        <v>448</v>
      </c>
      <c r="C698" s="1087">
        <v>0.97129715059177557</v>
      </c>
      <c r="D698" s="1087">
        <v>1.0022125549088092</v>
      </c>
      <c r="E698" s="1087">
        <v>1.0027462949831174</v>
      </c>
      <c r="F698" s="1087">
        <v>0.97178622683154658</v>
      </c>
      <c r="G698" s="1087">
        <v>1.0005218543034156</v>
      </c>
      <c r="H698" s="1087">
        <v>1.0035861704195257</v>
      </c>
      <c r="I698" s="1087">
        <v>1.004455071194597</v>
      </c>
      <c r="K698">
        <v>1.8710060987828947</v>
      </c>
      <c r="L698">
        <v>0</v>
      </c>
      <c r="M698">
        <v>3.7317200890598979E-3</v>
      </c>
      <c r="N698">
        <v>0.35731693037008511</v>
      </c>
      <c r="O698">
        <v>0.23865415160715744</v>
      </c>
      <c r="P698">
        <v>1.3255724360120156E-2</v>
      </c>
      <c r="Q698">
        <v>1.6338331380218881E-3</v>
      </c>
      <c r="R698">
        <v>3.7253271623929776E-3</v>
      </c>
      <c r="S698">
        <v>0.3778455899883349</v>
      </c>
      <c r="T698">
        <v>0.3913484036507559</v>
      </c>
      <c r="U698">
        <v>0</v>
      </c>
      <c r="V698">
        <v>0.20032668139399451</v>
      </c>
      <c r="W698">
        <v>0.22721294459837649</v>
      </c>
      <c r="X698">
        <v>5.3279120120448588E-2</v>
      </c>
      <c r="Y698">
        <v>1.0139112482264649E-2</v>
      </c>
    </row>
    <row r="699" spans="1:25" x14ac:dyDescent="0.25">
      <c r="A699" s="1083"/>
      <c r="B699" s="1455">
        <v>449</v>
      </c>
      <c r="C699" s="1087">
        <v>1.003993019957049</v>
      </c>
      <c r="D699" s="1087">
        <v>0.95819779072606148</v>
      </c>
      <c r="E699" s="1087">
        <v>0.9851585220980239</v>
      </c>
      <c r="F699" s="1087">
        <v>1.0161672827406114</v>
      </c>
      <c r="G699" s="1087">
        <v>0.97234022244022023</v>
      </c>
      <c r="H699" s="1087">
        <v>0.97849684520916425</v>
      </c>
      <c r="I699" s="1087">
        <v>1.0301219798407348</v>
      </c>
      <c r="K699">
        <v>1.8707653760496969</v>
      </c>
      <c r="L699">
        <v>0</v>
      </c>
      <c r="M699">
        <v>3.7392396702714825E-3</v>
      </c>
      <c r="N699">
        <v>0.33930772601682813</v>
      </c>
      <c r="O699">
        <v>0.24423138972944158</v>
      </c>
      <c r="P699">
        <v>1.3377946958465208E-2</v>
      </c>
      <c r="Q699">
        <v>1.5793059886141834E-3</v>
      </c>
      <c r="R699">
        <v>3.7327123868126388E-3</v>
      </c>
      <c r="S699">
        <v>0.37940017430763961</v>
      </c>
      <c r="T699">
        <v>0.40911329397691926</v>
      </c>
      <c r="U699">
        <v>0</v>
      </c>
      <c r="V699">
        <v>0.20293263267404427</v>
      </c>
      <c r="W699">
        <v>0.21815622537710397</v>
      </c>
      <c r="X699">
        <v>5.2513995675503015E-2</v>
      </c>
      <c r="Y699">
        <v>1.0159212628596393E-2</v>
      </c>
    </row>
    <row r="700" spans="1:25" x14ac:dyDescent="0.25">
      <c r="A700" s="1083"/>
      <c r="B700" s="1455">
        <v>450</v>
      </c>
      <c r="C700" s="1087">
        <v>0.99688228051143168</v>
      </c>
      <c r="D700" s="1087">
        <v>1.0078961495118561</v>
      </c>
      <c r="E700" s="1087">
        <v>1.0110045507636625</v>
      </c>
      <c r="F700" s="1087">
        <v>0.96684637467434575</v>
      </c>
      <c r="G700" s="1087">
        <v>1.0088183231481875</v>
      </c>
      <c r="H700" s="1087">
        <v>0.98213626164595913</v>
      </c>
      <c r="I700" s="1087">
        <v>0.98507159764422991</v>
      </c>
      <c r="K700">
        <v>1.8131170011340585</v>
      </c>
      <c r="L700">
        <v>0</v>
      </c>
      <c r="M700">
        <v>3.4883252714109332E-3</v>
      </c>
      <c r="N700">
        <v>0.34251861108405179</v>
      </c>
      <c r="O700">
        <v>0.23454803771039281</v>
      </c>
      <c r="P700">
        <v>1.2965141753459345E-2</v>
      </c>
      <c r="Q700">
        <v>1.6022922108689286E-3</v>
      </c>
      <c r="R700">
        <v>3.4822147062887336E-3</v>
      </c>
      <c r="S700">
        <v>0.35620181143702184</v>
      </c>
      <c r="T700">
        <v>0.38940768858159941</v>
      </c>
      <c r="U700">
        <v>0</v>
      </c>
      <c r="V700">
        <v>0.19687603286497024</v>
      </c>
      <c r="W700">
        <v>0.21668770014056388</v>
      </c>
      <c r="X700">
        <v>5.2838355397502028E-2</v>
      </c>
      <c r="Y700">
        <v>9.4774405187485096E-3</v>
      </c>
    </row>
    <row r="701" spans="1:25" x14ac:dyDescent="0.25">
      <c r="A701" s="1083"/>
      <c r="B701" s="1455">
        <v>451</v>
      </c>
      <c r="C701" s="1087">
        <v>0.96247565966252868</v>
      </c>
      <c r="D701" s="1087">
        <v>1.013603012881547</v>
      </c>
      <c r="E701" s="1087">
        <v>0.9991841126896821</v>
      </c>
      <c r="F701" s="1087">
        <v>1.0095021031453413</v>
      </c>
      <c r="G701" s="1087">
        <v>0.9995636887011331</v>
      </c>
      <c r="H701" s="1087">
        <v>0.98746870730271752</v>
      </c>
      <c r="I701" s="1087">
        <v>0.97426076241159321</v>
      </c>
      <c r="K701">
        <v>1.8724516572689966</v>
      </c>
      <c r="L701">
        <v>0</v>
      </c>
      <c r="M701">
        <v>3.7108541659744408E-3</v>
      </c>
      <c r="N701">
        <v>0.35146697123263754</v>
      </c>
      <c r="O701">
        <v>0.24316995443310968</v>
      </c>
      <c r="P701">
        <v>1.3297196546096537E-2</v>
      </c>
      <c r="Q701">
        <v>1.6351559368117114E-3</v>
      </c>
      <c r="R701">
        <v>3.7043847681964069E-3</v>
      </c>
      <c r="S701">
        <v>0.36461347308466935</v>
      </c>
      <c r="T701">
        <v>0.40651517474327037</v>
      </c>
      <c r="U701">
        <v>0</v>
      </c>
      <c r="V701">
        <v>0.20401213912392188</v>
      </c>
      <c r="W701">
        <v>0.22399066360018902</v>
      </c>
      <c r="X701">
        <v>5.3675283777145713E-2</v>
      </c>
      <c r="Y701">
        <v>1.0082114188919975E-2</v>
      </c>
    </row>
    <row r="702" spans="1:25" x14ac:dyDescent="0.25">
      <c r="A702" s="1083"/>
      <c r="B702" s="1455">
        <v>452</v>
      </c>
      <c r="C702" s="1087">
        <v>0.98361710070965713</v>
      </c>
      <c r="D702" s="1087">
        <v>1.0233258709716579</v>
      </c>
      <c r="E702" s="1087">
        <v>1.0068055005545542</v>
      </c>
      <c r="F702" s="1087">
        <v>0.98110649346134682</v>
      </c>
      <c r="G702" s="1087">
        <v>0.97541482842540184</v>
      </c>
      <c r="H702" s="1087">
        <v>0.98327801794280134</v>
      </c>
      <c r="I702" s="1087">
        <v>1.0103011501349837</v>
      </c>
      <c r="K702">
        <v>1.8358449012357132</v>
      </c>
      <c r="L702">
        <v>0</v>
      </c>
      <c r="M702">
        <v>3.541237526205505E-3</v>
      </c>
      <c r="N702">
        <v>0.34328914460665971</v>
      </c>
      <c r="O702">
        <v>0.23631501500105209</v>
      </c>
      <c r="P702">
        <v>1.3181501446271495E-2</v>
      </c>
      <c r="Q702">
        <v>1.6068893180569523E-3</v>
      </c>
      <c r="R702">
        <v>3.5350289019510858E-3</v>
      </c>
      <c r="S702">
        <v>0.36733621844056119</v>
      </c>
      <c r="T702">
        <v>0.39512598422907669</v>
      </c>
      <c r="U702">
        <v>0</v>
      </c>
      <c r="V702">
        <v>0.19873108499725989</v>
      </c>
      <c r="W702">
        <v>0.21774189566631896</v>
      </c>
      <c r="X702">
        <v>5.2902192805563651E-2</v>
      </c>
      <c r="Y702">
        <v>9.6211833491465174E-3</v>
      </c>
    </row>
    <row r="703" spans="1:25" x14ac:dyDescent="0.25">
      <c r="A703" s="1083"/>
      <c r="B703" s="1455">
        <v>453</v>
      </c>
      <c r="C703" s="1087">
        <v>0.99504771076973419</v>
      </c>
      <c r="D703" s="1087">
        <v>1.0235987929715438</v>
      </c>
      <c r="E703" s="1087">
        <v>1.0049444830780676</v>
      </c>
      <c r="F703" s="1087">
        <v>0.99363997221596101</v>
      </c>
      <c r="G703" s="1087">
        <v>1.0157657370412017</v>
      </c>
      <c r="H703" s="1087">
        <v>1.0064705551140061</v>
      </c>
      <c r="I703" s="1087">
        <v>1.0154062319728958</v>
      </c>
      <c r="K703">
        <v>1.8484211560158128</v>
      </c>
      <c r="L703">
        <v>0</v>
      </c>
      <c r="M703">
        <v>3.5962064428095289E-3</v>
      </c>
      <c r="N703">
        <v>0.34665841571828404</v>
      </c>
      <c r="O703">
        <v>0.23635829985654061</v>
      </c>
      <c r="P703">
        <v>1.3254130727353805E-2</v>
      </c>
      <c r="Q703">
        <v>1.5851237912696454E-3</v>
      </c>
      <c r="R703">
        <v>3.5900463678611837E-3</v>
      </c>
      <c r="S703">
        <v>0.36911231798924349</v>
      </c>
      <c r="T703">
        <v>0.40016240441843576</v>
      </c>
      <c r="U703">
        <v>0</v>
      </c>
      <c r="V703">
        <v>0.19854992893617684</v>
      </c>
      <c r="W703">
        <v>0.2201336587431558</v>
      </c>
      <c r="X703">
        <v>5.284211315544849E-2</v>
      </c>
      <c r="Y703">
        <v>9.7709227548510372E-3</v>
      </c>
    </row>
    <row r="704" spans="1:25" x14ac:dyDescent="0.25">
      <c r="A704" s="1083"/>
      <c r="B704" s="1455">
        <v>454</v>
      </c>
      <c r="C704" s="1087">
        <v>1.0167791895672902</v>
      </c>
      <c r="D704" s="1087">
        <v>0.98611964519008466</v>
      </c>
      <c r="E704" s="1087">
        <v>1.0055096241692087</v>
      </c>
      <c r="F704" s="1087">
        <v>1.0012840542622063</v>
      </c>
      <c r="G704" s="1087">
        <v>0.99989405269466547</v>
      </c>
      <c r="H704" s="1087">
        <v>1.0230661992013685</v>
      </c>
      <c r="I704" s="1087">
        <v>1.0023855830084818</v>
      </c>
      <c r="K704">
        <v>1.8611401539625321</v>
      </c>
      <c r="L704">
        <v>0</v>
      </c>
      <c r="M704">
        <v>3.6458653824394398E-3</v>
      </c>
      <c r="N704">
        <v>0.35206460666922307</v>
      </c>
      <c r="O704">
        <v>0.23835310534324614</v>
      </c>
      <c r="P704">
        <v>1.3277675211074466E-2</v>
      </c>
      <c r="Q704">
        <v>1.5755105995121717E-3</v>
      </c>
      <c r="R704">
        <v>3.6397534175210211E-3</v>
      </c>
      <c r="S704">
        <v>0.36701884435177257</v>
      </c>
      <c r="T704">
        <v>0.40324429910651033</v>
      </c>
      <c r="U704">
        <v>0</v>
      </c>
      <c r="V704">
        <v>0.19887488631651584</v>
      </c>
      <c r="W704">
        <v>0.22348805592790347</v>
      </c>
      <c r="X704">
        <v>5.3343073443590107E-2</v>
      </c>
      <c r="Y704">
        <v>9.9062089581006003E-3</v>
      </c>
    </row>
    <row r="705" spans="1:25" x14ac:dyDescent="0.25">
      <c r="A705" s="1083"/>
      <c r="B705" s="1455">
        <v>455</v>
      </c>
      <c r="C705" s="1087">
        <v>0.96961029014886735</v>
      </c>
      <c r="D705" s="1087">
        <v>0.98420099549400275</v>
      </c>
      <c r="E705" s="1087">
        <v>1.0063835170392701</v>
      </c>
      <c r="F705" s="1087">
        <v>0.98634973125646996</v>
      </c>
      <c r="G705" s="1087">
        <v>0.98216975048815025</v>
      </c>
      <c r="H705" s="1087">
        <v>1.0338310376935511</v>
      </c>
      <c r="I705" s="1087">
        <v>1.0300994044130003</v>
      </c>
      <c r="K705">
        <v>1.9318816485976917</v>
      </c>
      <c r="L705">
        <v>0</v>
      </c>
      <c r="M705">
        <v>3.8598503532006577E-3</v>
      </c>
      <c r="N705">
        <v>0.3737296477772718</v>
      </c>
      <c r="O705">
        <v>0.24248152594436084</v>
      </c>
      <c r="P705">
        <v>1.3682308974659978E-2</v>
      </c>
      <c r="Q705">
        <v>1.654978137592178E-3</v>
      </c>
      <c r="R705">
        <v>3.8534475293467841E-3</v>
      </c>
      <c r="S705">
        <v>0.39800582041031735</v>
      </c>
      <c r="T705">
        <v>0.39723508617789094</v>
      </c>
      <c r="U705">
        <v>0</v>
      </c>
      <c r="V705">
        <v>0.20278013520150831</v>
      </c>
      <c r="W705">
        <v>0.23711193934889477</v>
      </c>
      <c r="X705">
        <v>5.471879556280234E-2</v>
      </c>
      <c r="Y705">
        <v>1.0487813886245293E-2</v>
      </c>
    </row>
    <row r="706" spans="1:25" x14ac:dyDescent="0.25">
      <c r="A706" s="1083"/>
      <c r="B706" s="1455">
        <v>456</v>
      </c>
      <c r="C706" s="1087">
        <v>0.97063529849426589</v>
      </c>
      <c r="D706" s="1087">
        <v>1.0093937853873864</v>
      </c>
      <c r="E706" s="1087">
        <v>0.96429409171579672</v>
      </c>
      <c r="F706" s="1087">
        <v>1.0183018205809107</v>
      </c>
      <c r="G706" s="1087">
        <v>0.9981982359284971</v>
      </c>
      <c r="H706" s="1087">
        <v>1.0335053067191986</v>
      </c>
      <c r="I706" s="1087">
        <v>1.0124085709617561</v>
      </c>
      <c r="K706">
        <v>1.9011959815383286</v>
      </c>
      <c r="L706">
        <v>0</v>
      </c>
      <c r="M706">
        <v>4.1445685696374279E-3</v>
      </c>
      <c r="N706">
        <v>0.35287552794047417</v>
      </c>
      <c r="O706">
        <v>0.24308247803816002</v>
      </c>
      <c r="P706">
        <v>1.3260672522166221E-2</v>
      </c>
      <c r="Q706">
        <v>1.5642844084626992E-3</v>
      </c>
      <c r="R706">
        <v>4.1376689440898026E-3</v>
      </c>
      <c r="S706">
        <v>0.3848172572975701</v>
      </c>
      <c r="T706">
        <v>0.4098462836824685</v>
      </c>
      <c r="U706">
        <v>0</v>
      </c>
      <c r="V706">
        <v>0.2038552115114394</v>
      </c>
      <c r="W706">
        <v>0.2299144040603337</v>
      </c>
      <c r="X706">
        <v>5.0725390819189468E-2</v>
      </c>
      <c r="Y706">
        <v>1.1261370883611604E-2</v>
      </c>
    </row>
    <row r="707" spans="1:25" x14ac:dyDescent="0.25">
      <c r="A707" s="1083"/>
      <c r="B707" s="1455">
        <v>457</v>
      </c>
      <c r="C707" s="1087">
        <v>1.0205881543057735</v>
      </c>
      <c r="D707" s="1087">
        <v>0.96538597672205595</v>
      </c>
      <c r="E707" s="1087">
        <v>0.98196815760172274</v>
      </c>
      <c r="F707" s="1087">
        <v>1.0146991051515115</v>
      </c>
      <c r="G707" s="1087">
        <v>1.0282965477116957</v>
      </c>
      <c r="H707" s="1087">
        <v>1.0326612844378902</v>
      </c>
      <c r="I707" s="1087">
        <v>0.97330492205376296</v>
      </c>
      <c r="K707">
        <v>1.8630689257848161</v>
      </c>
      <c r="L707">
        <v>0</v>
      </c>
      <c r="M707">
        <v>3.8915925513948344E-3</v>
      </c>
      <c r="N707">
        <v>0.34973854583134056</v>
      </c>
      <c r="O707">
        <v>0.24125864713779344</v>
      </c>
      <c r="P707">
        <v>1.3054482572052052E-2</v>
      </c>
      <c r="Q707">
        <v>1.543686408838539E-3</v>
      </c>
      <c r="R707">
        <v>3.8851487647842461E-3</v>
      </c>
      <c r="S707">
        <v>0.36068799220295722</v>
      </c>
      <c r="T707">
        <v>0.40850281580179443</v>
      </c>
      <c r="U707">
        <v>0</v>
      </c>
      <c r="V707">
        <v>0.20062336952151968</v>
      </c>
      <c r="W707">
        <v>0.22531695895219492</v>
      </c>
      <c r="X707">
        <v>5.1774776944136409E-2</v>
      </c>
      <c r="Y707">
        <v>1.0574094198796612E-2</v>
      </c>
    </row>
    <row r="708" spans="1:25" x14ac:dyDescent="0.25">
      <c r="A708" s="1083"/>
      <c r="B708" s="1455">
        <v>458</v>
      </c>
      <c r="C708" s="1087">
        <v>1.0012213635695233</v>
      </c>
      <c r="D708" s="1087">
        <v>1.0350524948837043</v>
      </c>
      <c r="E708" s="1087">
        <v>0.994625394524846</v>
      </c>
      <c r="F708" s="1087">
        <v>0.98665512384850884</v>
      </c>
      <c r="G708" s="1087">
        <v>0.97968945195204715</v>
      </c>
      <c r="H708" s="1087">
        <v>1.0061980743515633</v>
      </c>
      <c r="I708" s="1087">
        <v>0.96712124551234335</v>
      </c>
      <c r="K708">
        <v>1.8053408270549864</v>
      </c>
      <c r="L708">
        <v>0</v>
      </c>
      <c r="M708">
        <v>3.6272879780317683E-3</v>
      </c>
      <c r="N708">
        <v>0.3388139875560664</v>
      </c>
      <c r="O708">
        <v>0.23355784924466708</v>
      </c>
      <c r="P708">
        <v>1.2788308650989545E-2</v>
      </c>
      <c r="Q708">
        <v>1.5512007064095482E-3</v>
      </c>
      <c r="R708">
        <v>3.6210630613190396E-3</v>
      </c>
      <c r="S708">
        <v>0.34708944517812435</v>
      </c>
      <c r="T708">
        <v>0.3972877590922344</v>
      </c>
      <c r="U708">
        <v>0</v>
      </c>
      <c r="V708">
        <v>0.19664718254304525</v>
      </c>
      <c r="W708">
        <v>0.21654424902919775</v>
      </c>
      <c r="X708">
        <v>5.12117300011702E-2</v>
      </c>
      <c r="Y708">
        <v>9.8553399697930717E-3</v>
      </c>
    </row>
    <row r="709" spans="1:25" x14ac:dyDescent="0.25">
      <c r="A709" s="1083"/>
      <c r="B709" s="1455">
        <v>459</v>
      </c>
      <c r="C709" s="1087">
        <v>1.0024036247263619</v>
      </c>
      <c r="D709" s="1087">
        <v>1.0107094029716002</v>
      </c>
      <c r="E709" s="1087">
        <v>1.0222918723742016</v>
      </c>
      <c r="F709" s="1087">
        <v>1.0312480905995867</v>
      </c>
      <c r="G709" s="1087">
        <v>1.009564703190589</v>
      </c>
      <c r="H709" s="1087">
        <v>0.9930353713223542</v>
      </c>
      <c r="I709" s="1087">
        <v>0.96834406032975517</v>
      </c>
      <c r="K709">
        <v>1.8538794740934539</v>
      </c>
      <c r="L709">
        <v>0</v>
      </c>
      <c r="M709">
        <v>3.4218616699641683E-3</v>
      </c>
      <c r="N709">
        <v>0.34775946587308798</v>
      </c>
      <c r="O709">
        <v>0.24130674344342032</v>
      </c>
      <c r="P709">
        <v>1.3410718743078691E-2</v>
      </c>
      <c r="Q709">
        <v>1.6107850394805993E-3</v>
      </c>
      <c r="R709">
        <v>3.4159304327663286E-3</v>
      </c>
      <c r="S709">
        <v>0.34969489546949106</v>
      </c>
      <c r="T709">
        <v>0.41541752177034863</v>
      </c>
      <c r="U709">
        <v>0</v>
      </c>
      <c r="V709">
        <v>0.20171896172066725</v>
      </c>
      <c r="W709">
        <v>0.2184762248296104</v>
      </c>
      <c r="X709">
        <v>5.5193051864639249E-2</v>
      </c>
      <c r="Y709">
        <v>9.2970365768254206E-3</v>
      </c>
    </row>
    <row r="710" spans="1:25" x14ac:dyDescent="0.25">
      <c r="A710" s="1083"/>
      <c r="B710" s="1455">
        <v>460</v>
      </c>
      <c r="C710" s="1087">
        <v>1.0019607538007198</v>
      </c>
      <c r="D710" s="1087">
        <v>0.99500776440354155</v>
      </c>
      <c r="E710" s="1087">
        <v>0.97583292526045928</v>
      </c>
      <c r="F710" s="1087">
        <v>1.0048181729391437</v>
      </c>
      <c r="G710" s="1087">
        <v>0.98213887062963834</v>
      </c>
      <c r="H710" s="1087">
        <v>0.96943367379201539</v>
      </c>
      <c r="I710" s="1087">
        <v>0.99225721297715685</v>
      </c>
      <c r="K710">
        <v>1.814057963186777</v>
      </c>
      <c r="L710">
        <v>0</v>
      </c>
      <c r="M710">
        <v>3.7070011038137589E-3</v>
      </c>
      <c r="N710">
        <v>0.32692251743174566</v>
      </c>
      <c r="O710">
        <v>0.23922285935399187</v>
      </c>
      <c r="P710">
        <v>1.2881624982406163E-2</v>
      </c>
      <c r="Q710">
        <v>1.5432569686573258E-3</v>
      </c>
      <c r="R710">
        <v>3.700434771763606E-3</v>
      </c>
      <c r="S710">
        <v>0.35686572119921428</v>
      </c>
      <c r="T710">
        <v>0.40448811299886189</v>
      </c>
      <c r="U710">
        <v>0</v>
      </c>
      <c r="V710">
        <v>0.20009011765034335</v>
      </c>
      <c r="W710">
        <v>0.21143980812301552</v>
      </c>
      <c r="X710">
        <v>5.05391472098453E-2</v>
      </c>
      <c r="Y710">
        <v>1.0071363600745861E-2</v>
      </c>
    </row>
    <row r="711" spans="1:25" x14ac:dyDescent="0.25">
      <c r="A711" s="1083"/>
      <c r="B711" s="1455">
        <v>461</v>
      </c>
      <c r="C711" s="1087">
        <v>1.0203013430136612</v>
      </c>
      <c r="D711" s="1087">
        <v>1.0045241579054183</v>
      </c>
      <c r="E711" s="1087">
        <v>0.98512691835148769</v>
      </c>
      <c r="F711" s="1087">
        <v>1.0003220380819784</v>
      </c>
      <c r="G711" s="1087">
        <v>1.0039494814507166</v>
      </c>
      <c r="H711" s="1087">
        <v>1.0165245191867209</v>
      </c>
      <c r="I711" s="1087">
        <v>0.9712746853351012</v>
      </c>
      <c r="K711">
        <v>1.8158876723095849</v>
      </c>
      <c r="L711">
        <v>0</v>
      </c>
      <c r="M711">
        <v>3.7259215239988431E-3</v>
      </c>
      <c r="N711">
        <v>0.33808481815561497</v>
      </c>
      <c r="O711">
        <v>0.23569047130307436</v>
      </c>
      <c r="P711">
        <v>1.2811317255237209E-2</v>
      </c>
      <c r="Q711">
        <v>1.5249362586066155E-3</v>
      </c>
      <c r="R711">
        <v>3.7196183306409396E-3</v>
      </c>
      <c r="S711">
        <v>0.34942477487989015</v>
      </c>
      <c r="T711">
        <v>0.40273374119786831</v>
      </c>
      <c r="U711">
        <v>0</v>
      </c>
      <c r="V711">
        <v>0.19731976804499829</v>
      </c>
      <c r="W711">
        <v>0.21737430352615897</v>
      </c>
      <c r="X711">
        <v>5.0806269957343331E-2</v>
      </c>
      <c r="Y711">
        <v>1.0123574924151484E-2</v>
      </c>
    </row>
    <row r="712" spans="1:25" x14ac:dyDescent="0.25">
      <c r="A712" s="1083"/>
      <c r="B712" s="1455">
        <v>462</v>
      </c>
      <c r="C712" s="1087">
        <v>1.0072465149532805</v>
      </c>
      <c r="D712" s="1087">
        <v>0.99264794613853369</v>
      </c>
      <c r="E712" s="1087">
        <v>0.96610319392133692</v>
      </c>
      <c r="F712" s="1087">
        <v>1.0389284225753703</v>
      </c>
      <c r="G712" s="1087">
        <v>1.024811125170642</v>
      </c>
      <c r="H712" s="1087">
        <v>0.98332935720173043</v>
      </c>
      <c r="I712" s="1087">
        <v>1.008293637794059</v>
      </c>
      <c r="K712">
        <v>1.8420523431588118</v>
      </c>
      <c r="L712">
        <v>0</v>
      </c>
      <c r="M712">
        <v>3.8196293119888715E-3</v>
      </c>
      <c r="N712">
        <v>0.32698803818411687</v>
      </c>
      <c r="O712">
        <v>0.24261979324834695</v>
      </c>
      <c r="P712">
        <v>1.3089357648258056E-2</v>
      </c>
      <c r="Q712">
        <v>1.520528797119983E-3</v>
      </c>
      <c r="R712">
        <v>3.8129604183706686E-3</v>
      </c>
      <c r="S712">
        <v>0.36360223389270058</v>
      </c>
      <c r="T712">
        <v>0.41815918251928258</v>
      </c>
      <c r="U712">
        <v>0</v>
      </c>
      <c r="V712">
        <v>0.20249014305562407</v>
      </c>
      <c r="W712">
        <v>0.21280043832462481</v>
      </c>
      <c r="X712">
        <v>5.0411675065612845E-2</v>
      </c>
      <c r="Y712">
        <v>1.0377621316740854E-2</v>
      </c>
    </row>
    <row r="713" spans="1:25" x14ac:dyDescent="0.25">
      <c r="A713" s="1083"/>
      <c r="B713" s="1455">
        <v>463</v>
      </c>
      <c r="C713" s="1087">
        <v>1.0002682312527273</v>
      </c>
      <c r="D713" s="1087">
        <v>0.95453683607408601</v>
      </c>
      <c r="E713" s="1087">
        <v>1.0010309547942582</v>
      </c>
      <c r="F713" s="1087">
        <v>1.0273617866926021</v>
      </c>
      <c r="G713" s="1087">
        <v>1.0069031544182001</v>
      </c>
      <c r="H713" s="1087">
        <v>0.99176681074357853</v>
      </c>
      <c r="I713" s="1087">
        <v>1.0340329066140876</v>
      </c>
      <c r="K713">
        <v>1.9060089164783354</v>
      </c>
      <c r="L713">
        <v>0</v>
      </c>
      <c r="M713">
        <v>3.6904330508056712E-3</v>
      </c>
      <c r="N713">
        <v>0.35151611505973396</v>
      </c>
      <c r="O713">
        <v>0.2466535987499486</v>
      </c>
      <c r="P713">
        <v>1.3711766573756877E-2</v>
      </c>
      <c r="Q713">
        <v>1.6147941141188701E-3</v>
      </c>
      <c r="R713">
        <v>3.6840808163686859E-3</v>
      </c>
      <c r="S713">
        <v>0.38582446584401042</v>
      </c>
      <c r="T713">
        <v>0.41371856640013627</v>
      </c>
      <c r="U713">
        <v>0</v>
      </c>
      <c r="V713">
        <v>0.20461550761654324</v>
      </c>
      <c r="W713">
        <v>0.22376364318323638</v>
      </c>
      <c r="X713">
        <v>5.4569957646046871E-2</v>
      </c>
      <c r="Y713">
        <v>1.0026853525240841E-2</v>
      </c>
    </row>
    <row r="714" spans="1:25" x14ac:dyDescent="0.25">
      <c r="A714" s="1083"/>
      <c r="B714" s="1455">
        <v>464</v>
      </c>
      <c r="C714" s="1087">
        <v>0.99581167842408147</v>
      </c>
      <c r="D714" s="1087">
        <v>1.003505880203994</v>
      </c>
      <c r="E714" s="1087">
        <v>1.0093559531126346</v>
      </c>
      <c r="F714" s="1087">
        <v>1.0091663850534527</v>
      </c>
      <c r="G714" s="1087">
        <v>0.99626257273965479</v>
      </c>
      <c r="H714" s="1087">
        <v>1.0117417124496337</v>
      </c>
      <c r="I714" s="1087">
        <v>1.0009736996862848</v>
      </c>
      <c r="K714">
        <v>1.8723201735393797</v>
      </c>
      <c r="L714">
        <v>0</v>
      </c>
      <c r="M714">
        <v>3.6183388953420145E-3</v>
      </c>
      <c r="N714">
        <v>0.35352158524349153</v>
      </c>
      <c r="O714">
        <v>0.24011554192755533</v>
      </c>
      <c r="P714">
        <v>1.3408708971102041E-2</v>
      </c>
      <c r="Q714">
        <v>1.6040126900118063E-3</v>
      </c>
      <c r="R714">
        <v>3.6121903375372563E-3</v>
      </c>
      <c r="S714">
        <v>0.36860334312317727</v>
      </c>
      <c r="T714">
        <v>0.40644237086315582</v>
      </c>
      <c r="U714">
        <v>0</v>
      </c>
      <c r="V714">
        <v>0.20087294099197944</v>
      </c>
      <c r="W714">
        <v>0.22387725423832489</v>
      </c>
      <c r="X714">
        <v>5.4049372707834852E-2</v>
      </c>
      <c r="Y714">
        <v>9.8311913405516628E-3</v>
      </c>
    </row>
    <row r="715" spans="1:25" x14ac:dyDescent="0.25">
      <c r="A715" s="1083"/>
      <c r="B715" s="1455">
        <v>465</v>
      </c>
      <c r="C715" s="1087">
        <v>0.99627616088937121</v>
      </c>
      <c r="D715" s="1087">
        <v>0.97216442012622239</v>
      </c>
      <c r="E715" s="1087">
        <v>0.99107008164594201</v>
      </c>
      <c r="F715" s="1087">
        <v>1.0188607335247619</v>
      </c>
      <c r="G715" s="1087">
        <v>1.0233933220398996</v>
      </c>
      <c r="H715" s="1087">
        <v>0.99934143973189926</v>
      </c>
      <c r="I715" s="1087">
        <v>0.98134271441265541</v>
      </c>
      <c r="K715">
        <v>1.8728669863473482</v>
      </c>
      <c r="L715">
        <v>0</v>
      </c>
      <c r="M715">
        <v>3.7727289230775601E-3</v>
      </c>
      <c r="N715">
        <v>0.34859565650238927</v>
      </c>
      <c r="O715">
        <v>0.24412952661545911</v>
      </c>
      <c r="P715">
        <v>1.3264239445822452E-2</v>
      </c>
      <c r="Q715">
        <v>1.5924141146697883E-3</v>
      </c>
      <c r="R715">
        <v>3.7662675050994798E-3</v>
      </c>
      <c r="S715">
        <v>0.36516291682356439</v>
      </c>
      <c r="T715">
        <v>0.41023387283717605</v>
      </c>
      <c r="U715">
        <v>0</v>
      </c>
      <c r="V715">
        <v>0.20325512209955443</v>
      </c>
      <c r="W715">
        <v>0.2232941074055918</v>
      </c>
      <c r="X715">
        <v>5.3095053321966235E-2</v>
      </c>
      <c r="Y715">
        <v>1.0250538599131401E-2</v>
      </c>
    </row>
    <row r="716" spans="1:25" x14ac:dyDescent="0.25">
      <c r="A716" s="1083"/>
      <c r="B716" s="1455">
        <v>466</v>
      </c>
      <c r="C716" s="1087">
        <v>1.0046772787405112</v>
      </c>
      <c r="D716" s="1087">
        <v>0.96490062452231096</v>
      </c>
      <c r="E716" s="1087">
        <v>0.99064592870270418</v>
      </c>
      <c r="F716" s="1087">
        <v>0.9990261952934214</v>
      </c>
      <c r="G716" s="1087">
        <v>1.0019629488891524</v>
      </c>
      <c r="H716" s="1087">
        <v>1.0055611832918934</v>
      </c>
      <c r="I716" s="1087">
        <v>1.0093347581607506</v>
      </c>
      <c r="K716">
        <v>1.8703043486103801</v>
      </c>
      <c r="L716">
        <v>0</v>
      </c>
      <c r="M716">
        <v>3.78271579414963E-3</v>
      </c>
      <c r="N716">
        <v>0.34907029246763233</v>
      </c>
      <c r="O716">
        <v>0.24146732275132485</v>
      </c>
      <c r="P716">
        <v>1.3256565436047611E-2</v>
      </c>
      <c r="Q716">
        <v>1.5831235613757958E-3</v>
      </c>
      <c r="R716">
        <v>3.7762835857404562E-3</v>
      </c>
      <c r="S716">
        <v>0.37512932895928497</v>
      </c>
      <c r="T716">
        <v>0.40224514777720533</v>
      </c>
      <c r="U716">
        <v>0</v>
      </c>
      <c r="V716">
        <v>0.20102116216666149</v>
      </c>
      <c r="W716">
        <v>0.22365781240710059</v>
      </c>
      <c r="X716">
        <v>5.2602226223320378E-2</v>
      </c>
      <c r="Y716">
        <v>1.0277799068836043E-2</v>
      </c>
    </row>
    <row r="717" spans="1:25" x14ac:dyDescent="0.25">
      <c r="A717" s="1083"/>
      <c r="B717" s="1455">
        <v>467</v>
      </c>
      <c r="C717" s="1087">
        <v>0.99154642768156076</v>
      </c>
      <c r="D717" s="1087">
        <v>0.99723680240286161</v>
      </c>
      <c r="E717" s="1087">
        <v>1.006623541874331</v>
      </c>
      <c r="F717" s="1087">
        <v>0.99725529668943169</v>
      </c>
      <c r="G717" s="1087">
        <v>1.0095665663397704</v>
      </c>
      <c r="H717" s="1087">
        <v>1.0202769749853011</v>
      </c>
      <c r="I717" s="1087">
        <v>1.0311045321237555</v>
      </c>
      <c r="K717">
        <v>1.8909452019312492</v>
      </c>
      <c r="L717">
        <v>0</v>
      </c>
      <c r="M717">
        <v>3.697616343007382E-3</v>
      </c>
      <c r="N717">
        <v>0.35827468623799363</v>
      </c>
      <c r="O717">
        <v>0.23981816427831196</v>
      </c>
      <c r="P717">
        <v>1.3526662872268943E-2</v>
      </c>
      <c r="Q717">
        <v>1.6102797386031362E-3</v>
      </c>
      <c r="R717">
        <v>3.6913910976798699E-3</v>
      </c>
      <c r="S717">
        <v>0.38423694797707431</v>
      </c>
      <c r="T717">
        <v>0.40162856877288189</v>
      </c>
      <c r="U717">
        <v>0</v>
      </c>
      <c r="V717">
        <v>0.20062896306180375</v>
      </c>
      <c r="W717">
        <v>0.22727265249091988</v>
      </c>
      <c r="X717">
        <v>5.3907752045580869E-2</v>
      </c>
      <c r="Y717">
        <v>1.0046749701136296E-2</v>
      </c>
    </row>
    <row r="718" spans="1:25" x14ac:dyDescent="0.25">
      <c r="A718" s="1083"/>
      <c r="B718" s="1455">
        <v>468</v>
      </c>
      <c r="C718" s="1087">
        <v>0.97095461212255463</v>
      </c>
      <c r="D718" s="1087">
        <v>0.97002560546364458</v>
      </c>
      <c r="E718" s="1087">
        <v>1.0183150348952346</v>
      </c>
      <c r="F718" s="1087">
        <v>0.98007063262042371</v>
      </c>
      <c r="G718" s="1087">
        <v>1.0185345109716457</v>
      </c>
      <c r="H718" s="1087">
        <v>1.0200944157253991</v>
      </c>
      <c r="I718" s="1087">
        <v>0.99844300269431308</v>
      </c>
      <c r="K718">
        <v>1.9199910509509244</v>
      </c>
      <c r="L718">
        <v>0</v>
      </c>
      <c r="M718">
        <v>3.7398655941540452E-3</v>
      </c>
      <c r="N718">
        <v>0.3755205455275108</v>
      </c>
      <c r="O718">
        <v>0.24312180082403981</v>
      </c>
      <c r="P718">
        <v>1.3602867373253403E-2</v>
      </c>
      <c r="Q718">
        <v>1.6834387362939047E-3</v>
      </c>
      <c r="R718">
        <v>3.7335897780395701E-3</v>
      </c>
      <c r="S718">
        <v>0.38585590400338493</v>
      </c>
      <c r="T718">
        <v>0.3947777607126563</v>
      </c>
      <c r="U718">
        <v>0</v>
      </c>
      <c r="V718">
        <v>0.20290333968102933</v>
      </c>
      <c r="W718">
        <v>0.23649488509105127</v>
      </c>
      <c r="X718">
        <v>5.5875184219534052E-2</v>
      </c>
      <c r="Y718">
        <v>1.016160059828416E-2</v>
      </c>
    </row>
    <row r="719" spans="1:25" x14ac:dyDescent="0.25">
      <c r="A719" s="1083"/>
      <c r="B719" s="1455">
        <v>469</v>
      </c>
      <c r="C719" s="1087">
        <v>0.96508421422036839</v>
      </c>
      <c r="D719" s="1087">
        <v>1.001790015883431</v>
      </c>
      <c r="E719" s="1087">
        <v>1.0075401166875224</v>
      </c>
      <c r="F719" s="1087">
        <v>0.98801041725988137</v>
      </c>
      <c r="G719" s="1087">
        <v>0.99424902373805479</v>
      </c>
      <c r="H719" s="1087">
        <v>1.0021943830517228</v>
      </c>
      <c r="I719" s="1087">
        <v>0.99478046223330352</v>
      </c>
      <c r="K719">
        <v>1.8877355960627353</v>
      </c>
      <c r="L719">
        <v>0</v>
      </c>
      <c r="M719">
        <v>3.7151369018241366E-3</v>
      </c>
      <c r="N719">
        <v>0.36096863735212137</v>
      </c>
      <c r="O719">
        <v>0.24152633927277067</v>
      </c>
      <c r="P719">
        <v>1.3404718164111247E-2</v>
      </c>
      <c r="Q719">
        <v>1.6530288309241897E-3</v>
      </c>
      <c r="R719">
        <v>3.708764578537322E-3</v>
      </c>
      <c r="S719">
        <v>0.37651921173066805</v>
      </c>
      <c r="T719">
        <v>0.3979108565391441</v>
      </c>
      <c r="U719">
        <v>0</v>
      </c>
      <c r="V719">
        <v>0.20250756070274903</v>
      </c>
      <c r="W719">
        <v>0.22885116499716415</v>
      </c>
      <c r="X719">
        <v>5.4306416207506203E-2</v>
      </c>
      <c r="Y719">
        <v>1.0094034588863854E-2</v>
      </c>
    </row>
    <row r="720" spans="1:25" x14ac:dyDescent="0.25">
      <c r="A720" s="1083"/>
      <c r="B720" s="1455">
        <v>470</v>
      </c>
      <c r="C720" s="1087">
        <v>1.0011930135320093</v>
      </c>
      <c r="D720" s="1087">
        <v>1.0312297342667334</v>
      </c>
      <c r="E720" s="1087">
        <v>1.0179706222044749</v>
      </c>
      <c r="F720" s="1087">
        <v>1.0196987109202711</v>
      </c>
      <c r="G720" s="1087">
        <v>1.021313381865236</v>
      </c>
      <c r="H720" s="1087">
        <v>1.0126321363481694</v>
      </c>
      <c r="I720" s="1087">
        <v>0.99088656351858118</v>
      </c>
      <c r="K720">
        <v>1.8549875861193361</v>
      </c>
      <c r="L720">
        <v>0</v>
      </c>
      <c r="M720">
        <v>3.4864774323513105E-3</v>
      </c>
      <c r="N720">
        <v>0.3497012144400079</v>
      </c>
      <c r="O720">
        <v>0.23803486198606832</v>
      </c>
      <c r="P720">
        <v>1.33876319486662E-2</v>
      </c>
      <c r="Q720">
        <v>1.5925447418046483E-3</v>
      </c>
      <c r="R720">
        <v>3.4805341103422561E-3</v>
      </c>
      <c r="S720">
        <v>0.35771795181678145</v>
      </c>
      <c r="T720">
        <v>0.41073801023143525</v>
      </c>
      <c r="U720">
        <v>0</v>
      </c>
      <c r="V720">
        <v>0.19976847076306298</v>
      </c>
      <c r="W720">
        <v>0.22028117497830124</v>
      </c>
      <c r="X720">
        <v>5.4298802044626122E-2</v>
      </c>
      <c r="Y720">
        <v>9.4728664905905022E-3</v>
      </c>
    </row>
    <row r="721" spans="1:25" x14ac:dyDescent="0.25">
      <c r="A721" s="1083"/>
      <c r="B721" s="1455">
        <v>471</v>
      </c>
      <c r="C721" s="1087">
        <v>1.0018847488962481</v>
      </c>
      <c r="D721" s="1087">
        <v>1.018325445706233</v>
      </c>
      <c r="E721" s="1087">
        <v>1.0237158176911894</v>
      </c>
      <c r="F721" s="1087">
        <v>0.99818178050059458</v>
      </c>
      <c r="G721" s="1087">
        <v>0.99600429254586675</v>
      </c>
      <c r="H721" s="1087">
        <v>0.99334517319119864</v>
      </c>
      <c r="I721" s="1087">
        <v>0.98311399252588683</v>
      </c>
      <c r="K721">
        <v>1.8350223243346842</v>
      </c>
      <c r="L721">
        <v>0</v>
      </c>
      <c r="M721">
        <v>3.4013634028579758E-3</v>
      </c>
      <c r="N721">
        <v>0.34717874799447351</v>
      </c>
      <c r="O721">
        <v>0.23683805676560898</v>
      </c>
      <c r="P721">
        <v>1.3253895673906996E-2</v>
      </c>
      <c r="Q721">
        <v>1.6091981808896835E-3</v>
      </c>
      <c r="R721">
        <v>3.3954641560854158E-3</v>
      </c>
      <c r="S721">
        <v>0.35383699275219921</v>
      </c>
      <c r="T721">
        <v>0.40210617595862552</v>
      </c>
      <c r="U721">
        <v>0</v>
      </c>
      <c r="V721">
        <v>0.19858713864503316</v>
      </c>
      <c r="W721">
        <v>0.21792074168699516</v>
      </c>
      <c r="X721">
        <v>5.4455941805319166E-2</v>
      </c>
      <c r="Y721">
        <v>9.2413341184062713E-3</v>
      </c>
    </row>
    <row r="722" spans="1:25" x14ac:dyDescent="0.25">
      <c r="A722" s="1083"/>
      <c r="B722" s="1455">
        <v>472</v>
      </c>
      <c r="C722" s="1087">
        <v>0.98330279518106289</v>
      </c>
      <c r="D722" s="1087">
        <v>0.96647710144132837</v>
      </c>
      <c r="E722" s="1087">
        <v>1.0200780005455876</v>
      </c>
      <c r="F722" s="1087">
        <v>1.0257311795903963</v>
      </c>
      <c r="G722" s="1087">
        <v>1.031594827175379</v>
      </c>
      <c r="H722" s="1087">
        <v>1.0042954975385625</v>
      </c>
      <c r="I722" s="1087">
        <v>1.0068506810446121</v>
      </c>
      <c r="K722">
        <v>1.9279865387458395</v>
      </c>
      <c r="L722">
        <v>0</v>
      </c>
      <c r="M722">
        <v>3.6314800740023757E-3</v>
      </c>
      <c r="N722">
        <v>0.36659274936143343</v>
      </c>
      <c r="O722">
        <v>0.24759457924678013</v>
      </c>
      <c r="P722">
        <v>1.38634207914796E-2</v>
      </c>
      <c r="Q722">
        <v>1.6678363778246186E-3</v>
      </c>
      <c r="R722">
        <v>3.6252963840267558E-3</v>
      </c>
      <c r="S722">
        <v>0.38212391704580528</v>
      </c>
      <c r="T722">
        <v>0.41318118124356457</v>
      </c>
      <c r="U722">
        <v>0</v>
      </c>
      <c r="V722">
        <v>0.20577936911182457</v>
      </c>
      <c r="W722">
        <v>0.23062180651544026</v>
      </c>
      <c r="X722">
        <v>5.6701001062973246E-2</v>
      </c>
      <c r="Y722">
        <v>9.8668616786890193E-3</v>
      </c>
    </row>
    <row r="723" spans="1:25" x14ac:dyDescent="0.25">
      <c r="A723" s="1083"/>
      <c r="B723" s="1455">
        <v>473</v>
      </c>
      <c r="C723" s="1087">
        <v>0.9789026937267864</v>
      </c>
      <c r="D723" s="1087">
        <v>0.99180781654319816</v>
      </c>
      <c r="E723" s="1087">
        <v>0.99224528622082075</v>
      </c>
      <c r="F723" s="1087">
        <v>1.0024145098342678</v>
      </c>
      <c r="G723" s="1087">
        <v>0.97806493064780264</v>
      </c>
      <c r="H723" s="1087">
        <v>1.0000315479002162</v>
      </c>
      <c r="I723" s="1087">
        <v>0.97804602252811867</v>
      </c>
      <c r="K723">
        <v>1.8697280718443836</v>
      </c>
      <c r="L723">
        <v>0</v>
      </c>
      <c r="M723">
        <v>3.7917496469040352E-3</v>
      </c>
      <c r="N723">
        <v>0.35161136141002797</v>
      </c>
      <c r="O723">
        <v>0.24232199809055643</v>
      </c>
      <c r="P723">
        <v>1.3195519900356561E-2</v>
      </c>
      <c r="Q723">
        <v>1.609782932834592E-3</v>
      </c>
      <c r="R723">
        <v>3.7852416057567216E-3</v>
      </c>
      <c r="S723">
        <v>0.36643697918081181</v>
      </c>
      <c r="T723">
        <v>0.40361906417320825</v>
      </c>
      <c r="U723">
        <v>0</v>
      </c>
      <c r="V723">
        <v>0.20266568324816014</v>
      </c>
      <c r="W723">
        <v>0.2250594645558224</v>
      </c>
      <c r="X723">
        <v>5.2912546547441507E-2</v>
      </c>
      <c r="Y723">
        <v>1.0302179846309814E-2</v>
      </c>
    </row>
    <row r="724" spans="1:25" x14ac:dyDescent="0.25">
      <c r="A724" s="1083"/>
      <c r="B724" s="1455">
        <v>474</v>
      </c>
      <c r="C724" s="1087">
        <v>1.0015913978840398</v>
      </c>
      <c r="D724" s="1087">
        <v>1.0256780166073163</v>
      </c>
      <c r="E724" s="1087">
        <v>0.9802760417078924</v>
      </c>
      <c r="F724" s="1087">
        <v>1.027090502345523</v>
      </c>
      <c r="G724" s="1087">
        <v>0.98964518042590466</v>
      </c>
      <c r="H724" s="1087">
        <v>1.0124694427872873</v>
      </c>
      <c r="I724" s="1087">
        <v>1.0166153992980167</v>
      </c>
      <c r="K724">
        <v>1.8513578365710353</v>
      </c>
      <c r="L724">
        <v>0</v>
      </c>
      <c r="M724">
        <v>3.7746803749063537E-3</v>
      </c>
      <c r="N724">
        <v>0.33746580788770952</v>
      </c>
      <c r="O724">
        <v>0.2388224033291487</v>
      </c>
      <c r="P724">
        <v>1.3193106425010809E-2</v>
      </c>
      <c r="Q724">
        <v>1.5325132127899776E-3</v>
      </c>
      <c r="R724">
        <v>3.7682494153047147E-3</v>
      </c>
      <c r="S724">
        <v>0.36748476085263926</v>
      </c>
      <c r="T724">
        <v>0.41348102097771255</v>
      </c>
      <c r="U724">
        <v>0</v>
      </c>
      <c r="V724">
        <v>0.20040512868650226</v>
      </c>
      <c r="W724">
        <v>0.21764360285845688</v>
      </c>
      <c r="X724">
        <v>5.1079990595293397E-2</v>
      </c>
      <c r="Y724">
        <v>1.0255932705373524E-2</v>
      </c>
    </row>
    <row r="725" spans="1:25" x14ac:dyDescent="0.25">
      <c r="A725" s="1083"/>
      <c r="B725" s="1455">
        <v>475</v>
      </c>
      <c r="C725" s="1087">
        <v>0.99739305737687334</v>
      </c>
      <c r="D725" s="1087">
        <v>0.96006829589937259</v>
      </c>
      <c r="E725" s="1087">
        <v>1.0060213325749001</v>
      </c>
      <c r="F725" s="1087">
        <v>1.005174775420417</v>
      </c>
      <c r="G725" s="1087">
        <v>1.0203257278693869</v>
      </c>
      <c r="H725" s="1087">
        <v>1.0414641434369913</v>
      </c>
      <c r="I725" s="1087">
        <v>1.0143957519303666</v>
      </c>
      <c r="K725">
        <v>1.9258812468800974</v>
      </c>
      <c r="L725">
        <v>0</v>
      </c>
      <c r="M725">
        <v>3.8346101759820484E-3</v>
      </c>
      <c r="N725">
        <v>0.37088256159896199</v>
      </c>
      <c r="O725">
        <v>0.24381994123326717</v>
      </c>
      <c r="P725">
        <v>1.3641320187285097E-2</v>
      </c>
      <c r="Q725">
        <v>1.6243093018840611E-3</v>
      </c>
      <c r="R725">
        <v>3.8283189228278005E-3</v>
      </c>
      <c r="S725">
        <v>0.38778116283820202</v>
      </c>
      <c r="T725">
        <v>0.40481432755648317</v>
      </c>
      <c r="U725">
        <v>0</v>
      </c>
      <c r="V725">
        <v>0.20270499463122282</v>
      </c>
      <c r="W725">
        <v>0.23535862007962577</v>
      </c>
      <c r="X725">
        <v>5.484087860337622E-2</v>
      </c>
      <c r="Y725">
        <v>1.0419422102943535E-2</v>
      </c>
    </row>
    <row r="726" spans="1:25" x14ac:dyDescent="0.25">
      <c r="A726" s="1083"/>
      <c r="B726" s="1455">
        <v>476</v>
      </c>
      <c r="C726" s="1087">
        <v>1.0130876634228736</v>
      </c>
      <c r="D726" s="1087">
        <v>1.0036742104058636</v>
      </c>
      <c r="E726" s="1087">
        <v>0.96383438782491582</v>
      </c>
      <c r="F726" s="1087">
        <v>1.0142750721936371</v>
      </c>
      <c r="G726" s="1087">
        <v>1.0124226753048262</v>
      </c>
      <c r="H726" s="1087">
        <v>0.99626006023731595</v>
      </c>
      <c r="I726" s="1087">
        <v>0.98724416028515261</v>
      </c>
      <c r="K726">
        <v>1.8129704612516602</v>
      </c>
      <c r="L726">
        <v>0</v>
      </c>
      <c r="M726">
        <v>3.8424093120072505E-3</v>
      </c>
      <c r="N726">
        <v>0.32666932381381503</v>
      </c>
      <c r="O726">
        <v>0.23793603983736444</v>
      </c>
      <c r="P726">
        <v>1.2763886355229405E-2</v>
      </c>
      <c r="Q726">
        <v>1.5013957017460259E-3</v>
      </c>
      <c r="R726">
        <v>3.8357775679855508E-3</v>
      </c>
      <c r="S726">
        <v>0.35405619670322463</v>
      </c>
      <c r="T726">
        <v>0.40822284589041896</v>
      </c>
      <c r="U726">
        <v>0</v>
      </c>
      <c r="V726">
        <v>0.19917593891931179</v>
      </c>
      <c r="W726">
        <v>0.21290270022654312</v>
      </c>
      <c r="X726">
        <v>4.9309043471707052E-2</v>
      </c>
      <c r="Y726">
        <v>1.0439722076321213E-2</v>
      </c>
    </row>
    <row r="727" spans="1:25" x14ac:dyDescent="0.25">
      <c r="A727" s="1083"/>
      <c r="B727" s="1455">
        <v>477</v>
      </c>
      <c r="C727" s="1087">
        <v>1.010865958862242</v>
      </c>
      <c r="D727" s="1087">
        <v>0.99093543518035243</v>
      </c>
      <c r="E727" s="1087">
        <v>0.97828714354825985</v>
      </c>
      <c r="F727" s="1087">
        <v>0.99378879236789364</v>
      </c>
      <c r="G727" s="1087">
        <v>1.0248092845373546</v>
      </c>
      <c r="H727" s="1087">
        <v>1.0175956459680615</v>
      </c>
      <c r="I727" s="1087">
        <v>1.0247595174803446</v>
      </c>
      <c r="K727">
        <v>1.8490442319596148</v>
      </c>
      <c r="L727">
        <v>0</v>
      </c>
      <c r="M727">
        <v>3.8460685750459551E-3</v>
      </c>
      <c r="N727">
        <v>0.34177015179523856</v>
      </c>
      <c r="O727">
        <v>0.23729977864378965</v>
      </c>
      <c r="P727">
        <v>1.3068252299669781E-2</v>
      </c>
      <c r="Q727">
        <v>1.5362332781158319E-3</v>
      </c>
      <c r="R727">
        <v>3.8395819300598389E-3</v>
      </c>
      <c r="S727">
        <v>0.3750578460982108</v>
      </c>
      <c r="T727">
        <v>0.40006278547585478</v>
      </c>
      <c r="U727">
        <v>0</v>
      </c>
      <c r="V727">
        <v>0.19843004015634791</v>
      </c>
      <c r="W727">
        <v>0.22069803197900958</v>
      </c>
      <c r="X727">
        <v>5.0677522582583436E-2</v>
      </c>
      <c r="Y727">
        <v>1.0450076295779806E-2</v>
      </c>
    </row>
    <row r="728" spans="1:25" x14ac:dyDescent="0.25">
      <c r="A728" s="1083"/>
      <c r="B728" s="1455">
        <v>478</v>
      </c>
      <c r="C728" s="1087">
        <v>1.0151217287932264</v>
      </c>
      <c r="D728" s="1087">
        <v>1.0124647900074251</v>
      </c>
      <c r="E728" s="1087">
        <v>0.99506870728111585</v>
      </c>
      <c r="F728" s="1087">
        <v>1.0098069566003227</v>
      </c>
      <c r="G728" s="1087">
        <v>1.0262098402675772</v>
      </c>
      <c r="H728" s="1087">
        <v>1.0090072331610112</v>
      </c>
      <c r="I728" s="1087">
        <v>0.99548347115228952</v>
      </c>
      <c r="K728">
        <v>1.8312062382770575</v>
      </c>
      <c r="L728">
        <v>0</v>
      </c>
      <c r="M728">
        <v>3.6268640235991439E-3</v>
      </c>
      <c r="N728">
        <v>0.33923652680978977</v>
      </c>
      <c r="O728">
        <v>0.2367508164364914</v>
      </c>
      <c r="P728">
        <v>1.3078902737299027E-2</v>
      </c>
      <c r="Q728">
        <v>1.5442537257427623E-3</v>
      </c>
      <c r="R728">
        <v>3.620675529182377E-3</v>
      </c>
      <c r="S728">
        <v>0.35717166042062054</v>
      </c>
      <c r="T728">
        <v>0.40661280686998591</v>
      </c>
      <c r="U728">
        <v>0</v>
      </c>
      <c r="V728">
        <v>0.19830384669520476</v>
      </c>
      <c r="W728">
        <v>0.21675402335267796</v>
      </c>
      <c r="X728">
        <v>5.1905304488593575E-2</v>
      </c>
      <c r="Y728">
        <v>9.8542852350670118E-3</v>
      </c>
    </row>
    <row r="729" spans="1:25" x14ac:dyDescent="0.25">
      <c r="A729" s="1083"/>
      <c r="B729" s="1455">
        <v>479</v>
      </c>
      <c r="C729" s="1087">
        <v>1.0180026740466019</v>
      </c>
      <c r="D729" s="1087">
        <v>0.98495563020192201</v>
      </c>
      <c r="E729" s="1087">
        <v>0.97627691578191322</v>
      </c>
      <c r="F729" s="1087">
        <v>0.99731388527619735</v>
      </c>
      <c r="G729" s="1087">
        <v>1.0161777842713007</v>
      </c>
      <c r="H729" s="1087">
        <v>0.99139967195057799</v>
      </c>
      <c r="I729" s="1087">
        <v>0.98215006947226813</v>
      </c>
      <c r="K729">
        <v>1.8105168239302447</v>
      </c>
      <c r="L729">
        <v>0</v>
      </c>
      <c r="M729">
        <v>3.7482792475877643E-3</v>
      </c>
      <c r="N729">
        <v>0.33102565057902178</v>
      </c>
      <c r="O729">
        <v>0.23743474256128971</v>
      </c>
      <c r="P729">
        <v>1.2776313223680398E-2</v>
      </c>
      <c r="Q729">
        <v>1.5258505352737913E-3</v>
      </c>
      <c r="R729">
        <v>3.7417959548782034E-3</v>
      </c>
      <c r="S729">
        <v>0.35350039758781537</v>
      </c>
      <c r="T729">
        <v>0.40146990942473498</v>
      </c>
      <c r="U729">
        <v>0</v>
      </c>
      <c r="V729">
        <v>0.19829114311854418</v>
      </c>
      <c r="W729">
        <v>0.21403307619357659</v>
      </c>
      <c r="X729">
        <v>5.0282288892543138E-2</v>
      </c>
      <c r="Y729">
        <v>1.0183935106473446E-2</v>
      </c>
    </row>
    <row r="730" spans="1:25" x14ac:dyDescent="0.25">
      <c r="A730" s="1083"/>
      <c r="B730" s="1455">
        <v>480</v>
      </c>
      <c r="C730" s="1087">
        <v>0.97226422293358461</v>
      </c>
      <c r="D730" s="1087">
        <v>0.9849761340760157</v>
      </c>
      <c r="E730" s="1087">
        <v>0.98159624569671888</v>
      </c>
      <c r="F730" s="1087">
        <v>0.98675632837731031</v>
      </c>
      <c r="G730" s="1087">
        <v>1.0054649644726041</v>
      </c>
      <c r="H730" s="1087">
        <v>0.96741513909061361</v>
      </c>
      <c r="I730" s="1087">
        <v>1.0152439890646645</v>
      </c>
      <c r="K730">
        <v>1.8552403901390406</v>
      </c>
      <c r="L730">
        <v>0</v>
      </c>
      <c r="M730">
        <v>3.7876908761323384E-3</v>
      </c>
      <c r="N730">
        <v>0.33997437855647933</v>
      </c>
      <c r="O730">
        <v>0.24176547803868095</v>
      </c>
      <c r="P730">
        <v>1.3156070519043002E-2</v>
      </c>
      <c r="Q730">
        <v>1.606799420557263E-3</v>
      </c>
      <c r="R730">
        <v>3.7809758621776572E-3</v>
      </c>
      <c r="S730">
        <v>0.37805315345256679</v>
      </c>
      <c r="T730">
        <v>0.39725127363771201</v>
      </c>
      <c r="U730">
        <v>0</v>
      </c>
      <c r="V730">
        <v>0.20232856144556446</v>
      </c>
      <c r="W730">
        <v>0.21907805979444878</v>
      </c>
      <c r="X730">
        <v>5.1742760389453024E-2</v>
      </c>
      <c r="Y730">
        <v>1.0290569898489595E-2</v>
      </c>
    </row>
    <row r="731" spans="1:25" x14ac:dyDescent="0.25">
      <c r="A731" s="1083"/>
      <c r="B731" s="1455">
        <v>481</v>
      </c>
      <c r="C731" s="1087">
        <v>1.0028732257742952</v>
      </c>
      <c r="D731" s="1087">
        <v>1.0107740726656287</v>
      </c>
      <c r="E731" s="1087">
        <v>1.0287265498805629</v>
      </c>
      <c r="F731" s="1087">
        <v>1.0195189486654821</v>
      </c>
      <c r="G731" s="1087">
        <v>1.020765508115459</v>
      </c>
      <c r="H731" s="1087">
        <v>1.0165417183230163</v>
      </c>
      <c r="I731" s="1087">
        <v>1.0236499426036043</v>
      </c>
      <c r="K731">
        <v>1.8881603197053378</v>
      </c>
      <c r="L731">
        <v>0</v>
      </c>
      <c r="M731">
        <v>3.4553934870780911E-3</v>
      </c>
      <c r="N731">
        <v>0.3581325163544154</v>
      </c>
      <c r="O731">
        <v>0.23999847808465455</v>
      </c>
      <c r="P731">
        <v>1.3731873215833983E-2</v>
      </c>
      <c r="Q731">
        <v>1.6209215250236348E-3</v>
      </c>
      <c r="R731">
        <v>3.4495430009789333E-3</v>
      </c>
      <c r="S731">
        <v>0.37390002400405342</v>
      </c>
      <c r="T731">
        <v>0.41073313304121412</v>
      </c>
      <c r="U731">
        <v>0</v>
      </c>
      <c r="V731">
        <v>0.20071716450890464</v>
      </c>
      <c r="W731">
        <v>0.22410728028318946</v>
      </c>
      <c r="X731">
        <v>5.5836260267024533E-2</v>
      </c>
      <c r="Y731">
        <v>9.3885189071199974E-3</v>
      </c>
    </row>
    <row r="732" spans="1:25" x14ac:dyDescent="0.25">
      <c r="A732" s="1083"/>
      <c r="B732" s="1455">
        <v>482</v>
      </c>
      <c r="C732" s="1087">
        <v>0.98627246855570017</v>
      </c>
      <c r="D732" s="1087">
        <v>1.0178721762073857</v>
      </c>
      <c r="E732" s="1087">
        <v>1.0253547114054968</v>
      </c>
      <c r="F732" s="1087">
        <v>1.0055389235576457</v>
      </c>
      <c r="G732" s="1087">
        <v>1.00394323718433</v>
      </c>
      <c r="H732" s="1087">
        <v>0.97416751727385631</v>
      </c>
      <c r="I732" s="1087">
        <v>0.99384272755631076</v>
      </c>
      <c r="K732">
        <v>1.8488978604057811</v>
      </c>
      <c r="L732">
        <v>0</v>
      </c>
      <c r="M732">
        <v>3.3781401784790583E-3</v>
      </c>
      <c r="N732">
        <v>0.3465223140967168</v>
      </c>
      <c r="O732">
        <v>0.23967631055420668</v>
      </c>
      <c r="P732">
        <v>1.3429598666076136E-2</v>
      </c>
      <c r="Q732">
        <v>1.6377840578925195E-3</v>
      </c>
      <c r="R732">
        <v>3.3721666173129657E-3</v>
      </c>
      <c r="S732">
        <v>0.36000512175309279</v>
      </c>
      <c r="T732">
        <v>0.40508007435607901</v>
      </c>
      <c r="U732">
        <v>0</v>
      </c>
      <c r="V732">
        <v>0.20094316286059838</v>
      </c>
      <c r="W732">
        <v>0.21729014274561737</v>
      </c>
      <c r="X732">
        <v>5.5141398978767811E-2</v>
      </c>
      <c r="Y732">
        <v>9.1779258978992549E-3</v>
      </c>
    </row>
    <row r="733" spans="1:25" x14ac:dyDescent="0.25">
      <c r="A733" s="1083"/>
      <c r="B733" s="1455">
        <v>483</v>
      </c>
      <c r="C733" s="1087">
        <v>0.98786890085510148</v>
      </c>
      <c r="D733" s="1087">
        <v>1.0196506791183242</v>
      </c>
      <c r="E733" s="1087">
        <v>0.99816723887498371</v>
      </c>
      <c r="F733" s="1087">
        <v>1.0012528535764844</v>
      </c>
      <c r="G733" s="1087">
        <v>0.95777221071248797</v>
      </c>
      <c r="H733" s="1087">
        <v>0.97448861712704027</v>
      </c>
      <c r="I733" s="1087">
        <v>1.0039386330192508</v>
      </c>
      <c r="K733">
        <v>1.8321240256241853</v>
      </c>
      <c r="L733">
        <v>0</v>
      </c>
      <c r="M733">
        <v>3.5637230757038126E-3</v>
      </c>
      <c r="N733">
        <v>0.33647745621335129</v>
      </c>
      <c r="O733">
        <v>0.2384103981140491</v>
      </c>
      <c r="P733">
        <v>1.3159881725988046E-2</v>
      </c>
      <c r="Q733">
        <v>1.5876154050815574E-3</v>
      </c>
      <c r="R733">
        <v>3.5574218642188586E-3</v>
      </c>
      <c r="S733">
        <v>0.36247290684218214</v>
      </c>
      <c r="T733">
        <v>0.4031871311435774</v>
      </c>
      <c r="U733">
        <v>0</v>
      </c>
      <c r="V733">
        <v>0.20014369783339506</v>
      </c>
      <c r="W733">
        <v>0.21457423876252213</v>
      </c>
      <c r="X733">
        <v>5.2434871184920309E-2</v>
      </c>
      <c r="Y733">
        <v>9.6821296106013657E-3</v>
      </c>
    </row>
    <row r="734" spans="1:25" x14ac:dyDescent="0.25">
      <c r="A734" s="1083"/>
      <c r="B734" s="1455">
        <v>484</v>
      </c>
      <c r="C734" s="1087">
        <v>1.0088923787682542</v>
      </c>
      <c r="D734" s="1087">
        <v>0.97167846953632298</v>
      </c>
      <c r="E734" s="1087">
        <v>1.0147174611992311</v>
      </c>
      <c r="F734" s="1087">
        <v>1.0107320608919379</v>
      </c>
      <c r="G734" s="1087">
        <v>0.99653587418676925</v>
      </c>
      <c r="H734" s="1087">
        <v>0.98615809061116566</v>
      </c>
      <c r="I734" s="1087">
        <v>0.99544287657423036</v>
      </c>
      <c r="K734">
        <v>1.8610398169107798</v>
      </c>
      <c r="L734">
        <v>0</v>
      </c>
      <c r="M734">
        <v>3.5035880351410157E-3</v>
      </c>
      <c r="N734">
        <v>0.34793933539403182</v>
      </c>
      <c r="O734">
        <v>0.24202123773007234</v>
      </c>
      <c r="P734">
        <v>1.3410812360373416E-2</v>
      </c>
      <c r="Q734">
        <v>1.6128906005341754E-3</v>
      </c>
      <c r="R734">
        <v>3.4975076276530922E-3</v>
      </c>
      <c r="S734">
        <v>0.36374894540170211</v>
      </c>
      <c r="T734">
        <v>0.40710606168371261</v>
      </c>
      <c r="U734">
        <v>0</v>
      </c>
      <c r="V734">
        <v>0.20136547063596291</v>
      </c>
      <c r="W734">
        <v>0.21961185283453713</v>
      </c>
      <c r="X734">
        <v>5.4710227867949934E-2</v>
      </c>
      <c r="Y734">
        <v>9.5190628093921262E-3</v>
      </c>
    </row>
    <row r="735" spans="1:25" x14ac:dyDescent="0.25">
      <c r="A735" s="1083"/>
      <c r="B735" s="1455">
        <v>485</v>
      </c>
      <c r="C735" s="1087">
        <v>0.99487039492508478</v>
      </c>
      <c r="D735" s="1087">
        <v>0.9805853556267452</v>
      </c>
      <c r="E735" s="1087">
        <v>0.99094819833845449</v>
      </c>
      <c r="F735" s="1087">
        <v>0.98803723510440267</v>
      </c>
      <c r="G735" s="1087">
        <v>0.99978887934909577</v>
      </c>
      <c r="H735" s="1087">
        <v>1.0033917786168147</v>
      </c>
      <c r="I735" s="1087">
        <v>0.98795271815354646</v>
      </c>
      <c r="K735">
        <v>1.8543177819119068</v>
      </c>
      <c r="L735">
        <v>0</v>
      </c>
      <c r="M735">
        <v>3.7762002443192748E-3</v>
      </c>
      <c r="N735">
        <v>0.34878818040101911</v>
      </c>
      <c r="O735">
        <v>0.23973329347300756</v>
      </c>
      <c r="P735">
        <v>1.3080401331825968E-2</v>
      </c>
      <c r="Q735">
        <v>1.5889649217526495E-3</v>
      </c>
      <c r="R735">
        <v>3.7697503749618689E-3</v>
      </c>
      <c r="S735">
        <v>0.36709559767639999</v>
      </c>
      <c r="T735">
        <v>0.39782238088705668</v>
      </c>
      <c r="U735">
        <v>0</v>
      </c>
      <c r="V735">
        <v>0.20025687303317899</v>
      </c>
      <c r="W735">
        <v>0.22343455991901681</v>
      </c>
      <c r="X735">
        <v>5.2263962315235099E-2</v>
      </c>
      <c r="Y735">
        <v>1.0260017822769082E-2</v>
      </c>
    </row>
    <row r="736" spans="1:25" x14ac:dyDescent="0.25">
      <c r="A736" s="1083"/>
      <c r="B736" s="1455">
        <v>486</v>
      </c>
      <c r="C736" s="1087">
        <v>1.0085357144389295</v>
      </c>
      <c r="D736" s="1087">
        <v>0.96649902161429957</v>
      </c>
      <c r="E736" s="1087">
        <v>1.0164647684170469</v>
      </c>
      <c r="F736" s="1087">
        <v>1.0195733154617383</v>
      </c>
      <c r="G736" s="1087">
        <v>1.0283719572861827</v>
      </c>
      <c r="H736" s="1087">
        <v>1.0035036156182655</v>
      </c>
      <c r="I736" s="1087">
        <v>0.97654276841469612</v>
      </c>
      <c r="K736">
        <v>1.8782663127578665</v>
      </c>
      <c r="L736">
        <v>0</v>
      </c>
      <c r="M736">
        <v>3.5640707429613326E-3</v>
      </c>
      <c r="N736">
        <v>0.35584721058720969</v>
      </c>
      <c r="O736">
        <v>0.24367542182096072</v>
      </c>
      <c r="P736">
        <v>1.3456796942174389E-2</v>
      </c>
      <c r="Q736">
        <v>1.619903206747379E-3</v>
      </c>
      <c r="R736">
        <v>3.5579969678324855E-3</v>
      </c>
      <c r="S736">
        <v>0.3611594596867182</v>
      </c>
      <c r="T736">
        <v>0.41067808498165814</v>
      </c>
      <c r="U736">
        <v>0</v>
      </c>
      <c r="V736">
        <v>0.20246488955993652</v>
      </c>
      <c r="W736">
        <v>0.22436090658969937</v>
      </c>
      <c r="X736">
        <v>5.5326018304834967E-2</v>
      </c>
      <c r="Y736">
        <v>9.6836948530548E-3</v>
      </c>
    </row>
    <row r="737" spans="1:25" x14ac:dyDescent="0.25">
      <c r="A737" s="1083"/>
      <c r="B737" s="1455">
        <v>487</v>
      </c>
      <c r="C737" s="1087">
        <v>0.97733031459729747</v>
      </c>
      <c r="D737" s="1087">
        <v>0.97330694990977462</v>
      </c>
      <c r="E737" s="1087">
        <v>1.0016888892759619</v>
      </c>
      <c r="F737" s="1087">
        <v>1.028626049359999</v>
      </c>
      <c r="G737" s="1087">
        <v>0.97879051279953821</v>
      </c>
      <c r="H737" s="1087">
        <v>0.98837048030259211</v>
      </c>
      <c r="I737" s="1087">
        <v>1.0020444071814096</v>
      </c>
      <c r="K737">
        <v>1.9071865140879047</v>
      </c>
      <c r="L737">
        <v>0</v>
      </c>
      <c r="M737">
        <v>3.7196801257914748E-3</v>
      </c>
      <c r="N737">
        <v>0.35501014570903644</v>
      </c>
      <c r="O737">
        <v>0.24770625906438445</v>
      </c>
      <c r="P737">
        <v>1.3638980914803752E-2</v>
      </c>
      <c r="Q737">
        <v>1.6410192358625581E-3</v>
      </c>
      <c r="R737">
        <v>3.7132379264221203E-3</v>
      </c>
      <c r="S737">
        <v>0.37790614489001761</v>
      </c>
      <c r="T737">
        <v>0.41423178956479095</v>
      </c>
      <c r="U737">
        <v>0</v>
      </c>
      <c r="V737">
        <v>0.20620180400801399</v>
      </c>
      <c r="W737">
        <v>0.225895040800796</v>
      </c>
      <c r="X737">
        <v>5.4855562532398712E-2</v>
      </c>
      <c r="Y737">
        <v>1.0106209567167542E-2</v>
      </c>
    </row>
    <row r="738" spans="1:25" x14ac:dyDescent="0.25">
      <c r="A738" s="1083"/>
      <c r="B738" s="1455">
        <v>488</v>
      </c>
      <c r="C738" s="1087">
        <v>0.98733349834284334</v>
      </c>
      <c r="D738" s="1087">
        <v>1.0076534589577943</v>
      </c>
      <c r="E738" s="1087">
        <v>1.0203620525137491</v>
      </c>
      <c r="F738" s="1087">
        <v>1.0057901386111205</v>
      </c>
      <c r="G738" s="1087">
        <v>0.99948786902138764</v>
      </c>
      <c r="H738" s="1087">
        <v>0.990210215950307</v>
      </c>
      <c r="I738" s="1087">
        <v>1.0047402369764951</v>
      </c>
      <c r="K738">
        <v>1.8685901824875053</v>
      </c>
      <c r="L738">
        <v>0</v>
      </c>
      <c r="M738">
        <v>3.4843653057951753E-3</v>
      </c>
      <c r="N738">
        <v>0.35203418314355578</v>
      </c>
      <c r="O738">
        <v>0.24050778937003289</v>
      </c>
      <c r="P738">
        <v>1.3504896073266361E-2</v>
      </c>
      <c r="Q738">
        <v>1.6340264417603035E-3</v>
      </c>
      <c r="R738">
        <v>3.4783123134313368E-3</v>
      </c>
      <c r="S738">
        <v>0.3684895825649151</v>
      </c>
      <c r="T738">
        <v>0.40515036168732421</v>
      </c>
      <c r="U738">
        <v>0</v>
      </c>
      <c r="V738">
        <v>0.20135312494141647</v>
      </c>
      <c r="W738">
        <v>0.22142436925033224</v>
      </c>
      <c r="X738">
        <v>5.5031082515454154E-2</v>
      </c>
      <c r="Y738">
        <v>9.4668194918141393E-3</v>
      </c>
    </row>
    <row r="739" spans="1:25" x14ac:dyDescent="0.25">
      <c r="A739" s="1083"/>
      <c r="B739" s="1455">
        <v>489</v>
      </c>
      <c r="C739" s="1087">
        <v>1.0137530647188069</v>
      </c>
      <c r="D739" s="1087">
        <v>0.99869495886290671</v>
      </c>
      <c r="E739" s="1087">
        <v>1.0225628250426135</v>
      </c>
      <c r="F739" s="1087">
        <v>1.009474853479696</v>
      </c>
      <c r="G739" s="1087">
        <v>0.96784630260342186</v>
      </c>
      <c r="H739" s="1087">
        <v>1.0190211751156586</v>
      </c>
      <c r="I739" s="1087">
        <v>0.97625717152457869</v>
      </c>
      <c r="K739">
        <v>1.8578815357782912</v>
      </c>
      <c r="L739">
        <v>0</v>
      </c>
      <c r="M739">
        <v>3.4930082135566681E-3</v>
      </c>
      <c r="N739">
        <v>0.35529996840281519</v>
      </c>
      <c r="O739">
        <v>0.23864460417451822</v>
      </c>
      <c r="P739">
        <v>1.3338730584189169E-2</v>
      </c>
      <c r="Q739">
        <v>1.6008452944759706E-3</v>
      </c>
      <c r="R739">
        <v>3.4871185351538075E-3</v>
      </c>
      <c r="S739">
        <v>0.35548612781556549</v>
      </c>
      <c r="T739">
        <v>0.40664829513687983</v>
      </c>
      <c r="U739">
        <v>0</v>
      </c>
      <c r="V739">
        <v>0.19931516885649922</v>
      </c>
      <c r="W739">
        <v>0.22317631032752697</v>
      </c>
      <c r="X739">
        <v>5.488658773985218E-2</v>
      </c>
      <c r="Y739">
        <v>9.4907871243724903E-3</v>
      </c>
    </row>
    <row r="740" spans="1:25" x14ac:dyDescent="0.25">
      <c r="A740" s="1083"/>
      <c r="B740" s="1455">
        <v>490</v>
      </c>
      <c r="C740" s="1087">
        <v>0.98522894736689615</v>
      </c>
      <c r="D740" s="1087">
        <v>0.9625879767657135</v>
      </c>
      <c r="E740" s="1087">
        <v>1.044176199817789</v>
      </c>
      <c r="F740" s="1087">
        <v>1.0288265618477481</v>
      </c>
      <c r="G740" s="1087">
        <v>1.0225223038136702</v>
      </c>
      <c r="H740" s="1087">
        <v>1.0337358240904069</v>
      </c>
      <c r="I740" s="1087">
        <v>1.0033583542750819</v>
      </c>
      <c r="K740">
        <v>1.9673216884484279</v>
      </c>
      <c r="L740">
        <v>0</v>
      </c>
      <c r="M740">
        <v>3.5581114637406219E-3</v>
      </c>
      <c r="N740">
        <v>0.38654915301529597</v>
      </c>
      <c r="O740">
        <v>0.24849776279885655</v>
      </c>
      <c r="P740">
        <v>1.4198665557242024E-2</v>
      </c>
      <c r="Q740">
        <v>1.7099099508726676E-3</v>
      </c>
      <c r="R740">
        <v>3.5522286540869037E-3</v>
      </c>
      <c r="S740">
        <v>0.38675850646884169</v>
      </c>
      <c r="T740">
        <v>0.41458163890635902</v>
      </c>
      <c r="U740">
        <v>0</v>
      </c>
      <c r="V740">
        <v>0.20620581022861736</v>
      </c>
      <c r="W740">
        <v>0.23962793115646094</v>
      </c>
      <c r="X740">
        <v>5.9530197770970517E-2</v>
      </c>
      <c r="Y740">
        <v>9.6679954045634439E-3</v>
      </c>
    </row>
    <row r="741" spans="1:25" x14ac:dyDescent="0.25">
      <c r="A741" s="1083"/>
      <c r="B741" s="1455">
        <v>491</v>
      </c>
      <c r="C741" s="1087">
        <v>1.045938943261068</v>
      </c>
      <c r="D741" s="1087">
        <v>0.97363225358455152</v>
      </c>
      <c r="E741" s="1087">
        <v>0.95839029993191804</v>
      </c>
      <c r="F741" s="1087">
        <v>1.0038636530544816</v>
      </c>
      <c r="G741" s="1087">
        <v>1.0289501154899652</v>
      </c>
      <c r="H741" s="1087">
        <v>1.003843598653972</v>
      </c>
      <c r="I741" s="1087">
        <v>0.98454508464170321</v>
      </c>
      <c r="K741">
        <v>1.7913439655509773</v>
      </c>
      <c r="L741">
        <v>0</v>
      </c>
      <c r="M741">
        <v>3.8545459591429157E-3</v>
      </c>
      <c r="N741">
        <v>0.32229311876183303</v>
      </c>
      <c r="O741">
        <v>0.23583214973635291</v>
      </c>
      <c r="P741">
        <v>1.2553125751747263E-2</v>
      </c>
      <c r="Q741">
        <v>1.4633364087331081E-3</v>
      </c>
      <c r="R741">
        <v>3.8479715953719205E-3</v>
      </c>
      <c r="S741">
        <v>0.3490624691444183</v>
      </c>
      <c r="T741">
        <v>0.40400030737925302</v>
      </c>
      <c r="U741">
        <v>0</v>
      </c>
      <c r="V741">
        <v>0.19650070207734299</v>
      </c>
      <c r="W741">
        <v>0.21078766635174781</v>
      </c>
      <c r="X741">
        <v>4.8384754104211294E-2</v>
      </c>
      <c r="Y741">
        <v>1.0472910199106865E-2</v>
      </c>
    </row>
    <row r="742" spans="1:25" x14ac:dyDescent="0.25">
      <c r="A742" s="1083"/>
      <c r="B742" s="1455">
        <v>492</v>
      </c>
      <c r="C742" s="1087">
        <v>0.98221874590868918</v>
      </c>
      <c r="D742" s="1087">
        <v>0.97724397443389088</v>
      </c>
      <c r="E742" s="1087">
        <v>0.98309365981540442</v>
      </c>
      <c r="F742" s="1087">
        <v>0.98866045987931339</v>
      </c>
      <c r="G742" s="1087">
        <v>1.0144957585368632</v>
      </c>
      <c r="H742" s="1087">
        <v>1.0094524568176106</v>
      </c>
      <c r="I742" s="1087">
        <v>1.0324754400690506</v>
      </c>
      <c r="K742">
        <v>1.8900789130870517</v>
      </c>
      <c r="L742">
        <v>0</v>
      </c>
      <c r="M742">
        <v>3.9170414356184142E-3</v>
      </c>
      <c r="N742">
        <v>0.35322376465790006</v>
      </c>
      <c r="O742">
        <v>0.24156652093974565</v>
      </c>
      <c r="P742">
        <v>1.334061173076472E-2</v>
      </c>
      <c r="Q742">
        <v>1.5981081565168689E-3</v>
      </c>
      <c r="R742">
        <v>3.9103938252262813E-3</v>
      </c>
      <c r="S742">
        <v>0.39037557417748336</v>
      </c>
      <c r="T742">
        <v>0.3980267009175118</v>
      </c>
      <c r="U742">
        <v>0</v>
      </c>
      <c r="V742">
        <v>0.20181924158457387</v>
      </c>
      <c r="W742">
        <v>0.22740019618126223</v>
      </c>
      <c r="X742">
        <v>5.2092039420398251E-2</v>
      </c>
      <c r="Y742">
        <v>1.0642802931287894E-2</v>
      </c>
    </row>
    <row r="743" spans="1:25" x14ac:dyDescent="0.25">
      <c r="A743" s="1083"/>
      <c r="B743" s="1455">
        <v>493</v>
      </c>
      <c r="C743" s="1087">
        <v>0.96634744169519415</v>
      </c>
      <c r="D743" s="1087">
        <v>0.97470469193139364</v>
      </c>
      <c r="E743" s="1087">
        <v>1.008166961895804</v>
      </c>
      <c r="F743" s="1087">
        <v>0.97703269713672825</v>
      </c>
      <c r="G743" s="1087">
        <v>1.0075513186031462</v>
      </c>
      <c r="H743" s="1087">
        <v>1.0017184924610814</v>
      </c>
      <c r="I743" s="1087">
        <v>0.97381979795529161</v>
      </c>
      <c r="K743">
        <v>1.8900499385583427</v>
      </c>
      <c r="L743">
        <v>0</v>
      </c>
      <c r="M743">
        <v>3.7576326741445504E-3</v>
      </c>
      <c r="N743">
        <v>0.36579815540476207</v>
      </c>
      <c r="O743">
        <v>0.24269308725936381</v>
      </c>
      <c r="P743">
        <v>1.3314563411903808E-2</v>
      </c>
      <c r="Q743">
        <v>1.6701778102657355E-3</v>
      </c>
      <c r="R743">
        <v>3.7512067792212136E-3</v>
      </c>
      <c r="S743">
        <v>0.37359194899926612</v>
      </c>
      <c r="T743">
        <v>0.3934934261917129</v>
      </c>
      <c r="U743">
        <v>0</v>
      </c>
      <c r="V743">
        <v>0.20283123790659338</v>
      </c>
      <c r="W743">
        <v>0.23182275936367602</v>
      </c>
      <c r="X743">
        <v>5.4631459837662218E-2</v>
      </c>
      <c r="Y743">
        <v>1.0209548268057714E-2</v>
      </c>
    </row>
    <row r="744" spans="1:25" x14ac:dyDescent="0.25">
      <c r="A744" s="1083"/>
      <c r="B744" s="1455">
        <v>494</v>
      </c>
      <c r="C744" s="1087">
        <v>0.98829614799225507</v>
      </c>
      <c r="D744" s="1087">
        <v>1.0330695728104136</v>
      </c>
      <c r="E744" s="1087">
        <v>0.99581517499673933</v>
      </c>
      <c r="F744" s="1087">
        <v>1.0134550457523994</v>
      </c>
      <c r="G744" s="1087">
        <v>1.0139798186248943</v>
      </c>
      <c r="H744" s="1087">
        <v>0.96615184334742288</v>
      </c>
      <c r="I744" s="1087">
        <v>0.98946765829282424</v>
      </c>
      <c r="K744">
        <v>1.8174873168178767</v>
      </c>
      <c r="L744">
        <v>0</v>
      </c>
      <c r="M744">
        <v>3.5234724116072597E-3</v>
      </c>
      <c r="N744">
        <v>0.33029106163421262</v>
      </c>
      <c r="O744">
        <v>0.23842257639135134</v>
      </c>
      <c r="P744">
        <v>1.3078282994211073E-2</v>
      </c>
      <c r="Q744">
        <v>1.5746936771787623E-3</v>
      </c>
      <c r="R744">
        <v>3.5171765741442633E-3</v>
      </c>
      <c r="S744">
        <v>0.35299856862276247</v>
      </c>
      <c r="T744">
        <v>0.40808632960962549</v>
      </c>
      <c r="U744">
        <v>0</v>
      </c>
      <c r="V744">
        <v>0.20042086398334807</v>
      </c>
      <c r="W744">
        <v>0.21093960335242345</v>
      </c>
      <c r="X744">
        <v>5.2109037192351826E-2</v>
      </c>
      <c r="Y744">
        <v>9.5725951978746244E-3</v>
      </c>
    </row>
    <row r="745" spans="1:25" x14ac:dyDescent="0.25">
      <c r="A745" s="1083"/>
      <c r="B745" s="1455">
        <v>495</v>
      </c>
      <c r="C745" s="1087">
        <v>1.0037231882886488</v>
      </c>
      <c r="D745" s="1087">
        <v>1.0039422070359485</v>
      </c>
      <c r="E745" s="1087">
        <v>1.0184929172878945</v>
      </c>
      <c r="F745" s="1087">
        <v>0.97890848417530429</v>
      </c>
      <c r="G745" s="1087">
        <v>1.0142361408922043</v>
      </c>
      <c r="H745" s="1087">
        <v>1.0139026905417861</v>
      </c>
      <c r="I745" s="1087">
        <v>0.99549474362247303</v>
      </c>
      <c r="K745">
        <v>1.8478372821533771</v>
      </c>
      <c r="L745">
        <v>0</v>
      </c>
      <c r="M745">
        <v>3.5297610306322595E-3</v>
      </c>
      <c r="N745">
        <v>0.35460979934272163</v>
      </c>
      <c r="O745">
        <v>0.23567584665386432</v>
      </c>
      <c r="P745">
        <v>1.3221725450074077E-2</v>
      </c>
      <c r="Q745">
        <v>1.6065476961234671E-3</v>
      </c>
      <c r="R745">
        <v>3.523775171379067E-3</v>
      </c>
      <c r="S745">
        <v>0.36409411632858218</v>
      </c>
      <c r="T745">
        <v>0.3943107097658976</v>
      </c>
      <c r="U745">
        <v>0</v>
      </c>
      <c r="V745">
        <v>0.19745201793646386</v>
      </c>
      <c r="W745">
        <v>0.22330126041528764</v>
      </c>
      <c r="X745">
        <v>5.398069001929242E-2</v>
      </c>
      <c r="Y745">
        <v>9.5905544043207655E-3</v>
      </c>
    </row>
    <row r="746" spans="1:25" x14ac:dyDescent="0.25">
      <c r="A746" s="1083"/>
      <c r="B746" s="1455">
        <v>496</v>
      </c>
      <c r="C746" s="1087">
        <v>1.0199902902848854</v>
      </c>
      <c r="D746" s="1087">
        <v>1.0299388821330553</v>
      </c>
      <c r="E746" s="1087">
        <v>1.013821171807378</v>
      </c>
      <c r="F746" s="1087">
        <v>0.98402319240085645</v>
      </c>
      <c r="G746" s="1087">
        <v>0.99988203389928276</v>
      </c>
      <c r="H746" s="1087">
        <v>1.0021285466623922</v>
      </c>
      <c r="I746" s="1087">
        <v>0.97350834334950753</v>
      </c>
      <c r="K746">
        <v>1.7948775760949112</v>
      </c>
      <c r="L746">
        <v>0</v>
      </c>
      <c r="M746">
        <v>3.4182685431764785E-3</v>
      </c>
      <c r="N746">
        <v>0.33854456719571485</v>
      </c>
      <c r="O746">
        <v>0.23179508366145468</v>
      </c>
      <c r="P746">
        <v>1.2882806938520518E-2</v>
      </c>
      <c r="Q746">
        <v>1.5571355804915193E-3</v>
      </c>
      <c r="R746">
        <v>3.4123819511890636E-3</v>
      </c>
      <c r="S746">
        <v>0.34338517836269389</v>
      </c>
      <c r="T746">
        <v>0.39634277596144113</v>
      </c>
      <c r="U746">
        <v>0</v>
      </c>
      <c r="V746">
        <v>0.19483212109381443</v>
      </c>
      <c r="W746">
        <v>0.21380050047150193</v>
      </c>
      <c r="X746">
        <v>5.245591464153404E-2</v>
      </c>
      <c r="Y746">
        <v>9.287378779728744E-3</v>
      </c>
    </row>
    <row r="747" spans="1:25" x14ac:dyDescent="0.25">
      <c r="A747" s="1083"/>
      <c r="B747" s="1455">
        <v>497</v>
      </c>
      <c r="C747" s="1087">
        <v>1.0051521519885818</v>
      </c>
      <c r="D747" s="1087">
        <v>1.0128817421970717</v>
      </c>
      <c r="E747" s="1087">
        <v>0.99401080870635206</v>
      </c>
      <c r="F747" s="1087">
        <v>1.0117866297195892</v>
      </c>
      <c r="G747" s="1087">
        <v>0.98247999139531483</v>
      </c>
      <c r="H747" s="1087">
        <v>1.008327437295214</v>
      </c>
      <c r="I747" s="1087">
        <v>0.99901522471062176</v>
      </c>
      <c r="K747">
        <v>1.8442159622001009</v>
      </c>
      <c r="L747">
        <v>0</v>
      </c>
      <c r="M747">
        <v>3.6677410831749933E-3</v>
      </c>
      <c r="N747">
        <v>0.34195336976260521</v>
      </c>
      <c r="O747">
        <v>0.23812271404663485</v>
      </c>
      <c r="P747">
        <v>1.3158271414070792E-2</v>
      </c>
      <c r="Q747">
        <v>1.5575517922132784E-3</v>
      </c>
      <c r="R747">
        <v>3.661478712241077E-3</v>
      </c>
      <c r="S747">
        <v>0.36179099082683269</v>
      </c>
      <c r="T747">
        <v>0.4074034894895166</v>
      </c>
      <c r="U747">
        <v>0</v>
      </c>
      <c r="V747">
        <v>0.19949911022968372</v>
      </c>
      <c r="W747">
        <v>0.21863500542130229</v>
      </c>
      <c r="X747">
        <v>5.2136383539586779E-2</v>
      </c>
      <c r="Y747">
        <v>9.9653380485871124E-3</v>
      </c>
    </row>
    <row r="748" spans="1:25" x14ac:dyDescent="0.25">
      <c r="A748" s="1083"/>
      <c r="B748" s="1455">
        <v>498</v>
      </c>
      <c r="C748" s="1087">
        <v>0.99724517954175484</v>
      </c>
      <c r="D748" s="1087">
        <v>0.98933503660469613</v>
      </c>
      <c r="E748" s="1087">
        <v>0.99029109051541619</v>
      </c>
      <c r="F748" s="1087">
        <v>1.0219230784489979</v>
      </c>
      <c r="G748" s="1087">
        <v>0.9855117609766556</v>
      </c>
      <c r="H748" s="1087">
        <v>1.0331978649865261</v>
      </c>
      <c r="I748" s="1087">
        <v>1.0048097545430721</v>
      </c>
      <c r="K748">
        <v>1.8958644202553563</v>
      </c>
      <c r="L748">
        <v>0</v>
      </c>
      <c r="M748">
        <v>3.8661288207151815E-3</v>
      </c>
      <c r="N748">
        <v>0.35639548353970574</v>
      </c>
      <c r="O748">
        <v>0.2425890304130276</v>
      </c>
      <c r="P748">
        <v>1.3410894022419729E-2</v>
      </c>
      <c r="Q748">
        <v>1.5784473654163161E-3</v>
      </c>
      <c r="R748">
        <v>3.859708522901802E-3</v>
      </c>
      <c r="S748">
        <v>0.37612859541095772</v>
      </c>
      <c r="T748">
        <v>0.41146210338103822</v>
      </c>
      <c r="U748">
        <v>0</v>
      </c>
      <c r="V748">
        <v>0.20246029175517088</v>
      </c>
      <c r="W748">
        <v>0.22840223854646555</v>
      </c>
      <c r="X748">
        <v>5.2938901872199934E-2</v>
      </c>
      <c r="Y748">
        <v>1.0504854246766081E-2</v>
      </c>
    </row>
    <row r="749" spans="1:25" x14ac:dyDescent="0.25">
      <c r="A749" s="1083"/>
      <c r="B749" s="1455">
        <v>499</v>
      </c>
      <c r="C749" s="1087">
        <v>1.003374114896191</v>
      </c>
      <c r="D749" s="1087">
        <v>0.99660505470320693</v>
      </c>
      <c r="E749" s="1087">
        <v>1.0190761913831332</v>
      </c>
      <c r="F749" s="1087">
        <v>0.97751360397217624</v>
      </c>
      <c r="G749" s="1087">
        <v>1.0422201778625448</v>
      </c>
      <c r="H749" s="1087">
        <v>1.0151425547086204</v>
      </c>
      <c r="I749" s="1087">
        <v>0.98822359776357394</v>
      </c>
      <c r="K749">
        <v>1.8510205203474983</v>
      </c>
      <c r="L749">
        <v>0</v>
      </c>
      <c r="M749">
        <v>3.5450119697039012E-3</v>
      </c>
      <c r="N749">
        <v>0.35677691795362504</v>
      </c>
      <c r="O749">
        <v>0.23627010919158487</v>
      </c>
      <c r="P749">
        <v>1.3212194538691192E-2</v>
      </c>
      <c r="Q749">
        <v>1.6128213404137132E-3</v>
      </c>
      <c r="R749">
        <v>3.5390136149164191E-3</v>
      </c>
      <c r="S749">
        <v>0.36325573033019642</v>
      </c>
      <c r="T749">
        <v>0.39375234325618746</v>
      </c>
      <c r="U749">
        <v>0</v>
      </c>
      <c r="V749">
        <v>0.19775138477133933</v>
      </c>
      <c r="W749">
        <v>0.22458519907674149</v>
      </c>
      <c r="X749">
        <v>5.4177789819226232E-2</v>
      </c>
      <c r="Y749">
        <v>9.6320284242778741E-3</v>
      </c>
    </row>
    <row r="750" spans="1:25" x14ac:dyDescent="0.25">
      <c r="A750" s="1083"/>
      <c r="B750" s="1455">
        <v>500</v>
      </c>
      <c r="C750" s="1087">
        <v>1.0299095880492868</v>
      </c>
      <c r="D750" s="1087">
        <v>1.0334370058787297</v>
      </c>
      <c r="E750" s="1087">
        <v>1.0072372268320144</v>
      </c>
      <c r="F750" s="1087">
        <v>1.0202256027406673</v>
      </c>
      <c r="G750" s="1087">
        <v>1.0183886701947469</v>
      </c>
      <c r="H750" s="1087">
        <v>0.99413934672134185</v>
      </c>
      <c r="I750" s="1087">
        <v>1.0164115179379756</v>
      </c>
      <c r="K750">
        <v>1.8094042905157366</v>
      </c>
      <c r="L750">
        <v>0</v>
      </c>
      <c r="M750">
        <v>3.3958512758957959E-3</v>
      </c>
      <c r="N750">
        <v>0.32963423454721624</v>
      </c>
      <c r="O750">
        <v>0.23423867535334097</v>
      </c>
      <c r="P750">
        <v>1.3173454213657529E-2</v>
      </c>
      <c r="Q750">
        <v>1.5293397595332414E-3</v>
      </c>
      <c r="R750">
        <v>3.3899502112261317E-3</v>
      </c>
      <c r="S750">
        <v>0.35282664227856364</v>
      </c>
      <c r="T750">
        <v>0.41088330320136618</v>
      </c>
      <c r="U750">
        <v>0</v>
      </c>
      <c r="V750">
        <v>0.19659321769286936</v>
      </c>
      <c r="W750">
        <v>0.20902474546892238</v>
      </c>
      <c r="X750">
        <v>5.2280252086763956E-2</v>
      </c>
      <c r="Y750">
        <v>9.2263269781707319E-3</v>
      </c>
    </row>
    <row r="751" spans="1:25" x14ac:dyDescent="0.25">
      <c r="A751" s="1083"/>
      <c r="B751" s="1455">
        <v>501</v>
      </c>
      <c r="C751" s="1087">
        <v>0.99632394780553946</v>
      </c>
      <c r="D751" s="1087">
        <v>0.99906381736498828</v>
      </c>
      <c r="E751" s="1087">
        <v>1.0241473263006982</v>
      </c>
      <c r="F751" s="1087">
        <v>1.0013291550958332</v>
      </c>
      <c r="G751" s="1087">
        <v>1.031782917730256</v>
      </c>
      <c r="H751" s="1087">
        <v>1.0131673076465133</v>
      </c>
      <c r="I751" s="1087">
        <v>1.0362673443765242</v>
      </c>
      <c r="K751">
        <v>1.8926202851857208</v>
      </c>
      <c r="L751">
        <v>0</v>
      </c>
      <c r="M751">
        <v>3.5218060470423472E-3</v>
      </c>
      <c r="N751">
        <v>0.35995913592897105</v>
      </c>
      <c r="O751">
        <v>0.23978677682755906</v>
      </c>
      <c r="P751">
        <v>1.3704031577810456E-2</v>
      </c>
      <c r="Q751">
        <v>1.6313281074361752E-3</v>
      </c>
      <c r="R751">
        <v>3.5158336818790158E-3</v>
      </c>
      <c r="S751">
        <v>0.38278923317078573</v>
      </c>
      <c r="T751">
        <v>0.40337672198994518</v>
      </c>
      <c r="U751">
        <v>0</v>
      </c>
      <c r="V751">
        <v>0.20046904815736055</v>
      </c>
      <c r="W751">
        <v>0.22588304133459211</v>
      </c>
      <c r="X751">
        <v>5.5458000168608461E-2</v>
      </c>
      <c r="Y751">
        <v>9.5689402878129347E-3</v>
      </c>
    </row>
    <row r="752" spans="1:25" x14ac:dyDescent="0.25">
      <c r="A752" s="1083"/>
      <c r="B752" s="1455">
        <v>502</v>
      </c>
      <c r="C752" s="1087">
        <v>0.95749318801691674</v>
      </c>
      <c r="D752" s="1087">
        <v>0.97954294892113447</v>
      </c>
      <c r="E752" s="1087">
        <v>0.98468333097477478</v>
      </c>
      <c r="F752" s="1087">
        <v>1.0079040584576124</v>
      </c>
      <c r="G752" s="1087">
        <v>1.005857233704976</v>
      </c>
      <c r="H752" s="1087">
        <v>1.0015598330715265</v>
      </c>
      <c r="I752" s="1087">
        <v>1.0214812858976832</v>
      </c>
      <c r="K752">
        <v>1.9232045856048352</v>
      </c>
      <c r="L752">
        <v>0</v>
      </c>
      <c r="M752">
        <v>3.9689371942830398E-3</v>
      </c>
      <c r="N752">
        <v>0.35964105060663565</v>
      </c>
      <c r="O752">
        <v>0.24682171298138647</v>
      </c>
      <c r="P752">
        <v>1.3571248283832524E-2</v>
      </c>
      <c r="Q752">
        <v>1.6406363340775909E-3</v>
      </c>
      <c r="R752">
        <v>3.9621463889164517E-3</v>
      </c>
      <c r="S752">
        <v>0.39415744512038897</v>
      </c>
      <c r="T752">
        <v>0.40578361391492751</v>
      </c>
      <c r="U752">
        <v>0</v>
      </c>
      <c r="V752">
        <v>0.20618958390452874</v>
      </c>
      <c r="W752">
        <v>0.23129888525971173</v>
      </c>
      <c r="X752">
        <v>5.332354365528786E-2</v>
      </c>
      <c r="Y752">
        <v>1.0783656349424502E-2</v>
      </c>
    </row>
    <row r="753" spans="1:25" x14ac:dyDescent="0.25">
      <c r="A753" s="1083"/>
      <c r="B753" s="1455">
        <v>503</v>
      </c>
      <c r="C753" s="1087">
        <v>1.0162282443682575</v>
      </c>
      <c r="D753" s="1087">
        <v>1.0015137536849323</v>
      </c>
      <c r="E753" s="1087">
        <v>0.9951206296644276</v>
      </c>
      <c r="F753" s="1087">
        <v>0.9903197581295472</v>
      </c>
      <c r="G753" s="1087">
        <v>1.0387659023467681</v>
      </c>
      <c r="H753" s="1087">
        <v>1.0014321267336757</v>
      </c>
      <c r="I753" s="1087">
        <v>1.0451866350411005</v>
      </c>
      <c r="K753">
        <v>1.837626625987473</v>
      </c>
      <c r="L753">
        <v>0</v>
      </c>
      <c r="M753">
        <v>3.6169298648223024E-3</v>
      </c>
      <c r="N753">
        <v>0.33835754926848366</v>
      </c>
      <c r="O753">
        <v>0.23545004785829246</v>
      </c>
      <c r="P753">
        <v>1.3205270000215047E-2</v>
      </c>
      <c r="Q753">
        <v>1.5493830993770102E-3</v>
      </c>
      <c r="R753">
        <v>3.610721818051295E-3</v>
      </c>
      <c r="S753">
        <v>0.37546656788304605</v>
      </c>
      <c r="T753">
        <v>0.39876632601500495</v>
      </c>
      <c r="U753">
        <v>0</v>
      </c>
      <c r="V753">
        <v>0.19711040775538571</v>
      </c>
      <c r="W753">
        <v>0.21618536404541189</v>
      </c>
      <c r="X753">
        <v>5.1714723594418456E-2</v>
      </c>
      <c r="Y753">
        <v>9.8271945146081955E-3</v>
      </c>
    </row>
    <row r="754" spans="1:25" x14ac:dyDescent="0.25">
      <c r="A754" s="1083"/>
      <c r="B754" s="1455">
        <v>504</v>
      </c>
      <c r="C754" s="1087">
        <v>1.0441649864986917</v>
      </c>
      <c r="D754" s="1087">
        <v>0.9694568885847179</v>
      </c>
      <c r="E754" s="1087">
        <v>0.95925024273096093</v>
      </c>
      <c r="F754" s="1087">
        <v>1.0286894136879239</v>
      </c>
      <c r="G754" s="1087">
        <v>0.99741102930671122</v>
      </c>
      <c r="H754" s="1087">
        <v>0.9895852688282466</v>
      </c>
      <c r="I754" s="1087">
        <v>1.0314682373538404</v>
      </c>
      <c r="K754">
        <v>1.8187335395457704</v>
      </c>
      <c r="L754">
        <v>0</v>
      </c>
      <c r="M754">
        <v>3.8081016259222718E-3</v>
      </c>
      <c r="N754">
        <v>0.31924137737093372</v>
      </c>
      <c r="O754">
        <v>0.23932421999770859</v>
      </c>
      <c r="P754">
        <v>1.293241833015254E-2</v>
      </c>
      <c r="Q754">
        <v>1.4697197652830641E-3</v>
      </c>
      <c r="R754">
        <v>3.8015162794327712E-3</v>
      </c>
      <c r="S754">
        <v>0.36459516406406284</v>
      </c>
      <c r="T754">
        <v>0.41399651970179574</v>
      </c>
      <c r="U754">
        <v>0</v>
      </c>
      <c r="V754">
        <v>0.19901148431989776</v>
      </c>
      <c r="W754">
        <v>0.20867605116685112</v>
      </c>
      <c r="X754">
        <v>4.9146696032463848E-2</v>
      </c>
      <c r="Y754">
        <v>1.0346474143111286E-2</v>
      </c>
    </row>
    <row r="755" spans="1:25" x14ac:dyDescent="0.25">
      <c r="A755" s="1083"/>
      <c r="B755" s="1455">
        <v>505</v>
      </c>
      <c r="C755" s="1087">
        <v>1.0090031484025372</v>
      </c>
      <c r="D755" s="1087">
        <v>1.042227650922938</v>
      </c>
      <c r="E755" s="1087">
        <v>1.017453529716571</v>
      </c>
      <c r="F755" s="1087">
        <v>1.0195124914428446</v>
      </c>
      <c r="G755" s="1087">
        <v>1.0046368153430945</v>
      </c>
      <c r="H755" s="1087">
        <v>0.96317341508051124</v>
      </c>
      <c r="I755" s="1087">
        <v>1.021923571407424</v>
      </c>
      <c r="K755">
        <v>1.811654629311062</v>
      </c>
      <c r="L755">
        <v>0</v>
      </c>
      <c r="M755">
        <v>3.2745021805783859E-3</v>
      </c>
      <c r="N755">
        <v>0.32789268134963645</v>
      </c>
      <c r="O755">
        <v>0.23596434343125167</v>
      </c>
      <c r="P755">
        <v>1.3324134658308857E-2</v>
      </c>
      <c r="Q755">
        <v>1.5726676190797246E-3</v>
      </c>
      <c r="R755">
        <v>3.2686236022214789E-3</v>
      </c>
      <c r="S755">
        <v>0.3550024963529102</v>
      </c>
      <c r="T755">
        <v>0.41065976631631124</v>
      </c>
      <c r="U755">
        <v>0</v>
      </c>
      <c r="V755">
        <v>0.1983360036912736</v>
      </c>
      <c r="W755">
        <v>0.20660956841122555</v>
      </c>
      <c r="X755">
        <v>5.3402730115652733E-2</v>
      </c>
      <c r="Y755">
        <v>8.8961159437659764E-3</v>
      </c>
    </row>
    <row r="756" spans="1:25" x14ac:dyDescent="0.25">
      <c r="A756" s="1083"/>
      <c r="B756" s="1455">
        <v>506</v>
      </c>
      <c r="C756" s="1087">
        <v>1.034111553487852</v>
      </c>
      <c r="D756" s="1087">
        <v>0.98420633957099302</v>
      </c>
      <c r="E756" s="1087">
        <v>1.0385401371427359</v>
      </c>
      <c r="F756" s="1087">
        <v>0.98201908780938996</v>
      </c>
      <c r="G756" s="1087">
        <v>1.0189717741222868</v>
      </c>
      <c r="H756" s="1087">
        <v>1.0107364384054887</v>
      </c>
      <c r="I756" s="1087">
        <v>1.0180960073328178</v>
      </c>
      <c r="K756">
        <v>1.8445290473341065</v>
      </c>
      <c r="L756">
        <v>0</v>
      </c>
      <c r="M756">
        <v>3.3127482917789655E-3</v>
      </c>
      <c r="N756">
        <v>0.35375914061405078</v>
      </c>
      <c r="O756">
        <v>0.23472148578226951</v>
      </c>
      <c r="P756">
        <v>1.342463209554033E-2</v>
      </c>
      <c r="Q756">
        <v>1.605208179217975E-3</v>
      </c>
      <c r="R756">
        <v>3.3071283118658052E-3</v>
      </c>
      <c r="S756">
        <v>0.36506819124510104</v>
      </c>
      <c r="T756">
        <v>0.39568534262814564</v>
      </c>
      <c r="U756">
        <v>0</v>
      </c>
      <c r="V756">
        <v>0.1957335697329815</v>
      </c>
      <c r="W756">
        <v>0.22005090071616371</v>
      </c>
      <c r="X756">
        <v>5.548528325020468E-2</v>
      </c>
      <c r="Y756">
        <v>9.0009130703437128E-3</v>
      </c>
    </row>
    <row r="757" spans="1:25" x14ac:dyDescent="0.25">
      <c r="A757" s="1083"/>
      <c r="B757" s="1455">
        <v>507</v>
      </c>
      <c r="C757" s="1087">
        <v>0.98679747407265084</v>
      </c>
      <c r="D757" s="1087">
        <v>0.99493595329240925</v>
      </c>
      <c r="E757" s="1087">
        <v>1.0033897490677401</v>
      </c>
      <c r="F757" s="1087">
        <v>1.0231761370713077</v>
      </c>
      <c r="G757" s="1087">
        <v>0.98538818114795623</v>
      </c>
      <c r="H757" s="1087">
        <v>1.0214368834487515</v>
      </c>
      <c r="I757" s="1087">
        <v>0.95460275661736904</v>
      </c>
      <c r="K757">
        <v>1.8849838636611076</v>
      </c>
      <c r="L757">
        <v>0</v>
      </c>
      <c r="M757">
        <v>3.7491600847002326E-3</v>
      </c>
      <c r="N757">
        <v>0.35970383651357068</v>
      </c>
      <c r="O757">
        <v>0.24365700893527562</v>
      </c>
      <c r="P757">
        <v>1.3317945238374559E-2</v>
      </c>
      <c r="Q757">
        <v>1.6139681995229072E-3</v>
      </c>
      <c r="R757">
        <v>3.7428575129601488E-3</v>
      </c>
      <c r="S757">
        <v>0.35807303694188836</v>
      </c>
      <c r="T757">
        <v>0.41204765193344528</v>
      </c>
      <c r="U757">
        <v>0</v>
      </c>
      <c r="V757">
        <v>0.20348955243923478</v>
      </c>
      <c r="W757">
        <v>0.22863901587813201</v>
      </c>
      <c r="X757">
        <v>5.4261325835771583E-2</v>
      </c>
      <c r="Y757">
        <v>1.0186824317629977E-2</v>
      </c>
    </row>
    <row r="758" spans="1:25" x14ac:dyDescent="0.25">
      <c r="A758" s="1083"/>
      <c r="B758" s="1455">
        <v>508</v>
      </c>
      <c r="C758" s="1087">
        <v>0.98942116762568699</v>
      </c>
      <c r="D758" s="1087">
        <v>0.99246838186765574</v>
      </c>
      <c r="E758" s="1087">
        <v>0.98370745800680526</v>
      </c>
      <c r="F758" s="1087">
        <v>1.0416433922228563</v>
      </c>
      <c r="G758" s="1087">
        <v>1.0397735435825528</v>
      </c>
      <c r="H758" s="1087">
        <v>1.0295628211119203</v>
      </c>
      <c r="I758" s="1087">
        <v>1.0366022826241268</v>
      </c>
      <c r="K758">
        <v>1.9214559377196738</v>
      </c>
      <c r="L758">
        <v>0</v>
      </c>
      <c r="M758">
        <v>3.9287434532052426E-3</v>
      </c>
      <c r="N758">
        <v>0.35495464510598823</v>
      </c>
      <c r="O758">
        <v>0.24543846284410265</v>
      </c>
      <c r="P758">
        <v>1.3664375954959517E-2</v>
      </c>
      <c r="Q758">
        <v>1.5777355848165277E-3</v>
      </c>
      <c r="R758">
        <v>3.9221931219433842E-3</v>
      </c>
      <c r="S758">
        <v>0.38963602205455916</v>
      </c>
      <c r="T758">
        <v>0.41936102854638369</v>
      </c>
      <c r="U758">
        <v>0</v>
      </c>
      <c r="V758">
        <v>0.20478820172248999</v>
      </c>
      <c r="W758">
        <v>0.22842578641811742</v>
      </c>
      <c r="X758">
        <v>5.294131309220329E-2</v>
      </c>
      <c r="Y758">
        <v>1.0674916727314731E-2</v>
      </c>
    </row>
    <row r="759" spans="1:25" x14ac:dyDescent="0.25">
      <c r="A759" s="1083"/>
      <c r="B759" s="1455">
        <v>509</v>
      </c>
      <c r="C759" s="1087">
        <v>1.0016365818057409</v>
      </c>
      <c r="D759" s="1087">
        <v>0.9879109513372939</v>
      </c>
      <c r="E759" s="1087">
        <v>0.96258592674944143</v>
      </c>
      <c r="F759" s="1087">
        <v>0.998092640772405</v>
      </c>
      <c r="G759" s="1087">
        <v>0.9797101473708294</v>
      </c>
      <c r="H759" s="1087">
        <v>0.97983420155399725</v>
      </c>
      <c r="I759" s="1087">
        <v>0.99876972243889983</v>
      </c>
      <c r="K759">
        <v>1.8181205950489592</v>
      </c>
      <c r="L759">
        <v>0</v>
      </c>
      <c r="M759">
        <v>3.865309951508045E-3</v>
      </c>
      <c r="N759">
        <v>0.32735513660213494</v>
      </c>
      <c r="O759">
        <v>0.23898460381251133</v>
      </c>
      <c r="P759">
        <v>1.2785928611060537E-2</v>
      </c>
      <c r="Q759">
        <v>1.5261355211307194E-3</v>
      </c>
      <c r="R759">
        <v>3.8585426248505467E-3</v>
      </c>
      <c r="S759">
        <v>0.36249397532498689</v>
      </c>
      <c r="T759">
        <v>0.40170243379506193</v>
      </c>
      <c r="U759">
        <v>0</v>
      </c>
      <c r="V759">
        <v>0.19984424715808841</v>
      </c>
      <c r="W759">
        <v>0.213520856218644</v>
      </c>
      <c r="X759">
        <v>4.9412364275388782E-2</v>
      </c>
      <c r="Y759">
        <v>1.0501681056608758E-2</v>
      </c>
    </row>
    <row r="760" spans="1:25" x14ac:dyDescent="0.25">
      <c r="A760" s="1083"/>
      <c r="B760" s="1455">
        <v>510</v>
      </c>
      <c r="C760" s="1087">
        <v>1.0135649478431237</v>
      </c>
      <c r="D760" s="1087">
        <v>1.0054174805801321</v>
      </c>
      <c r="E760" s="1087">
        <v>0.99497845162449561</v>
      </c>
      <c r="F760" s="1087">
        <v>0.98191219037832167</v>
      </c>
      <c r="G760" s="1087">
        <v>0.99333083109179643</v>
      </c>
      <c r="H760" s="1087">
        <v>1.0352408816499903</v>
      </c>
      <c r="I760" s="1087">
        <v>1.0086478674973791</v>
      </c>
      <c r="K760">
        <v>1.8448073138326351</v>
      </c>
      <c r="L760">
        <v>0</v>
      </c>
      <c r="M760">
        <v>3.7421109197743867E-3</v>
      </c>
      <c r="N760">
        <v>0.34993544517361824</v>
      </c>
      <c r="O760">
        <v>0.23439386966379708</v>
      </c>
      <c r="P760">
        <v>1.3055620807538651E-2</v>
      </c>
      <c r="Q760">
        <v>1.5508033201844628E-3</v>
      </c>
      <c r="R760">
        <v>3.7358944323327621E-3</v>
      </c>
      <c r="S760">
        <v>0.36859533401952316</v>
      </c>
      <c r="T760">
        <v>0.39538005645087881</v>
      </c>
      <c r="U760">
        <v>0</v>
      </c>
      <c r="V760">
        <v>0.19646263617805731</v>
      </c>
      <c r="W760">
        <v>0.22360271756010192</v>
      </c>
      <c r="X760">
        <v>5.1669174038835287E-2</v>
      </c>
      <c r="Y760">
        <v>1.0167873107541142E-2</v>
      </c>
    </row>
    <row r="761" spans="1:25" x14ac:dyDescent="0.25">
      <c r="A761" s="1083"/>
      <c r="B761" s="1455">
        <v>511</v>
      </c>
      <c r="C761" s="1087">
        <v>1.0212571453308681</v>
      </c>
      <c r="D761" s="1087">
        <v>0.97536900433271045</v>
      </c>
      <c r="E761" s="1087">
        <v>0.99383189070061895</v>
      </c>
      <c r="F761" s="1087">
        <v>1.0290814256558383</v>
      </c>
      <c r="G761" s="1087">
        <v>1.0078548518242929</v>
      </c>
      <c r="H761" s="1087">
        <v>1.0112349206023585</v>
      </c>
      <c r="I761" s="1087">
        <v>0.98084247614301701</v>
      </c>
      <c r="K761">
        <v>1.8574957055716339</v>
      </c>
      <c r="L761">
        <v>0</v>
      </c>
      <c r="M761">
        <v>3.6963183788321268E-3</v>
      </c>
      <c r="N761">
        <v>0.34443432182789496</v>
      </c>
      <c r="O761">
        <v>0.24198328741947739</v>
      </c>
      <c r="P761">
        <v>1.3217287906700868E-2</v>
      </c>
      <c r="Q761">
        <v>1.5560088155966488E-3</v>
      </c>
      <c r="R761">
        <v>3.6900587267343966E-3</v>
      </c>
      <c r="S761">
        <v>0.35751031494261898</v>
      </c>
      <c r="T761">
        <v>0.41436625825196755</v>
      </c>
      <c r="U761">
        <v>0</v>
      </c>
      <c r="V761">
        <v>0.20129346889750394</v>
      </c>
      <c r="W761">
        <v>0.22024598704011908</v>
      </c>
      <c r="X761">
        <v>5.2851906695212614E-2</v>
      </c>
      <c r="Y761">
        <v>1.0043123426638687E-2</v>
      </c>
    </row>
    <row r="762" spans="1:25" x14ac:dyDescent="0.25">
      <c r="A762" s="1083"/>
      <c r="B762" s="1455">
        <v>512</v>
      </c>
      <c r="C762" s="1087">
        <v>0.98559436629073405</v>
      </c>
      <c r="D762" s="1087">
        <v>1.0241241494528557</v>
      </c>
      <c r="E762" s="1087">
        <v>0.96806432264768871</v>
      </c>
      <c r="F762" s="1087">
        <v>0.99688174302529542</v>
      </c>
      <c r="G762" s="1087">
        <v>0.99691436728464378</v>
      </c>
      <c r="H762" s="1087">
        <v>1.0042747165472399</v>
      </c>
      <c r="I762" s="1087">
        <v>0.98445164009450092</v>
      </c>
      <c r="K762">
        <v>1.8281051408428919</v>
      </c>
      <c r="L762">
        <v>0</v>
      </c>
      <c r="M762">
        <v>3.9050729085062159E-3</v>
      </c>
      <c r="N762">
        <v>0.33632403749054507</v>
      </c>
      <c r="O762">
        <v>0.23731155174192481</v>
      </c>
      <c r="P762">
        <v>1.2802619242677124E-2</v>
      </c>
      <c r="Q762">
        <v>1.5379154860933465E-3</v>
      </c>
      <c r="R762">
        <v>3.8983688873325708E-3</v>
      </c>
      <c r="S762">
        <v>0.36038692436482495</v>
      </c>
      <c r="T762">
        <v>0.40124734181741045</v>
      </c>
      <c r="U762">
        <v>0</v>
      </c>
      <c r="V762">
        <v>0.19960523809786709</v>
      </c>
      <c r="W762">
        <v>0.21860143145060593</v>
      </c>
      <c r="X762">
        <v>4.9684710157755163E-2</v>
      </c>
      <c r="Y762">
        <v>1.0610075014360927E-2</v>
      </c>
    </row>
    <row r="763" spans="1:25" x14ac:dyDescent="0.25">
      <c r="A763" s="1083"/>
      <c r="B763" s="1455">
        <v>513</v>
      </c>
      <c r="C763" s="1087">
        <v>0.96871042306612309</v>
      </c>
      <c r="D763" s="1087">
        <v>0.98430949403333634</v>
      </c>
      <c r="E763" s="1087">
        <v>0.982169641193962</v>
      </c>
      <c r="F763" s="1087">
        <v>0.96107074655855529</v>
      </c>
      <c r="G763" s="1087">
        <v>0.98012198289360897</v>
      </c>
      <c r="H763" s="1087">
        <v>0.99967314248102301</v>
      </c>
      <c r="I763" s="1087">
        <v>0.99609171092458682</v>
      </c>
      <c r="K763">
        <v>1.8617144157398762</v>
      </c>
      <c r="L763">
        <v>0</v>
      </c>
      <c r="M763">
        <v>3.9237927550141421E-3</v>
      </c>
      <c r="N763">
        <v>0.35282825822936992</v>
      </c>
      <c r="O763">
        <v>0.23906767124010009</v>
      </c>
      <c r="P763">
        <v>1.3002522864559321E-2</v>
      </c>
      <c r="Q763">
        <v>1.6141261282698533E-3</v>
      </c>
      <c r="R763">
        <v>3.9170591607701928E-3</v>
      </c>
      <c r="S763">
        <v>0.3784255983513885</v>
      </c>
      <c r="T763">
        <v>0.38691399190403131</v>
      </c>
      <c r="U763">
        <v>0</v>
      </c>
      <c r="V763">
        <v>0.20046211141246054</v>
      </c>
      <c r="W763">
        <v>0.22727848398081607</v>
      </c>
      <c r="X763">
        <v>5.1467441445710353E-2</v>
      </c>
      <c r="Y763">
        <v>1.0660943777411148E-2</v>
      </c>
    </row>
    <row r="764" spans="1:25" x14ac:dyDescent="0.25">
      <c r="A764" s="1083"/>
      <c r="B764" s="1455">
        <v>514</v>
      </c>
      <c r="C764" s="1087">
        <v>1.0238106147051356</v>
      </c>
      <c r="D764" s="1087">
        <v>0.98079260787522893</v>
      </c>
      <c r="E764" s="1087">
        <v>1.0307897923618652</v>
      </c>
      <c r="F764" s="1087">
        <v>1.0339408389961091</v>
      </c>
      <c r="G764" s="1087">
        <v>0.99468785104315405</v>
      </c>
      <c r="H764" s="1087">
        <v>0.99649796639665855</v>
      </c>
      <c r="I764" s="1087">
        <v>1.0272321665199415</v>
      </c>
      <c r="K764">
        <v>1.8799941260366473</v>
      </c>
      <c r="L764">
        <v>0</v>
      </c>
      <c r="M764">
        <v>3.3579504560269486E-3</v>
      </c>
      <c r="N764">
        <v>0.35021713922987313</v>
      </c>
      <c r="O764">
        <v>0.24220512582468104</v>
      </c>
      <c r="P764">
        <v>1.3788776836279762E-2</v>
      </c>
      <c r="Q764">
        <v>1.6104952906283413E-3</v>
      </c>
      <c r="R764">
        <v>3.352174713473498E-3</v>
      </c>
      <c r="S764">
        <v>0.37004035322476203</v>
      </c>
      <c r="T764">
        <v>0.41655646793096374</v>
      </c>
      <c r="U764">
        <v>0</v>
      </c>
      <c r="V764">
        <v>0.20135675270296355</v>
      </c>
      <c r="W764">
        <v>0.21887798474384806</v>
      </c>
      <c r="X764">
        <v>5.6223291469223259E-2</v>
      </c>
      <c r="Y764">
        <v>9.1235145259775524E-3</v>
      </c>
    </row>
    <row r="765" spans="1:25" x14ac:dyDescent="0.25">
      <c r="A765" s="1083"/>
      <c r="B765" s="1455">
        <v>515</v>
      </c>
      <c r="C765" s="1087">
        <v>1.0304945800741012</v>
      </c>
      <c r="D765" s="1087">
        <v>0.98038587088710305</v>
      </c>
      <c r="E765" s="1087">
        <v>1.0017629261875198</v>
      </c>
      <c r="F765" s="1087">
        <v>1.0269803706522698</v>
      </c>
      <c r="G765" s="1087">
        <v>0.9637582029073829</v>
      </c>
      <c r="H765" s="1087">
        <v>0.99531971286366205</v>
      </c>
      <c r="I765" s="1087">
        <v>1.0024374613666198</v>
      </c>
      <c r="K765">
        <v>1.8420894832927803</v>
      </c>
      <c r="L765">
        <v>0</v>
      </c>
      <c r="M765">
        <v>3.5373445566473189E-3</v>
      </c>
      <c r="N765">
        <v>0.337687490322503</v>
      </c>
      <c r="O765">
        <v>0.24022295013464492</v>
      </c>
      <c r="P765">
        <v>1.3277052804956486E-2</v>
      </c>
      <c r="Q765">
        <v>1.5519748309685746E-3</v>
      </c>
      <c r="R765">
        <v>3.5312533246384279E-3</v>
      </c>
      <c r="S765">
        <v>0.35830925348175907</v>
      </c>
      <c r="T765">
        <v>0.41356952949318604</v>
      </c>
      <c r="U765">
        <v>0</v>
      </c>
      <c r="V765">
        <v>0.19991765150359408</v>
      </c>
      <c r="W765">
        <v>0.21486260657149589</v>
      </c>
      <c r="X765">
        <v>5.3086157909358306E-2</v>
      </c>
      <c r="Y765">
        <v>9.6109074723201831E-3</v>
      </c>
    </row>
    <row r="766" spans="1:25" x14ac:dyDescent="0.25">
      <c r="A766" s="1083"/>
      <c r="B766" s="1455">
        <v>516</v>
      </c>
      <c r="C766" s="1087">
        <v>0.99998900880110231</v>
      </c>
      <c r="D766" s="1087">
        <v>0.98437335518064895</v>
      </c>
      <c r="E766" s="1087">
        <v>0.97971727676542864</v>
      </c>
      <c r="F766" s="1087">
        <v>1.017423025400382</v>
      </c>
      <c r="G766" s="1087">
        <v>1.0242170192364526</v>
      </c>
      <c r="H766" s="1087">
        <v>1.0111229279643354</v>
      </c>
      <c r="I766" s="1087">
        <v>1.0139748109368274</v>
      </c>
      <c r="K766">
        <v>1.873701606066323</v>
      </c>
      <c r="L766">
        <v>0</v>
      </c>
      <c r="M766">
        <v>3.8659493699955499E-3</v>
      </c>
      <c r="N766">
        <v>0.34503853847813493</v>
      </c>
      <c r="O766">
        <v>0.24207508355903801</v>
      </c>
      <c r="P766">
        <v>1.3262174097500154E-2</v>
      </c>
      <c r="Q766">
        <v>1.5594763366285434E-3</v>
      </c>
      <c r="R766">
        <v>3.8593938607814184E-3</v>
      </c>
      <c r="S766">
        <v>0.37535701316046827</v>
      </c>
      <c r="T766">
        <v>0.40958574080436849</v>
      </c>
      <c r="U766">
        <v>0</v>
      </c>
      <c r="V766">
        <v>0.201982699068569</v>
      </c>
      <c r="W766">
        <v>0.2226064093216768</v>
      </c>
      <c r="X766">
        <v>5.1737028908947894E-2</v>
      </c>
      <c r="Y766">
        <v>1.050399784020274E-2</v>
      </c>
    </row>
    <row r="767" spans="1:25" x14ac:dyDescent="0.25">
      <c r="A767" s="1083"/>
      <c r="B767" s="1455">
        <v>517</v>
      </c>
      <c r="C767" s="1087">
        <v>0.99946435758094088</v>
      </c>
      <c r="D767" s="1087">
        <v>1.0224732171844539</v>
      </c>
      <c r="E767" s="1087">
        <v>1.0131908443412918</v>
      </c>
      <c r="F767" s="1087">
        <v>1.0123373313650814</v>
      </c>
      <c r="G767" s="1087">
        <v>1.0041883052327729</v>
      </c>
      <c r="H767" s="1087">
        <v>0.99929089021705242</v>
      </c>
      <c r="I767" s="1087">
        <v>1.0015037922203569</v>
      </c>
      <c r="K767">
        <v>1.8495156649299727</v>
      </c>
      <c r="L767">
        <v>0</v>
      </c>
      <c r="M767">
        <v>3.4969690397526109E-3</v>
      </c>
      <c r="N767">
        <v>0.34567308065633362</v>
      </c>
      <c r="O767">
        <v>0.23820480100386074</v>
      </c>
      <c r="P767">
        <v>1.3350895018276798E-2</v>
      </c>
      <c r="Q767">
        <v>1.5926827887222542E-3</v>
      </c>
      <c r="R767">
        <v>3.4909362581708485E-3</v>
      </c>
      <c r="S767">
        <v>0.36145648396168073</v>
      </c>
      <c r="T767">
        <v>0.40774318163113166</v>
      </c>
      <c r="U767">
        <v>0</v>
      </c>
      <c r="V767">
        <v>0.19976600377854575</v>
      </c>
      <c r="W767">
        <v>0.21838748474515976</v>
      </c>
      <c r="X767">
        <v>5.384590641993181E-2</v>
      </c>
      <c r="Y767">
        <v>9.5011777079128251E-3</v>
      </c>
    </row>
    <row r="768" spans="1:25" x14ac:dyDescent="0.25">
      <c r="A768" s="1083"/>
      <c r="B768" s="1455">
        <v>518</v>
      </c>
      <c r="C768" s="1087">
        <v>0.97161437463172418</v>
      </c>
      <c r="D768" s="1087">
        <v>1.0359619865615366</v>
      </c>
      <c r="E768" s="1087">
        <v>1.0104237300038765</v>
      </c>
      <c r="F768" s="1087">
        <v>1.0351098685146918</v>
      </c>
      <c r="G768" s="1087">
        <v>1.0001011815043188</v>
      </c>
      <c r="H768" s="1087">
        <v>1.0023272073562561</v>
      </c>
      <c r="I768" s="1087">
        <v>0.99185129151245255</v>
      </c>
      <c r="K768">
        <v>1.8863493448289577</v>
      </c>
      <c r="L768">
        <v>0</v>
      </c>
      <c r="M768">
        <v>3.603227251546826E-3</v>
      </c>
      <c r="N768">
        <v>0.35318493276050261</v>
      </c>
      <c r="O768">
        <v>0.24292902259956686</v>
      </c>
      <c r="P768">
        <v>1.3572381014989846E-2</v>
      </c>
      <c r="Q768">
        <v>1.6249991831667359E-3</v>
      </c>
      <c r="R768">
        <v>3.59701889072956E-3</v>
      </c>
      <c r="S768">
        <v>0.36610993129123215</v>
      </c>
      <c r="T768">
        <v>0.41689786830833458</v>
      </c>
      <c r="U768">
        <v>0</v>
      </c>
      <c r="V768">
        <v>0.2040456242251947</v>
      </c>
      <c r="W768">
        <v>0.22351599133122635</v>
      </c>
      <c r="X768">
        <v>5.4684902811952048E-2</v>
      </c>
      <c r="Y768">
        <v>9.7898996636072103E-3</v>
      </c>
    </row>
    <row r="769" spans="1:25" x14ac:dyDescent="0.25">
      <c r="A769" s="1083"/>
      <c r="B769" s="1455">
        <v>519</v>
      </c>
      <c r="C769" s="1087">
        <v>1.000478275037904</v>
      </c>
      <c r="D769" s="1087">
        <v>1.0038039317628769</v>
      </c>
      <c r="E769" s="1087">
        <v>0.97244581801089858</v>
      </c>
      <c r="F769" s="1087">
        <v>0.99034700790553998</v>
      </c>
      <c r="G769" s="1087">
        <v>1.0121785268781736</v>
      </c>
      <c r="H769" s="1087">
        <v>1.0033201785916168</v>
      </c>
      <c r="I769" s="1087">
        <v>0.98841771757644192</v>
      </c>
      <c r="K769">
        <v>1.8228980419824938</v>
      </c>
      <c r="L769">
        <v>0</v>
      </c>
      <c r="M769">
        <v>3.8504816449411172E-3</v>
      </c>
      <c r="N769">
        <v>0.33609708438421015</v>
      </c>
      <c r="O769">
        <v>0.23677623181506305</v>
      </c>
      <c r="P769">
        <v>1.2795093811548702E-2</v>
      </c>
      <c r="Q769">
        <v>1.5344886918924414E-3</v>
      </c>
      <c r="R769">
        <v>3.8438833227142045E-3</v>
      </c>
      <c r="S769">
        <v>0.36029628327358409</v>
      </c>
      <c r="T769">
        <v>0.39864282087944819</v>
      </c>
      <c r="U769">
        <v>0</v>
      </c>
      <c r="V769">
        <v>0.19851697610830668</v>
      </c>
      <c r="W769">
        <v>0.21784314166053786</v>
      </c>
      <c r="X769">
        <v>4.994073641149565E-2</v>
      </c>
      <c r="Y769">
        <v>1.0461783268631283E-2</v>
      </c>
    </row>
    <row r="770" spans="1:25" x14ac:dyDescent="0.25">
      <c r="A770" s="1083"/>
      <c r="B770" s="1455">
        <v>520</v>
      </c>
      <c r="C770" s="1087">
        <v>0.98048280083261818</v>
      </c>
      <c r="D770" s="1087">
        <v>1.0064178228600651</v>
      </c>
      <c r="E770" s="1087">
        <v>1.0045920698948172</v>
      </c>
      <c r="F770" s="1087">
        <v>1.0096393331192786</v>
      </c>
      <c r="G770" s="1087">
        <v>1.0259863451316258</v>
      </c>
      <c r="H770" s="1087">
        <v>0.99012675332241085</v>
      </c>
      <c r="I770" s="1087">
        <v>1.013507694961109</v>
      </c>
      <c r="K770">
        <v>1.8748091614462992</v>
      </c>
      <c r="L770">
        <v>0</v>
      </c>
      <c r="M770">
        <v>3.6261267506936899E-3</v>
      </c>
      <c r="N770">
        <v>0.34915859812380251</v>
      </c>
      <c r="O770">
        <v>0.24170560901989455</v>
      </c>
      <c r="P770">
        <v>1.3463522423693555E-2</v>
      </c>
      <c r="Q770">
        <v>1.6189931134517116E-3</v>
      </c>
      <c r="R770">
        <v>3.6198281539534553E-3</v>
      </c>
      <c r="S770">
        <v>0.37435841717246598</v>
      </c>
      <c r="T770">
        <v>0.40660356365191086</v>
      </c>
      <c r="U770">
        <v>0</v>
      </c>
      <c r="V770">
        <v>0.20240978561299844</v>
      </c>
      <c r="W770">
        <v>0.22176996742158026</v>
      </c>
      <c r="X770">
        <v>5.3875024544209074E-2</v>
      </c>
      <c r="Y770">
        <v>9.8519789590310568E-3</v>
      </c>
    </row>
    <row r="771" spans="1:25" x14ac:dyDescent="0.25">
      <c r="A771" s="1083"/>
      <c r="B771" s="1455">
        <v>521</v>
      </c>
      <c r="C771" s="1087">
        <v>0.99467117103173186</v>
      </c>
      <c r="D771" s="1087">
        <v>0.99022790161359608</v>
      </c>
      <c r="E771" s="1087">
        <v>1.0304648748565248</v>
      </c>
      <c r="F771" s="1087">
        <v>1.0306778355750088</v>
      </c>
      <c r="G771" s="1087">
        <v>0.95999877424694835</v>
      </c>
      <c r="H771" s="1087">
        <v>1.0312645416520949</v>
      </c>
      <c r="I771" s="1087">
        <v>1.0306735842847565</v>
      </c>
      <c r="K771">
        <v>1.9356853393217122</v>
      </c>
      <c r="L771">
        <v>0</v>
      </c>
      <c r="M771">
        <v>3.5614343118928961E-3</v>
      </c>
      <c r="N771">
        <v>0.37109300069520407</v>
      </c>
      <c r="O771">
        <v>0.24442795907922574</v>
      </c>
      <c r="P771">
        <v>1.4032643936886541E-2</v>
      </c>
      <c r="Q771">
        <v>1.6507767940432576E-3</v>
      </c>
      <c r="R771">
        <v>3.5555081332699586E-3</v>
      </c>
      <c r="S771">
        <v>0.38673653802947155</v>
      </c>
      <c r="T771">
        <v>0.4152397890802742</v>
      </c>
      <c r="U771">
        <v>0</v>
      </c>
      <c r="V771">
        <v>0.20368512479255915</v>
      </c>
      <c r="W771">
        <v>0.23197095807588375</v>
      </c>
      <c r="X771">
        <v>5.7177553950966915E-2</v>
      </c>
      <c r="Y771">
        <v>9.6769210658196967E-3</v>
      </c>
    </row>
    <row r="772" spans="1:25" x14ac:dyDescent="0.25">
      <c r="A772" s="1083"/>
      <c r="B772" s="1455">
        <v>522</v>
      </c>
      <c r="C772" s="1087">
        <v>1.0290255413856808</v>
      </c>
      <c r="D772" s="1087">
        <v>0.99461364763067805</v>
      </c>
      <c r="E772" s="1087">
        <v>1.0013969379665448</v>
      </c>
      <c r="F772" s="1087">
        <v>0.98906241685620988</v>
      </c>
      <c r="G772" s="1087">
        <v>0.98845197057897638</v>
      </c>
      <c r="H772" s="1087">
        <v>1.0026625100840454</v>
      </c>
      <c r="I772" s="1087">
        <v>0.97850382759671484</v>
      </c>
      <c r="K772">
        <v>1.8066916395388903</v>
      </c>
      <c r="L772">
        <v>0</v>
      </c>
      <c r="M772">
        <v>3.543817932925462E-3</v>
      </c>
      <c r="N772">
        <v>0.33793101706244261</v>
      </c>
      <c r="O772">
        <v>0.23457557485253611</v>
      </c>
      <c r="P772">
        <v>1.2881870426689417E-2</v>
      </c>
      <c r="Q772">
        <v>1.544656981230031E-3</v>
      </c>
      <c r="R772">
        <v>3.5377485161279918E-3</v>
      </c>
      <c r="S772">
        <v>0.34874738238586189</v>
      </c>
      <c r="T772">
        <v>0.3982976062951013</v>
      </c>
      <c r="U772">
        <v>0</v>
      </c>
      <c r="V772">
        <v>0.19608276302698169</v>
      </c>
      <c r="W772">
        <v>0.21506667384385494</v>
      </c>
      <c r="X772">
        <v>5.1941578838574858E-2</v>
      </c>
      <c r="Y772">
        <v>9.6285852424154821E-3</v>
      </c>
    </row>
    <row r="773" spans="1:25" x14ac:dyDescent="0.25">
      <c r="A773" s="1083"/>
      <c r="B773" s="1455">
        <v>523</v>
      </c>
      <c r="C773" s="1087">
        <v>1.0026831848813664</v>
      </c>
      <c r="D773" s="1087">
        <v>1.0122352187972496</v>
      </c>
      <c r="E773" s="1087">
        <v>1.0288423699392475</v>
      </c>
      <c r="F773" s="1087">
        <v>0.96863885757628543</v>
      </c>
      <c r="G773" s="1087">
        <v>1.0331057962165529</v>
      </c>
      <c r="H773" s="1087">
        <v>1.0007694737657342</v>
      </c>
      <c r="I773" s="1087">
        <v>1.0372299580380018</v>
      </c>
      <c r="K773">
        <v>1.8478806866647488</v>
      </c>
      <c r="L773">
        <v>0</v>
      </c>
      <c r="M773">
        <v>3.3991565243401416E-3</v>
      </c>
      <c r="N773">
        <v>0.35241863787355143</v>
      </c>
      <c r="O773">
        <v>0.2339158952821529</v>
      </c>
      <c r="P773">
        <v>1.3410929030918619E-2</v>
      </c>
      <c r="Q773">
        <v>1.6204892871758557E-3</v>
      </c>
      <c r="R773">
        <v>3.3933097010180606E-3</v>
      </c>
      <c r="S773">
        <v>0.37569908636950811</v>
      </c>
      <c r="T773">
        <v>0.39023578743087417</v>
      </c>
      <c r="U773">
        <v>0</v>
      </c>
      <c r="V773">
        <v>0.19630215799671361</v>
      </c>
      <c r="W773">
        <v>0.22051610936790295</v>
      </c>
      <c r="X773">
        <v>5.4531970447343849E-2</v>
      </c>
      <c r="Y773">
        <v>9.2354704019288504E-3</v>
      </c>
    </row>
    <row r="774" spans="1:25" x14ac:dyDescent="0.25">
      <c r="A774" s="1083"/>
      <c r="B774" s="1455">
        <v>524</v>
      </c>
      <c r="C774" s="1087">
        <v>0.99637375278994289</v>
      </c>
      <c r="D774" s="1087">
        <v>0.97672132968900172</v>
      </c>
      <c r="E774" s="1087">
        <v>1.0073674431866115</v>
      </c>
      <c r="F774" s="1087">
        <v>1.0028003511925503</v>
      </c>
      <c r="G774" s="1087">
        <v>0.99675086216978126</v>
      </c>
      <c r="H774" s="1087">
        <v>0.98798618753251355</v>
      </c>
      <c r="I774" s="1087">
        <v>0.99460662440655889</v>
      </c>
      <c r="K774">
        <v>1.8644957537387004</v>
      </c>
      <c r="L774">
        <v>0</v>
      </c>
      <c r="M774">
        <v>3.5979390007460288E-3</v>
      </c>
      <c r="N774">
        <v>0.34939101963695551</v>
      </c>
      <c r="O774">
        <v>0.24196619498468494</v>
      </c>
      <c r="P774">
        <v>1.3345684159056605E-2</v>
      </c>
      <c r="Q774">
        <v>1.617134605619709E-3</v>
      </c>
      <c r="R774">
        <v>3.5917016994937482E-3</v>
      </c>
      <c r="S774">
        <v>0.3671983495213787</v>
      </c>
      <c r="T774">
        <v>0.40386629293700632</v>
      </c>
      <c r="U774">
        <v>0</v>
      </c>
      <c r="V774">
        <v>0.20169677865491706</v>
      </c>
      <c r="W774">
        <v>0.22153481668170377</v>
      </c>
      <c r="X774">
        <v>5.4110291836755357E-2</v>
      </c>
      <c r="Y774">
        <v>9.775428021874949E-3</v>
      </c>
    </row>
    <row r="775" spans="1:25" x14ac:dyDescent="0.25">
      <c r="A775" s="1083"/>
      <c r="B775" s="1455">
        <v>525</v>
      </c>
      <c r="C775" s="1087">
        <v>0.95061841840151562</v>
      </c>
      <c r="D775" s="1087">
        <v>1.0245374091500765</v>
      </c>
      <c r="E775" s="1087">
        <v>1.0159090408976801</v>
      </c>
      <c r="F775" s="1087">
        <v>1.0290653579253635</v>
      </c>
      <c r="G775" s="1087">
        <v>0.98350673900663699</v>
      </c>
      <c r="H775" s="1087">
        <v>0.98462106757806389</v>
      </c>
      <c r="I775" s="1087">
        <v>0.99534666346345757</v>
      </c>
      <c r="K775">
        <v>1.9080120174830619</v>
      </c>
      <c r="L775">
        <v>0</v>
      </c>
      <c r="M775">
        <v>3.5994779100501388E-3</v>
      </c>
      <c r="N775">
        <v>0.35875731423769436</v>
      </c>
      <c r="O775">
        <v>0.24618708484946458</v>
      </c>
      <c r="P775">
        <v>1.3746677245658619E-2</v>
      </c>
      <c r="Q775">
        <v>1.6779867386906018E-3</v>
      </c>
      <c r="R775">
        <v>3.5931754785587513E-3</v>
      </c>
      <c r="S775">
        <v>0.37459753253926864</v>
      </c>
      <c r="T775">
        <v>0.41449791877611897</v>
      </c>
      <c r="U775">
        <v>0</v>
      </c>
      <c r="V775">
        <v>0.20660024251393913</v>
      </c>
      <c r="W775">
        <v>0.22627332751711765</v>
      </c>
      <c r="X775">
        <v>5.5900796333938768E-2</v>
      </c>
      <c r="Y775">
        <v>9.7794391626587537E-3</v>
      </c>
    </row>
    <row r="776" spans="1:25" x14ac:dyDescent="0.25">
      <c r="A776" s="1083"/>
      <c r="B776" s="1455">
        <v>526</v>
      </c>
      <c r="C776" s="1087">
        <v>0.99037020677986209</v>
      </c>
      <c r="D776" s="1087">
        <v>0.99798257375184563</v>
      </c>
      <c r="E776" s="1087">
        <v>1.0426167231823757</v>
      </c>
      <c r="F776" s="1087">
        <v>1.0132704963281181</v>
      </c>
      <c r="G776" s="1087">
        <v>1.027350824104742</v>
      </c>
      <c r="H776" s="1087">
        <v>0.95750518711996846</v>
      </c>
      <c r="I776" s="1087">
        <v>0.9598233836169604</v>
      </c>
      <c r="K776">
        <v>1.8463017477731301</v>
      </c>
      <c r="L776">
        <v>0</v>
      </c>
      <c r="M776">
        <v>3.2255204239798056E-3</v>
      </c>
      <c r="N776">
        <v>0.34870922767419238</v>
      </c>
      <c r="O776">
        <v>0.24231163372762249</v>
      </c>
      <c r="P776">
        <v>1.3484190045793968E-2</v>
      </c>
      <c r="Q776">
        <v>1.6739175296327979E-3</v>
      </c>
      <c r="R776">
        <v>3.2197335245972374E-3</v>
      </c>
      <c r="S776">
        <v>0.34729842209690742</v>
      </c>
      <c r="T776">
        <v>0.40830321838808353</v>
      </c>
      <c r="U776">
        <v>0</v>
      </c>
      <c r="V776">
        <v>0.20231899281573271</v>
      </c>
      <c r="W776">
        <v>0.21637436477076147</v>
      </c>
      <c r="X776">
        <v>5.707051435470354E-2</v>
      </c>
      <c r="Y776">
        <v>8.7630532690825477E-3</v>
      </c>
    </row>
    <row r="777" spans="1:25" x14ac:dyDescent="0.25">
      <c r="A777" s="1083"/>
      <c r="B777" s="1455">
        <v>527</v>
      </c>
      <c r="C777" s="1087">
        <v>0.99239332949656234</v>
      </c>
      <c r="D777" s="1087">
        <v>1.0040969320435746</v>
      </c>
      <c r="E777" s="1087">
        <v>1.011304956773746</v>
      </c>
      <c r="F777" s="1087">
        <v>1.0117748630665289</v>
      </c>
      <c r="G777" s="1087">
        <v>1.0271303744506335</v>
      </c>
      <c r="H777" s="1087">
        <v>1.0189312783388755</v>
      </c>
      <c r="I777" s="1087">
        <v>1.0054872053068715</v>
      </c>
      <c r="K777">
        <v>1.8861865007950156</v>
      </c>
      <c r="L777">
        <v>0</v>
      </c>
      <c r="M777">
        <v>3.6409078749528754E-3</v>
      </c>
      <c r="N777">
        <v>0.35785136811029794</v>
      </c>
      <c r="O777">
        <v>0.24081071867884435</v>
      </c>
      <c r="P777">
        <v>1.3507808376053454E-2</v>
      </c>
      <c r="Q777">
        <v>1.6124863309712135E-3</v>
      </c>
      <c r="R777">
        <v>3.6347641729512965E-3</v>
      </c>
      <c r="S777">
        <v>0.37276326344771371</v>
      </c>
      <c r="T777">
        <v>0.40750497258804064</v>
      </c>
      <c r="U777">
        <v>0</v>
      </c>
      <c r="V777">
        <v>0.20144855989664806</v>
      </c>
      <c r="W777">
        <v>0.22634553442888683</v>
      </c>
      <c r="X777">
        <v>5.4455302760474361E-2</v>
      </c>
      <c r="Y777">
        <v>9.8926298790858389E-3</v>
      </c>
    </row>
    <row r="778" spans="1:25" x14ac:dyDescent="0.25">
      <c r="A778" s="1083"/>
      <c r="B778" s="1455">
        <v>528</v>
      </c>
      <c r="C778" s="1087">
        <v>0.9986324016620286</v>
      </c>
      <c r="D778" s="1087">
        <v>1.0225628415281818</v>
      </c>
      <c r="E778" s="1087">
        <v>0.97148520784524905</v>
      </c>
      <c r="F778" s="1087">
        <v>1.0099383922969238</v>
      </c>
      <c r="G778" s="1087">
        <v>0.98801399468904272</v>
      </c>
      <c r="H778" s="1087">
        <v>1.0234425513546399</v>
      </c>
      <c r="I778" s="1087">
        <v>1.0128191076688058</v>
      </c>
      <c r="K778">
        <v>1.8483679778637447</v>
      </c>
      <c r="L778">
        <v>0</v>
      </c>
      <c r="M778">
        <v>3.9031714084161091E-3</v>
      </c>
      <c r="N778">
        <v>0.33970683236877175</v>
      </c>
      <c r="O778">
        <v>0.23742872575416499</v>
      </c>
      <c r="P778">
        <v>1.3028832077746275E-2</v>
      </c>
      <c r="Q778">
        <v>1.5243973912740685E-3</v>
      </c>
      <c r="R778">
        <v>3.8965968188968366E-3</v>
      </c>
      <c r="S778">
        <v>0.36973868086459633</v>
      </c>
      <c r="T778">
        <v>0.4065231507748216</v>
      </c>
      <c r="U778">
        <v>0</v>
      </c>
      <c r="V778">
        <v>0.19940132118936427</v>
      </c>
      <c r="W778">
        <v>0.2203178426756649</v>
      </c>
      <c r="X778">
        <v>5.0099517328619253E-2</v>
      </c>
      <c r="Y778">
        <v>1.0605252028241065E-2</v>
      </c>
    </row>
    <row r="779" spans="1:25" x14ac:dyDescent="0.25">
      <c r="A779" s="1083"/>
      <c r="B779" s="1455">
        <v>529</v>
      </c>
      <c r="C779" s="1087">
        <v>1.0016876970681468</v>
      </c>
      <c r="D779" s="1087">
        <v>0.98363030568633758</v>
      </c>
      <c r="E779" s="1087">
        <v>1.0079807562332166</v>
      </c>
      <c r="F779" s="1087">
        <v>1.001155034951456</v>
      </c>
      <c r="G779" s="1087">
        <v>1.0054265773017212</v>
      </c>
      <c r="H779" s="1087">
        <v>0.99423690448365543</v>
      </c>
      <c r="I779" s="1087">
        <v>0.9958170605037836</v>
      </c>
      <c r="K779">
        <v>1.8577546611101199</v>
      </c>
      <c r="L779">
        <v>0</v>
      </c>
      <c r="M779">
        <v>3.5833360638268374E-3</v>
      </c>
      <c r="N779">
        <v>0.34862769077518335</v>
      </c>
      <c r="O779">
        <v>0.24043243603791872</v>
      </c>
      <c r="P779">
        <v>1.3303277386027086E-2</v>
      </c>
      <c r="Q779">
        <v>1.6050712681793058E-3</v>
      </c>
      <c r="R779">
        <v>3.5771570855249448E-3</v>
      </c>
      <c r="S779">
        <v>0.36541296669085505</v>
      </c>
      <c r="T779">
        <v>0.40320740143969475</v>
      </c>
      <c r="U779">
        <v>0</v>
      </c>
      <c r="V779">
        <v>0.20061003757258136</v>
      </c>
      <c r="W779">
        <v>0.22096661439196352</v>
      </c>
      <c r="X779">
        <v>5.3859502148734743E-2</v>
      </c>
      <c r="Y779">
        <v>9.7358423772825782E-3</v>
      </c>
    </row>
    <row r="780" spans="1:25" x14ac:dyDescent="0.25">
      <c r="A780" s="1083"/>
      <c r="B780" s="1455">
        <v>530</v>
      </c>
      <c r="C780" s="1087">
        <v>0.97922723955156976</v>
      </c>
      <c r="D780" s="1087">
        <v>0.97110013205475687</v>
      </c>
      <c r="E780" s="1087">
        <v>1.0132311070935729</v>
      </c>
      <c r="F780" s="1087">
        <v>1.0112150350795506</v>
      </c>
      <c r="G780" s="1087">
        <v>1.0392597253169484</v>
      </c>
      <c r="H780" s="1087">
        <v>1.0311468321692259</v>
      </c>
      <c r="I780" s="1087">
        <v>1.0024657075908934</v>
      </c>
      <c r="K780">
        <v>1.936267014175143</v>
      </c>
      <c r="L780">
        <v>0</v>
      </c>
      <c r="M780">
        <v>3.7869431916506139E-3</v>
      </c>
      <c r="N780">
        <v>0.37440732797166504</v>
      </c>
      <c r="O780">
        <v>0.24576092256273296</v>
      </c>
      <c r="P780">
        <v>1.3750718287196716E-2</v>
      </c>
      <c r="Q780">
        <v>1.6595364250097215E-3</v>
      </c>
      <c r="R780">
        <v>3.780657967700335E-3</v>
      </c>
      <c r="S780">
        <v>0.38600123028199895</v>
      </c>
      <c r="T780">
        <v>0.40729139883311122</v>
      </c>
      <c r="U780">
        <v>0</v>
      </c>
      <c r="V780">
        <v>0.20465836027646697</v>
      </c>
      <c r="W780">
        <v>0.2365351615286925</v>
      </c>
      <c r="X780">
        <v>5.5918938537701808E-2</v>
      </c>
      <c r="Y780">
        <v>1.028970469451621E-2</v>
      </c>
    </row>
    <row r="781" spans="1:25" x14ac:dyDescent="0.25">
      <c r="A781" s="1083"/>
      <c r="B781" s="1455">
        <v>531</v>
      </c>
      <c r="C781" s="1087">
        <v>0.99939877348635231</v>
      </c>
      <c r="D781" s="1087">
        <v>1.0140601579386612</v>
      </c>
      <c r="E781" s="1087">
        <v>1.0332614201535482</v>
      </c>
      <c r="F781" s="1087">
        <v>0.99571283326809146</v>
      </c>
      <c r="G781" s="1087">
        <v>1.0122361943094662</v>
      </c>
      <c r="H781" s="1087">
        <v>1.0357165287478836</v>
      </c>
      <c r="I781" s="1087">
        <v>1.0274669845548325</v>
      </c>
      <c r="K781">
        <v>1.8941765863752631</v>
      </c>
      <c r="L781">
        <v>0</v>
      </c>
      <c r="M781">
        <v>3.4942297062877338E-3</v>
      </c>
      <c r="N781">
        <v>0.36720427015303431</v>
      </c>
      <c r="O781">
        <v>0.23740499426731734</v>
      </c>
      <c r="P781">
        <v>1.3697296655535538E-2</v>
      </c>
      <c r="Q781">
        <v>1.6321901995274743E-3</v>
      </c>
      <c r="R781">
        <v>3.4884208915484968E-3</v>
      </c>
      <c r="S781">
        <v>0.37954792964230322</v>
      </c>
      <c r="T781">
        <v>0.40117032580485201</v>
      </c>
      <c r="U781">
        <v>0</v>
      </c>
      <c r="V781">
        <v>0.1989221171107777</v>
      </c>
      <c r="W781">
        <v>0.22914881628848982</v>
      </c>
      <c r="X781">
        <v>5.5960123359006464E-2</v>
      </c>
      <c r="Y781">
        <v>9.494331709157167E-3</v>
      </c>
    </row>
    <row r="782" spans="1:25" x14ac:dyDescent="0.25">
      <c r="A782" s="1083"/>
      <c r="B782" s="1455">
        <v>532</v>
      </c>
      <c r="C782" s="1087">
        <v>0.9898220331842853</v>
      </c>
      <c r="D782" s="1087">
        <v>1.0070434424854411</v>
      </c>
      <c r="E782" s="1087">
        <v>0.99342097553431485</v>
      </c>
      <c r="F782" s="1087">
        <v>0.99791243195160595</v>
      </c>
      <c r="G782" s="1087">
        <v>0.98056769904929308</v>
      </c>
      <c r="H782" s="1087">
        <v>1.0225817492633873</v>
      </c>
      <c r="I782" s="1087">
        <v>1.0194451961181676</v>
      </c>
      <c r="K782">
        <v>1.8764298590416126</v>
      </c>
      <c r="L782">
        <v>0</v>
      </c>
      <c r="M782">
        <v>3.7939991476021342E-3</v>
      </c>
      <c r="N782">
        <v>0.35309729502626774</v>
      </c>
      <c r="O782">
        <v>0.23894150590656923</v>
      </c>
      <c r="P782">
        <v>1.3317663825196805E-2</v>
      </c>
      <c r="Q782">
        <v>1.5843369586486797E-3</v>
      </c>
      <c r="R782">
        <v>3.7876173773962905E-3</v>
      </c>
      <c r="S782">
        <v>0.37877387719033728</v>
      </c>
      <c r="T782">
        <v>0.40181338905752995</v>
      </c>
      <c r="U782">
        <v>0</v>
      </c>
      <c r="V782">
        <v>0.2002715790787192</v>
      </c>
      <c r="W782">
        <v>0.22584371788378632</v>
      </c>
      <c r="X782">
        <v>5.2484229971220937E-2</v>
      </c>
      <c r="Y782">
        <v>1.030864591353981E-2</v>
      </c>
    </row>
    <row r="783" spans="1:25" x14ac:dyDescent="0.25">
      <c r="A783" s="1083"/>
      <c r="B783" s="1455">
        <v>533</v>
      </c>
      <c r="C783" s="1087">
        <v>0.96947463170330317</v>
      </c>
      <c r="D783" s="1087">
        <v>1.0134596615228249</v>
      </c>
      <c r="E783" s="1087">
        <v>0.99879295459472928</v>
      </c>
      <c r="F783" s="1087">
        <v>0.9977537299459438</v>
      </c>
      <c r="G783" s="1087">
        <v>1.0145753955679888</v>
      </c>
      <c r="H783" s="1087">
        <v>0.99783379580767229</v>
      </c>
      <c r="I783" s="1087">
        <v>0.98240255900402873</v>
      </c>
      <c r="K783">
        <v>1.8671619697575734</v>
      </c>
      <c r="L783">
        <v>0</v>
      </c>
      <c r="M783">
        <v>3.7258628500220869E-3</v>
      </c>
      <c r="N783">
        <v>0.3524738554367392</v>
      </c>
      <c r="O783">
        <v>0.24088687625361344</v>
      </c>
      <c r="P783">
        <v>1.3235507785678849E-2</v>
      </c>
      <c r="Q783">
        <v>1.6227661473927693E-3</v>
      </c>
      <c r="R783">
        <v>3.7194346531797375E-3</v>
      </c>
      <c r="S783">
        <v>0.36691529420384628</v>
      </c>
      <c r="T783">
        <v>0.40178187355259193</v>
      </c>
      <c r="U783">
        <v>0</v>
      </c>
      <c r="V783">
        <v>0.202202317960712</v>
      </c>
      <c r="W783">
        <v>0.22468730273249846</v>
      </c>
      <c r="X783">
        <v>5.3239528866690221E-2</v>
      </c>
      <c r="Y783">
        <v>1.0123075014651352E-2</v>
      </c>
    </row>
    <row r="784" spans="1:25" x14ac:dyDescent="0.25">
      <c r="A784" s="1083"/>
      <c r="B784" s="1455">
        <v>534</v>
      </c>
      <c r="C784" s="1087">
        <v>1.0072400771489276</v>
      </c>
      <c r="D784" s="1087">
        <v>0.99791817203871569</v>
      </c>
      <c r="E784" s="1087">
        <v>1.0325147322779493</v>
      </c>
      <c r="F784" s="1087">
        <v>1.0270658351549173</v>
      </c>
      <c r="G784" s="1087">
        <v>1.0062050131871476</v>
      </c>
      <c r="H784" s="1087">
        <v>1.0002765155263298</v>
      </c>
      <c r="I784" s="1087">
        <v>0.9688693275104272</v>
      </c>
      <c r="K784">
        <v>1.8658060101092278</v>
      </c>
      <c r="L784">
        <v>0</v>
      </c>
      <c r="M784">
        <v>3.382421611118062E-3</v>
      </c>
      <c r="N784">
        <v>0.35462778683067114</v>
      </c>
      <c r="O784">
        <v>0.24169221283855374</v>
      </c>
      <c r="P784">
        <v>1.3519649273548335E-2</v>
      </c>
      <c r="Q784">
        <v>1.628637189391331E-3</v>
      </c>
      <c r="R784">
        <v>3.3766119936912897E-3</v>
      </c>
      <c r="S784">
        <v>0.35205914205306171</v>
      </c>
      <c r="T784">
        <v>0.41379762218379956</v>
      </c>
      <c r="U784">
        <v>0</v>
      </c>
      <c r="V784">
        <v>0.20160504915006777</v>
      </c>
      <c r="W784">
        <v>0.22140139050226207</v>
      </c>
      <c r="X784">
        <v>5.6290304958314948E-2</v>
      </c>
      <c r="Y784">
        <v>9.190024746983121E-3</v>
      </c>
    </row>
    <row r="785" spans="1:25" x14ac:dyDescent="0.25">
      <c r="A785" s="1083"/>
      <c r="B785" s="1455">
        <v>535</v>
      </c>
      <c r="C785" s="1087">
        <v>1.0310219188146565</v>
      </c>
      <c r="D785" s="1087">
        <v>0.97751953597299324</v>
      </c>
      <c r="E785" s="1087">
        <v>0.99789113867076162</v>
      </c>
      <c r="F785" s="1087">
        <v>1.0126453328006815</v>
      </c>
      <c r="G785" s="1087">
        <v>1.0212661339139637</v>
      </c>
      <c r="H785" s="1087">
        <v>0.9751321939345583</v>
      </c>
      <c r="I785" s="1087">
        <v>0.99063106977990012</v>
      </c>
      <c r="K785">
        <v>1.8129493071018787</v>
      </c>
      <c r="L785">
        <v>0</v>
      </c>
      <c r="M785">
        <v>3.4972050468366823E-3</v>
      </c>
      <c r="N785">
        <v>0.32992262829003927</v>
      </c>
      <c r="O785">
        <v>0.23875469978240527</v>
      </c>
      <c r="P785">
        <v>1.3043402876775885E-2</v>
      </c>
      <c r="Q785">
        <v>1.5466042683674587E-3</v>
      </c>
      <c r="R785">
        <v>3.4910613318510559E-3</v>
      </c>
      <c r="S785">
        <v>0.35089495924130326</v>
      </c>
      <c r="T785">
        <v>0.40777299290912078</v>
      </c>
      <c r="U785">
        <v>0</v>
      </c>
      <c r="V785">
        <v>0.19878674883020625</v>
      </c>
      <c r="W785">
        <v>0.21043052789056421</v>
      </c>
      <c r="X785">
        <v>5.2301368610839644E-2</v>
      </c>
      <c r="Y785">
        <v>9.5015181172398207E-3</v>
      </c>
    </row>
    <row r="786" spans="1:25" x14ac:dyDescent="0.25">
      <c r="A786" s="1083"/>
      <c r="B786" s="1455">
        <v>536</v>
      </c>
      <c r="C786" s="1087">
        <v>1.023779578850345</v>
      </c>
      <c r="D786" s="1087">
        <v>1.0071714071713074</v>
      </c>
      <c r="E786" s="1087">
        <v>1.0061197344226069</v>
      </c>
      <c r="F786" s="1087">
        <v>0.99106433941040162</v>
      </c>
      <c r="G786" s="1087">
        <v>1.0025820284498292</v>
      </c>
      <c r="H786" s="1087">
        <v>1.0117053341113542</v>
      </c>
      <c r="I786" s="1087">
        <v>0.9752030697362396</v>
      </c>
      <c r="K786">
        <v>1.8135869850221824</v>
      </c>
      <c r="L786">
        <v>0</v>
      </c>
      <c r="M786">
        <v>3.5354038790106307E-3</v>
      </c>
      <c r="N786">
        <v>0.34202558498812397</v>
      </c>
      <c r="O786">
        <v>0.23424955859186983</v>
      </c>
      <c r="P786">
        <v>1.2936771354135635E-2</v>
      </c>
      <c r="Q786">
        <v>1.5525782616152332E-3</v>
      </c>
      <c r="R786">
        <v>3.5293922934017709E-3</v>
      </c>
      <c r="S786">
        <v>0.34853819280520776</v>
      </c>
      <c r="T786">
        <v>0.39913222103517559</v>
      </c>
      <c r="U786">
        <v>0</v>
      </c>
      <c r="V786">
        <v>0.19615943559763094</v>
      </c>
      <c r="W786">
        <v>0.21703296778283163</v>
      </c>
      <c r="X786">
        <v>5.2359843832416833E-2</v>
      </c>
      <c r="Y786">
        <v>9.6058423587827863E-3</v>
      </c>
    </row>
    <row r="787" spans="1:25" x14ac:dyDescent="0.25">
      <c r="A787" s="1083"/>
      <c r="B787" s="1455">
        <v>537</v>
      </c>
      <c r="C787" s="1087">
        <v>1.0350018593882222</v>
      </c>
      <c r="D787" s="1087">
        <v>0.99647409281377508</v>
      </c>
      <c r="E787" s="1087">
        <v>0.97796750125795062</v>
      </c>
      <c r="F787" s="1087">
        <v>0.9833857948575756</v>
      </c>
      <c r="G787" s="1087">
        <v>1.0314216975926851</v>
      </c>
      <c r="H787" s="1087">
        <v>0.98898076043643846</v>
      </c>
      <c r="I787" s="1087">
        <v>0.96535036797430018</v>
      </c>
      <c r="K787">
        <v>1.7678338773761582</v>
      </c>
      <c r="L787">
        <v>0</v>
      </c>
      <c r="M787">
        <v>3.6418444585602787E-3</v>
      </c>
      <c r="N787">
        <v>0.32329002837484222</v>
      </c>
      <c r="O787">
        <v>0.23271414018616096</v>
      </c>
      <c r="P787">
        <v>1.2477591293544588E-2</v>
      </c>
      <c r="Q787">
        <v>1.4965517532895239E-3</v>
      </c>
      <c r="R787">
        <v>3.6355190689202634E-3</v>
      </c>
      <c r="S787">
        <v>0.33914688366024687</v>
      </c>
      <c r="T787">
        <v>0.39587304704292076</v>
      </c>
      <c r="U787">
        <v>0</v>
      </c>
      <c r="V787">
        <v>0.19475744681986049</v>
      </c>
      <c r="W787">
        <v>0.20880688677903728</v>
      </c>
      <c r="X787">
        <v>4.9382942398834291E-2</v>
      </c>
      <c r="Y787">
        <v>9.8946844570619759E-3</v>
      </c>
    </row>
    <row r="788" spans="1:25" x14ac:dyDescent="0.25">
      <c r="A788" s="1083"/>
      <c r="B788" s="1455">
        <v>538</v>
      </c>
      <c r="C788" s="1087">
        <v>1.0211363370229802</v>
      </c>
      <c r="D788" s="1087">
        <v>1.0108202594107096</v>
      </c>
      <c r="E788" s="1087">
        <v>1.0156527216448874</v>
      </c>
      <c r="F788" s="1087">
        <v>1.0382877291346155</v>
      </c>
      <c r="G788" s="1087">
        <v>0.99941611694736188</v>
      </c>
      <c r="H788" s="1087">
        <v>0.96189782459593565</v>
      </c>
      <c r="I788" s="1087">
        <v>1.0410164830104085</v>
      </c>
      <c r="K788">
        <v>1.8348555224042309</v>
      </c>
      <c r="L788">
        <v>0</v>
      </c>
      <c r="M788">
        <v>3.2971210399026243E-3</v>
      </c>
      <c r="N788">
        <v>0.32835210419153221</v>
      </c>
      <c r="O788">
        <v>0.23968098794316856</v>
      </c>
      <c r="P788">
        <v>1.3549777833504258E-2</v>
      </c>
      <c r="Q788">
        <v>1.5701274815414436E-3</v>
      </c>
      <c r="R788">
        <v>3.2912190230845236E-3</v>
      </c>
      <c r="S788">
        <v>0.3631590926558641</v>
      </c>
      <c r="T788">
        <v>0.41821097332741375</v>
      </c>
      <c r="U788">
        <v>0</v>
      </c>
      <c r="V788">
        <v>0.20025103314862155</v>
      </c>
      <c r="W788">
        <v>0.2071291094583135</v>
      </c>
      <c r="X788">
        <v>5.4000605150310105E-2</v>
      </c>
      <c r="Y788">
        <v>8.9576132307767013E-3</v>
      </c>
    </row>
    <row r="789" spans="1:25" x14ac:dyDescent="0.25">
      <c r="A789" s="1083"/>
      <c r="B789" s="1455">
        <v>539</v>
      </c>
      <c r="C789" s="1087">
        <v>0.99838999657395033</v>
      </c>
      <c r="D789" s="1087">
        <v>0.99922352816826787</v>
      </c>
      <c r="E789" s="1087">
        <v>0.98988807226065056</v>
      </c>
      <c r="F789" s="1087">
        <v>0.9629228292681079</v>
      </c>
      <c r="G789" s="1087">
        <v>0.98236026916034236</v>
      </c>
      <c r="H789" s="1087">
        <v>1.0080575099269222</v>
      </c>
      <c r="I789" s="1087">
        <v>0.98134868926581709</v>
      </c>
      <c r="K789">
        <v>1.8214258327181125</v>
      </c>
      <c r="L789">
        <v>0</v>
      </c>
      <c r="M789">
        <v>3.7500119761895764E-3</v>
      </c>
      <c r="N789">
        <v>0.34525091134848046</v>
      </c>
      <c r="O789">
        <v>0.23442648977758693</v>
      </c>
      <c r="P789">
        <v>1.2793933069726617E-2</v>
      </c>
      <c r="Q789">
        <v>1.5697000027805094E-3</v>
      </c>
      <c r="R789">
        <v>3.74361924177993E-3</v>
      </c>
      <c r="S789">
        <v>0.36039255150099625</v>
      </c>
      <c r="T789">
        <v>0.38770419726049632</v>
      </c>
      <c r="U789">
        <v>0</v>
      </c>
      <c r="V789">
        <v>0.19669260625875401</v>
      </c>
      <c r="W789">
        <v>0.22131618688819052</v>
      </c>
      <c r="X789">
        <v>5.1096751853138E-2</v>
      </c>
      <c r="Y789">
        <v>1.0188897492373587E-2</v>
      </c>
    </row>
    <row r="790" spans="1:25" x14ac:dyDescent="0.25">
      <c r="A790" s="1083"/>
      <c r="B790" s="1455">
        <v>540</v>
      </c>
      <c r="C790" s="1087">
        <v>1.0119813038907495</v>
      </c>
      <c r="D790" s="1087">
        <v>1.0006166734911008</v>
      </c>
      <c r="E790" s="1087">
        <v>0.97845231184026449</v>
      </c>
      <c r="F790" s="1087">
        <v>1.0091980623479824</v>
      </c>
      <c r="G790" s="1087">
        <v>1.0281532565827944</v>
      </c>
      <c r="H790" s="1087">
        <v>1.010231759871943</v>
      </c>
      <c r="I790" s="1087">
        <v>0.99777188162568187</v>
      </c>
      <c r="K790">
        <v>1.8352882595519353</v>
      </c>
      <c r="L790">
        <v>0</v>
      </c>
      <c r="M790">
        <v>3.7925942700672778E-3</v>
      </c>
      <c r="N790">
        <v>0.33718352811147173</v>
      </c>
      <c r="O790">
        <v>0.23799727209766239</v>
      </c>
      <c r="P790">
        <v>1.2980240402236481E-2</v>
      </c>
      <c r="Q790">
        <v>1.5288560573257911E-3</v>
      </c>
      <c r="R790">
        <v>3.7861420965849811E-3</v>
      </c>
      <c r="S790">
        <v>0.36149692251877424</v>
      </c>
      <c r="T790">
        <v>0.40626698459254285</v>
      </c>
      <c r="U790">
        <v>0</v>
      </c>
      <c r="V790">
        <v>0.19911094987127226</v>
      </c>
      <c r="W790">
        <v>0.21771338140777752</v>
      </c>
      <c r="X790">
        <v>5.0711945980854344E-2</v>
      </c>
      <c r="Y790">
        <v>1.0304630685497616E-2</v>
      </c>
    </row>
    <row r="791" spans="1:25" x14ac:dyDescent="0.25">
      <c r="A791" s="1083"/>
      <c r="B791" s="1455">
        <v>541</v>
      </c>
      <c r="C791" s="1087">
        <v>1.0273639248889814</v>
      </c>
      <c r="D791" s="1087">
        <v>1.0041011119527952</v>
      </c>
      <c r="E791" s="1087">
        <v>1.0076190848473525</v>
      </c>
      <c r="F791" s="1087">
        <v>1.0356217997806552</v>
      </c>
      <c r="G791" s="1087">
        <v>0.98262992670035232</v>
      </c>
      <c r="H791" s="1087">
        <v>1.0067390236431031</v>
      </c>
      <c r="I791" s="1087">
        <v>0.96603806393211633</v>
      </c>
      <c r="K791">
        <v>1.8330610229783024</v>
      </c>
      <c r="L791">
        <v>0</v>
      </c>
      <c r="M791">
        <v>3.4995119290392317E-3</v>
      </c>
      <c r="N791">
        <v>0.3401023072279451</v>
      </c>
      <c r="O791">
        <v>0.23919983064116035</v>
      </c>
      <c r="P791">
        <v>1.3180210458079432E-2</v>
      </c>
      <c r="Q791">
        <v>1.5515201868695518E-3</v>
      </c>
      <c r="R791">
        <v>3.4935323836620602E-3</v>
      </c>
      <c r="S791">
        <v>0.34374756829212816</v>
      </c>
      <c r="T791">
        <v>0.4170863408058948</v>
      </c>
      <c r="U791">
        <v>0</v>
      </c>
      <c r="V791">
        <v>0.19969156974046767</v>
      </c>
      <c r="W791">
        <v>0.21561150395315556</v>
      </c>
      <c r="X791">
        <v>5.3387907712290843E-2</v>
      </c>
      <c r="Y791">
        <v>9.5082435056873648E-3</v>
      </c>
    </row>
    <row r="792" spans="1:25" x14ac:dyDescent="0.25">
      <c r="A792" s="1083"/>
      <c r="B792" s="1455">
        <v>542</v>
      </c>
      <c r="C792" s="1087">
        <v>1.0374273039888953</v>
      </c>
      <c r="D792" s="1087">
        <v>0.99697043770549298</v>
      </c>
      <c r="E792" s="1087">
        <v>1.0063102247912121</v>
      </c>
      <c r="F792" s="1087">
        <v>1.0282936363137796</v>
      </c>
      <c r="G792" s="1087">
        <v>1.0355410263303872</v>
      </c>
      <c r="H792" s="1087">
        <v>0.95967959102909506</v>
      </c>
      <c r="I792" s="1087">
        <v>0.98693523297542396</v>
      </c>
      <c r="K792">
        <v>1.7938285509304912</v>
      </c>
      <c r="L792">
        <v>0</v>
      </c>
      <c r="M792">
        <v>3.3253163738819606E-3</v>
      </c>
      <c r="N792">
        <v>0.32185897701357163</v>
      </c>
      <c r="O792">
        <v>0.23789447092095192</v>
      </c>
      <c r="P792">
        <v>1.3071970917531012E-2</v>
      </c>
      <c r="Q792">
        <v>1.5387164755280038E-3</v>
      </c>
      <c r="R792">
        <v>3.3193619893397775E-3</v>
      </c>
      <c r="S792">
        <v>0.34101034577675776</v>
      </c>
      <c r="T792">
        <v>0.41412680091675375</v>
      </c>
      <c r="U792">
        <v>0</v>
      </c>
      <c r="V792">
        <v>0.19842440975948514</v>
      </c>
      <c r="W792">
        <v>0.20421201536686548</v>
      </c>
      <c r="X792">
        <v>5.2662589059990876E-2</v>
      </c>
      <c r="Y792">
        <v>9.0342091075971687E-3</v>
      </c>
    </row>
    <row r="793" spans="1:25" x14ac:dyDescent="0.25">
      <c r="A793" s="1083"/>
      <c r="B793" s="1455">
        <v>543</v>
      </c>
      <c r="C793" s="1087">
        <v>0.99581171287658643</v>
      </c>
      <c r="D793" s="1087">
        <v>0.99250277288221489</v>
      </c>
      <c r="E793" s="1087">
        <v>0.99189220293512637</v>
      </c>
      <c r="F793" s="1087">
        <v>0.97054799001192327</v>
      </c>
      <c r="G793" s="1087">
        <v>0.9847517168154154</v>
      </c>
      <c r="H793" s="1087">
        <v>1.0458760314848927</v>
      </c>
      <c r="I793" s="1087">
        <v>1.0352178151739775</v>
      </c>
      <c r="K793">
        <v>1.8847958654095931</v>
      </c>
      <c r="L793">
        <v>0</v>
      </c>
      <c r="M793">
        <v>3.8990398539744532E-3</v>
      </c>
      <c r="N793">
        <v>0.36119793243721959</v>
      </c>
      <c r="O793">
        <v>0.23633407800738951</v>
      </c>
      <c r="P793">
        <v>1.3271129674555026E-2</v>
      </c>
      <c r="Q793">
        <v>1.5814077450728866E-3</v>
      </c>
      <c r="R793">
        <v>3.8926394972842982E-3</v>
      </c>
      <c r="S793">
        <v>0.38976990023403957</v>
      </c>
      <c r="T793">
        <v>0.39078604511247095</v>
      </c>
      <c r="U793">
        <v>0</v>
      </c>
      <c r="V793">
        <v>0.19799506858151691</v>
      </c>
      <c r="W793">
        <v>0.23124695496161604</v>
      </c>
      <c r="X793">
        <v>5.2025267509059024E-2</v>
      </c>
      <c r="Y793">
        <v>1.0594481503342449E-2</v>
      </c>
    </row>
    <row r="794" spans="1:25" x14ac:dyDescent="0.25">
      <c r="A794" s="1083"/>
      <c r="B794" s="1455">
        <v>544</v>
      </c>
      <c r="C794" s="1087">
        <v>0.99737137720136626</v>
      </c>
      <c r="D794" s="1087">
        <v>0.96857161082453203</v>
      </c>
      <c r="E794" s="1087">
        <v>0.98552167865070528</v>
      </c>
      <c r="F794" s="1087">
        <v>1.0064463177565008</v>
      </c>
      <c r="G794" s="1087">
        <v>0.95500511157245616</v>
      </c>
      <c r="H794" s="1087">
        <v>0.97324611315679299</v>
      </c>
      <c r="I794" s="1087">
        <v>0.98825326670026059</v>
      </c>
      <c r="K794">
        <v>1.8454638549065856</v>
      </c>
      <c r="L794">
        <v>0</v>
      </c>
      <c r="M794">
        <v>3.7192327721354075E-3</v>
      </c>
      <c r="N794">
        <v>0.33786277199150977</v>
      </c>
      <c r="O794">
        <v>0.24279551205530336</v>
      </c>
      <c r="P794">
        <v>1.3101132850210483E-2</v>
      </c>
      <c r="Q794">
        <v>1.5835755482516433E-3</v>
      </c>
      <c r="R794">
        <v>3.7126952410033933E-3</v>
      </c>
      <c r="S794">
        <v>0.36324406435593204</v>
      </c>
      <c r="T794">
        <v>0.40520178322419576</v>
      </c>
      <c r="U794">
        <v>0</v>
      </c>
      <c r="V794">
        <v>0.20222027553130095</v>
      </c>
      <c r="W794">
        <v>0.21717736687052897</v>
      </c>
      <c r="X794">
        <v>5.2179177454129658E-2</v>
      </c>
      <c r="Y794">
        <v>1.0104732556353966E-2</v>
      </c>
    </row>
    <row r="795" spans="1:25" x14ac:dyDescent="0.25">
      <c r="A795" s="1083"/>
      <c r="B795" s="1455">
        <v>545</v>
      </c>
      <c r="C795" s="1087">
        <v>0.95834302948943995</v>
      </c>
      <c r="D795" s="1087">
        <v>0.99314509270472118</v>
      </c>
      <c r="E795" s="1087">
        <v>1.0322746393772901</v>
      </c>
      <c r="F795" s="1087">
        <v>0.97964869370696728</v>
      </c>
      <c r="G795" s="1087">
        <v>0.97658320443205593</v>
      </c>
      <c r="H795" s="1087">
        <v>0.97920560683010982</v>
      </c>
      <c r="I795" s="1087">
        <v>1.0356069534448966</v>
      </c>
      <c r="K795">
        <v>1.9085504538411184</v>
      </c>
      <c r="L795">
        <v>0</v>
      </c>
      <c r="M795">
        <v>3.4901327349534713E-3</v>
      </c>
      <c r="N795">
        <v>0.36564007281195054</v>
      </c>
      <c r="O795">
        <v>0.24255172545064535</v>
      </c>
      <c r="P795">
        <v>1.3835073699252506E-2</v>
      </c>
      <c r="Q795">
        <v>1.7145887794175585E-3</v>
      </c>
      <c r="R795">
        <v>3.484011954723064E-3</v>
      </c>
      <c r="S795">
        <v>0.39236893432902759</v>
      </c>
      <c r="T795">
        <v>0.39469213107679441</v>
      </c>
      <c r="U795">
        <v>0</v>
      </c>
      <c r="V795">
        <v>0.20313804063315358</v>
      </c>
      <c r="W795">
        <v>0.2283100124165372</v>
      </c>
      <c r="X795">
        <v>5.6823663388043934E-2</v>
      </c>
      <c r="Y795">
        <v>9.4823320365239726E-3</v>
      </c>
    </row>
    <row r="796" spans="1:25" x14ac:dyDescent="0.25">
      <c r="A796" s="1083"/>
      <c r="B796" s="1455">
        <v>546</v>
      </c>
      <c r="C796" s="1087">
        <v>1.0094523111961369</v>
      </c>
      <c r="D796" s="1087">
        <v>1.0028269884990555</v>
      </c>
      <c r="E796" s="1087">
        <v>0.99372024805782944</v>
      </c>
      <c r="F796" s="1087">
        <v>0.9926288097159045</v>
      </c>
      <c r="G796" s="1087">
        <v>0.99319455340723106</v>
      </c>
      <c r="H796" s="1087">
        <v>1.0208054794941837</v>
      </c>
      <c r="I796" s="1087">
        <v>0.99796997095167295</v>
      </c>
      <c r="K796">
        <v>1.8427621003256309</v>
      </c>
      <c r="L796">
        <v>0</v>
      </c>
      <c r="M796">
        <v>3.7197287461657245E-3</v>
      </c>
      <c r="N796">
        <v>0.34650090796437</v>
      </c>
      <c r="O796">
        <v>0.23637293941042442</v>
      </c>
      <c r="P796">
        <v>1.3060898918981925E-2</v>
      </c>
      <c r="Q796">
        <v>1.5566346643782251E-3</v>
      </c>
      <c r="R796">
        <v>3.7134643999097738E-3</v>
      </c>
      <c r="S796">
        <v>0.36410551512290196</v>
      </c>
      <c r="T796">
        <v>0.3996877093757189</v>
      </c>
      <c r="U796">
        <v>0</v>
      </c>
      <c r="V796">
        <v>0.19794020883194094</v>
      </c>
      <c r="W796">
        <v>0.22158297927608539</v>
      </c>
      <c r="X796">
        <v>5.1853745153741221E-2</v>
      </c>
      <c r="Y796">
        <v>1.010682595334397E-2</v>
      </c>
    </row>
    <row r="797" spans="1:25" x14ac:dyDescent="0.25">
      <c r="A797" s="1083"/>
      <c r="B797" s="1455">
        <v>547</v>
      </c>
      <c r="C797" s="1087">
        <v>0.97336841785898121</v>
      </c>
      <c r="D797" s="1087">
        <v>0.96858192853229585</v>
      </c>
      <c r="E797" s="1087">
        <v>1.0114278034825361</v>
      </c>
      <c r="F797" s="1087">
        <v>1.0045345035078799</v>
      </c>
      <c r="G797" s="1087">
        <v>0.98944089255087053</v>
      </c>
      <c r="H797" s="1087">
        <v>1.0131218734814609</v>
      </c>
      <c r="I797" s="1087">
        <v>1.0079883207400271</v>
      </c>
      <c r="K797">
        <v>1.9280024341186728</v>
      </c>
      <c r="L797">
        <v>0</v>
      </c>
      <c r="M797">
        <v>3.7618910012994214E-3</v>
      </c>
      <c r="N797">
        <v>0.36988036269532537</v>
      </c>
      <c r="O797">
        <v>0.24591084716504077</v>
      </c>
      <c r="P797">
        <v>1.3719128559395045E-2</v>
      </c>
      <c r="Q797">
        <v>1.6680722454207181E-3</v>
      </c>
      <c r="R797">
        <v>3.7555379390101207E-3</v>
      </c>
      <c r="S797">
        <v>0.38753970877071647</v>
      </c>
      <c r="T797">
        <v>0.40458958100335712</v>
      </c>
      <c r="U797">
        <v>0</v>
      </c>
      <c r="V797">
        <v>0.2048532046359913</v>
      </c>
      <c r="W797">
        <v>0.2339362219045264</v>
      </c>
      <c r="X797">
        <v>5.5690323943953166E-2</v>
      </c>
      <c r="Y797">
        <v>1.0221336257236676E-2</v>
      </c>
    </row>
    <row r="798" spans="1:25" x14ac:dyDescent="0.25">
      <c r="A798" s="1083"/>
      <c r="B798" s="1455">
        <v>548</v>
      </c>
      <c r="C798" s="1087">
        <v>1.0005504133137253</v>
      </c>
      <c r="D798" s="1087">
        <v>0.99995659862757325</v>
      </c>
      <c r="E798" s="1087">
        <v>0.99016760800021952</v>
      </c>
      <c r="F798" s="1087">
        <v>0.98550697714162017</v>
      </c>
      <c r="G798" s="1087">
        <v>0.97680429539935831</v>
      </c>
      <c r="H798" s="1087">
        <v>0.97542253613880758</v>
      </c>
      <c r="I798" s="1087">
        <v>0.98399098642001148</v>
      </c>
      <c r="K798">
        <v>1.8092536281824267</v>
      </c>
      <c r="L798">
        <v>0</v>
      </c>
      <c r="M798">
        <v>3.6177175234001903E-3</v>
      </c>
      <c r="N798">
        <v>0.33333643185919809</v>
      </c>
      <c r="O798">
        <v>0.2368228081211044</v>
      </c>
      <c r="P798">
        <v>1.2864987148681627E-2</v>
      </c>
      <c r="Q798">
        <v>1.5663201535421974E-3</v>
      </c>
      <c r="R798">
        <v>3.6113441029725296E-3</v>
      </c>
      <c r="S798">
        <v>0.35464138220305996</v>
      </c>
      <c r="T798">
        <v>0.3967989704952693</v>
      </c>
      <c r="U798">
        <v>0</v>
      </c>
      <c r="V798">
        <v>0.19839810391466989</v>
      </c>
      <c r="W798">
        <v>0.2136410490794971</v>
      </c>
      <c r="X798">
        <v>5.136106045880505E-2</v>
      </c>
      <c r="Y798">
        <v>9.8288881690276296E-3</v>
      </c>
    </row>
    <row r="799" spans="1:25" x14ac:dyDescent="0.25">
      <c r="A799" s="1083"/>
      <c r="B799" s="1455">
        <v>549</v>
      </c>
      <c r="C799" s="1087">
        <v>0.99984591580733639</v>
      </c>
      <c r="D799" s="1087">
        <v>1.0272764825887029</v>
      </c>
      <c r="E799" s="1087">
        <v>1.0187230305281965</v>
      </c>
      <c r="F799" s="1087">
        <v>0.95323419776077722</v>
      </c>
      <c r="G799" s="1087">
        <v>1.0102605029860141</v>
      </c>
      <c r="H799" s="1087">
        <v>0.99480513138344406</v>
      </c>
      <c r="I799" s="1087">
        <v>0.99688148936474286</v>
      </c>
      <c r="K799">
        <v>1.8062644062125564</v>
      </c>
      <c r="L799">
        <v>0</v>
      </c>
      <c r="M799">
        <v>3.4321586784200344E-3</v>
      </c>
      <c r="N799">
        <v>0.34503309386435466</v>
      </c>
      <c r="O799">
        <v>0.23085141641171342</v>
      </c>
      <c r="P799">
        <v>1.2954968995256189E-2</v>
      </c>
      <c r="Q799">
        <v>1.5984112385376476E-3</v>
      </c>
      <c r="R799">
        <v>3.4262073911416517E-3</v>
      </c>
      <c r="S799">
        <v>0.3579930909735719</v>
      </c>
      <c r="T799">
        <v>0.38397028654930937</v>
      </c>
      <c r="U799">
        <v>0</v>
      </c>
      <c r="V799">
        <v>0.1944499211458085</v>
      </c>
      <c r="W799">
        <v>0.21723991153965677</v>
      </c>
      <c r="X799">
        <v>5.2854249711898303E-2</v>
      </c>
      <c r="Y799">
        <v>9.3250070697246321E-3</v>
      </c>
    </row>
    <row r="800" spans="1:25" x14ac:dyDescent="0.25">
      <c r="A800" s="1083"/>
      <c r="B800" s="1455">
        <v>550</v>
      </c>
      <c r="C800" s="1087">
        <v>1.0190044470373707</v>
      </c>
      <c r="D800" s="1087">
        <v>0.97437048342072841</v>
      </c>
      <c r="E800" s="1087">
        <v>1.0097898127657643</v>
      </c>
      <c r="F800" s="1087">
        <v>1.0216816805061024</v>
      </c>
      <c r="G800" s="1087">
        <v>0.97374644957212964</v>
      </c>
      <c r="H800" s="1087">
        <v>1.0034375049915272</v>
      </c>
      <c r="I800" s="1087">
        <v>0.97658759333050726</v>
      </c>
      <c r="K800">
        <v>1.857585342024348</v>
      </c>
      <c r="L800">
        <v>0</v>
      </c>
      <c r="M800">
        <v>3.5599628079026062E-3</v>
      </c>
      <c r="N800">
        <v>0.34827612026461191</v>
      </c>
      <c r="O800">
        <v>0.24173201430598773</v>
      </c>
      <c r="P800">
        <v>1.3308244233537447E-2</v>
      </c>
      <c r="Q800">
        <v>1.5868177346204874E-3</v>
      </c>
      <c r="R800">
        <v>3.5538883613237642E-3</v>
      </c>
      <c r="S800">
        <v>0.35576079690104934</v>
      </c>
      <c r="T800">
        <v>0.41148561766888053</v>
      </c>
      <c r="U800">
        <v>0</v>
      </c>
      <c r="V800">
        <v>0.20105157260289616</v>
      </c>
      <c r="W800">
        <v>0.220496066617518</v>
      </c>
      <c r="X800">
        <v>5.4221653561281696E-2</v>
      </c>
      <c r="Y800">
        <v>9.6725125805398344E-3</v>
      </c>
    </row>
    <row r="801" spans="1:25" x14ac:dyDescent="0.25">
      <c r="A801" s="1083"/>
      <c r="B801" s="1455">
        <v>551</v>
      </c>
      <c r="C801" s="1087">
        <v>1.0269969487032127</v>
      </c>
      <c r="D801" s="1087">
        <v>1.0048440195696013</v>
      </c>
      <c r="E801" s="1087">
        <v>0.98827946596194716</v>
      </c>
      <c r="F801" s="1087">
        <v>1.000554260379465</v>
      </c>
      <c r="G801" s="1087">
        <v>0.96605030372694056</v>
      </c>
      <c r="H801" s="1087">
        <v>1.0145493087860666</v>
      </c>
      <c r="I801" s="1087">
        <v>1.0362842234457397</v>
      </c>
      <c r="K801">
        <v>1.8319882464795179</v>
      </c>
      <c r="L801">
        <v>0</v>
      </c>
      <c r="M801">
        <v>3.6699110391053683E-3</v>
      </c>
      <c r="N801">
        <v>0.33622362878105866</v>
      </c>
      <c r="O801">
        <v>0.23494022465751158</v>
      </c>
      <c r="P801">
        <v>1.3112330688048617E-2</v>
      </c>
      <c r="Q801">
        <v>1.5199338484015001E-3</v>
      </c>
      <c r="R801">
        <v>3.6636899002047535E-3</v>
      </c>
      <c r="S801">
        <v>0.36998291524037891</v>
      </c>
      <c r="T801">
        <v>0.40284616510776367</v>
      </c>
      <c r="U801">
        <v>0</v>
      </c>
      <c r="V801">
        <v>0.19664741828330645</v>
      </c>
      <c r="W801">
        <v>0.21574795442565994</v>
      </c>
      <c r="X801">
        <v>5.1002540412981245E-2</v>
      </c>
      <c r="Y801">
        <v>9.9713561733063196E-3</v>
      </c>
    </row>
    <row r="802" spans="1:25" x14ac:dyDescent="0.25">
      <c r="A802" s="1083"/>
      <c r="B802" s="1455">
        <v>552</v>
      </c>
      <c r="C802" s="1087">
        <v>1.0121048381870081</v>
      </c>
      <c r="D802" s="1087">
        <v>1.0128889129978504</v>
      </c>
      <c r="E802" s="1087">
        <v>0.96194325573102446</v>
      </c>
      <c r="F802" s="1087">
        <v>1.0067208167308861</v>
      </c>
      <c r="G802" s="1087">
        <v>0.96773404023213294</v>
      </c>
      <c r="H802" s="1087">
        <v>0.9888410744745646</v>
      </c>
      <c r="I802" s="1087">
        <v>0.98112688942487458</v>
      </c>
      <c r="K802">
        <v>1.7945595611422165</v>
      </c>
      <c r="L802">
        <v>0</v>
      </c>
      <c r="M802">
        <v>3.8133194720090138E-3</v>
      </c>
      <c r="N802">
        <v>0.32232064707548669</v>
      </c>
      <c r="O802">
        <v>0.23624471159051638</v>
      </c>
      <c r="P802">
        <v>1.2625590128553578E-2</v>
      </c>
      <c r="Q802">
        <v>1.4942968145988534E-3</v>
      </c>
      <c r="R802">
        <v>3.8066800284760421E-3</v>
      </c>
      <c r="S802">
        <v>0.34911303309215919</v>
      </c>
      <c r="T802">
        <v>0.40517120388235417</v>
      </c>
      <c r="U802">
        <v>0</v>
      </c>
      <c r="V802">
        <v>0.1981413797894199</v>
      </c>
      <c r="W802">
        <v>0.21032393837886126</v>
      </c>
      <c r="X802">
        <v>4.8770871668020639E-2</v>
      </c>
      <c r="Y802">
        <v>1.0360528165777655E-2</v>
      </c>
    </row>
    <row r="803" spans="1:25" x14ac:dyDescent="0.25">
      <c r="A803" s="1083"/>
      <c r="B803" s="1455">
        <v>553</v>
      </c>
      <c r="C803" s="1087">
        <v>0.98424076918516445</v>
      </c>
      <c r="D803" s="1087">
        <v>1.013178560481536</v>
      </c>
      <c r="E803" s="1087">
        <v>0.9820156280263268</v>
      </c>
      <c r="F803" s="1087">
        <v>0.99637014049048567</v>
      </c>
      <c r="G803" s="1087">
        <v>1.0038774604319065</v>
      </c>
      <c r="H803" s="1087">
        <v>1.0065085055549881</v>
      </c>
      <c r="I803" s="1087">
        <v>1.0165492481975262</v>
      </c>
      <c r="K803">
        <v>1.8582507923565781</v>
      </c>
      <c r="L803">
        <v>0</v>
      </c>
      <c r="M803">
        <v>3.8314700651595861E-3</v>
      </c>
      <c r="N803">
        <v>0.34436645725931675</v>
      </c>
      <c r="O803">
        <v>0.23868183274867447</v>
      </c>
      <c r="P803">
        <v>1.315078627882451E-2</v>
      </c>
      <c r="Q803">
        <v>1.5701329416805542E-3</v>
      </c>
      <c r="R803">
        <v>3.8249168523713209E-3</v>
      </c>
      <c r="S803">
        <v>0.3754451928848857</v>
      </c>
      <c r="T803">
        <v>0.4011241292526414</v>
      </c>
      <c r="U803">
        <v>0</v>
      </c>
      <c r="V803">
        <v>0.20036150656687773</v>
      </c>
      <c r="W803">
        <v>0.22184935291885291</v>
      </c>
      <c r="X803">
        <v>5.1297791928957635E-2</v>
      </c>
      <c r="Y803">
        <v>1.041016278865322E-2</v>
      </c>
    </row>
    <row r="804" spans="1:25" x14ac:dyDescent="0.25">
      <c r="A804" s="1083"/>
      <c r="B804" s="1455">
        <v>554</v>
      </c>
      <c r="C804" s="1087">
        <v>0.97291070439410787</v>
      </c>
      <c r="D804" s="1087">
        <v>1.0076221619871129</v>
      </c>
      <c r="E804" s="1087">
        <v>1.0107515450073166</v>
      </c>
      <c r="F804" s="1087">
        <v>0.99380801148321174</v>
      </c>
      <c r="G804" s="1087">
        <v>1.0333630398006204</v>
      </c>
      <c r="H804" s="1087">
        <v>1.0221425019814341</v>
      </c>
      <c r="I804" s="1087">
        <v>0.96796288991596602</v>
      </c>
      <c r="K804">
        <v>1.8846864204061846</v>
      </c>
      <c r="L804">
        <v>0</v>
      </c>
      <c r="M804">
        <v>3.7226475543122683E-3</v>
      </c>
      <c r="N804">
        <v>0.36526998320316256</v>
      </c>
      <c r="O804">
        <v>0.24073143878830028</v>
      </c>
      <c r="P804">
        <v>1.3313869481562978E-2</v>
      </c>
      <c r="Q804">
        <v>1.6415095643368567E-3</v>
      </c>
      <c r="R804">
        <v>3.7163825028393264E-3</v>
      </c>
      <c r="S804">
        <v>0.36589782747012156</v>
      </c>
      <c r="T804">
        <v>0.40026524012441289</v>
      </c>
      <c r="U804">
        <v>0</v>
      </c>
      <c r="V804">
        <v>0.20185367349607566</v>
      </c>
      <c r="W804">
        <v>0.23111714638644176</v>
      </c>
      <c r="X804">
        <v>5.4487228875677335E-2</v>
      </c>
      <c r="Y804">
        <v>1.011476806756584E-2</v>
      </c>
    </row>
    <row r="805" spans="1:25" x14ac:dyDescent="0.25">
      <c r="A805" s="1083"/>
      <c r="B805" s="1455">
        <v>555</v>
      </c>
      <c r="C805" s="1087">
        <v>0.99621075237686374</v>
      </c>
      <c r="D805" s="1087">
        <v>1.0195204485297078</v>
      </c>
      <c r="E805" s="1087">
        <v>1.0128637910314486</v>
      </c>
      <c r="F805" s="1087">
        <v>0.96573376541869815</v>
      </c>
      <c r="G805" s="1087">
        <v>0.99656613893377233</v>
      </c>
      <c r="H805" s="1087">
        <v>1.0485003610705614</v>
      </c>
      <c r="I805" s="1087">
        <v>0.9961837652558414</v>
      </c>
      <c r="K805">
        <v>1.8615039000538887</v>
      </c>
      <c r="L805">
        <v>0</v>
      </c>
      <c r="M805">
        <v>3.6896135587418137E-3</v>
      </c>
      <c r="N805">
        <v>0.36438221206632981</v>
      </c>
      <c r="O805">
        <v>0.23341482142976858</v>
      </c>
      <c r="P805">
        <v>1.3160463058332452E-2</v>
      </c>
      <c r="Q805">
        <v>1.599180316105732E-3</v>
      </c>
      <c r="R805">
        <v>3.683550005172339E-3</v>
      </c>
      <c r="S805">
        <v>0.37013117942648288</v>
      </c>
      <c r="T805">
        <v>0.38897054443639928</v>
      </c>
      <c r="U805">
        <v>0</v>
      </c>
      <c r="V805">
        <v>0.19627011778475673</v>
      </c>
      <c r="W805">
        <v>0.23025402907369999</v>
      </c>
      <c r="X805">
        <v>5.330200718343607E-2</v>
      </c>
      <c r="Y805">
        <v>1.0025408832146247E-2</v>
      </c>
    </row>
    <row r="806" spans="1:25" x14ac:dyDescent="0.25">
      <c r="A806" s="1083"/>
      <c r="B806" s="1455">
        <v>556</v>
      </c>
      <c r="C806" s="1087">
        <v>1.0177523005832509</v>
      </c>
      <c r="D806" s="1087">
        <v>1.0076491491844812</v>
      </c>
      <c r="E806" s="1087">
        <v>0.97892887776986603</v>
      </c>
      <c r="F806" s="1087">
        <v>1.0160975605687652</v>
      </c>
      <c r="G806" s="1087">
        <v>0.9773377480098292</v>
      </c>
      <c r="H806" s="1087">
        <v>1.003509584796171</v>
      </c>
      <c r="I806" s="1087">
        <v>1.0147979063555439</v>
      </c>
      <c r="K806">
        <v>1.8294875896095375</v>
      </c>
      <c r="L806">
        <v>0</v>
      </c>
      <c r="M806">
        <v>3.7277486060258128E-3</v>
      </c>
      <c r="N806">
        <v>0.33189704787875174</v>
      </c>
      <c r="O806">
        <v>0.23739582114755409</v>
      </c>
      <c r="P806">
        <v>1.3036288612818541E-2</v>
      </c>
      <c r="Q806">
        <v>1.5167127717673858E-3</v>
      </c>
      <c r="R806">
        <v>3.7213571786722799E-3</v>
      </c>
      <c r="S806">
        <v>0.36293921180052341</v>
      </c>
      <c r="T806">
        <v>0.40904736444869</v>
      </c>
      <c r="U806">
        <v>0</v>
      </c>
      <c r="V806">
        <v>0.19871188704029183</v>
      </c>
      <c r="W806">
        <v>0.21423515973921112</v>
      </c>
      <c r="X806">
        <v>5.0586180102002325E-2</v>
      </c>
      <c r="Y806">
        <v>1.0128307495281692E-2</v>
      </c>
    </row>
    <row r="807" spans="1:25" x14ac:dyDescent="0.25">
      <c r="A807" s="1083"/>
      <c r="B807" s="1455">
        <v>557</v>
      </c>
      <c r="C807" s="1087">
        <v>1.0023971330584165</v>
      </c>
      <c r="D807" s="1087">
        <v>0.99231940684692399</v>
      </c>
      <c r="E807" s="1087">
        <v>1.0281398414615355</v>
      </c>
      <c r="F807" s="1087">
        <v>1.0172605032012008</v>
      </c>
      <c r="G807" s="1087">
        <v>1.0027931214391383</v>
      </c>
      <c r="H807" s="1087">
        <v>1.0264213912476374</v>
      </c>
      <c r="I807" s="1087">
        <v>0.99920712546776935</v>
      </c>
      <c r="K807">
        <v>1.8987375713786465</v>
      </c>
      <c r="L807">
        <v>0</v>
      </c>
      <c r="M807">
        <v>3.5301413107480962E-3</v>
      </c>
      <c r="N807">
        <v>0.36523416943504089</v>
      </c>
      <c r="O807">
        <v>0.24165721368814774</v>
      </c>
      <c r="P807">
        <v>1.3680512360704134E-2</v>
      </c>
      <c r="Q807">
        <v>1.6326823095097996E-3</v>
      </c>
      <c r="R807">
        <v>3.5242376321296493E-3</v>
      </c>
      <c r="S807">
        <v>0.37069426899963692</v>
      </c>
      <c r="T807">
        <v>0.40981958594346113</v>
      </c>
      <c r="U807">
        <v>0</v>
      </c>
      <c r="V807">
        <v>0.20156982954764718</v>
      </c>
      <c r="W807">
        <v>0.22863328790364648</v>
      </c>
      <c r="X807">
        <v>5.6230111799434615E-2</v>
      </c>
      <c r="Y807">
        <v>9.5918130700337039E-3</v>
      </c>
    </row>
    <row r="808" spans="1:25" x14ac:dyDescent="0.25">
      <c r="A808" s="1083"/>
      <c r="B808" s="1455">
        <v>558</v>
      </c>
      <c r="C808" s="1087">
        <v>1.0369149617266589</v>
      </c>
      <c r="D808" s="1087">
        <v>1.0035985481773979</v>
      </c>
      <c r="E808" s="1087">
        <v>0.9845598136191811</v>
      </c>
      <c r="F808" s="1087">
        <v>1.0021508745958823</v>
      </c>
      <c r="G808" s="1087">
        <v>1.0263380008012153</v>
      </c>
      <c r="H808" s="1087">
        <v>1.0207903631269659</v>
      </c>
      <c r="I808" s="1087">
        <v>0.99998235313010431</v>
      </c>
      <c r="K808">
        <v>1.8118136597760561</v>
      </c>
      <c r="L808">
        <v>0</v>
      </c>
      <c r="M808">
        <v>3.6871676534401955E-3</v>
      </c>
      <c r="N808">
        <v>0.33399154940231307</v>
      </c>
      <c r="O808">
        <v>0.23403653101324517</v>
      </c>
      <c r="P808">
        <v>1.2868983510163662E-2</v>
      </c>
      <c r="Q808">
        <v>1.5001429413944133E-3</v>
      </c>
      <c r="R808">
        <v>3.6809559790829012E-3</v>
      </c>
      <c r="S808">
        <v>0.35488113296361889</v>
      </c>
      <c r="T808">
        <v>0.40346663212714046</v>
      </c>
      <c r="U808">
        <v>0</v>
      </c>
      <c r="V808">
        <v>0.19581283276322761</v>
      </c>
      <c r="W808">
        <v>0.21481948372039683</v>
      </c>
      <c r="X808">
        <v>5.0424234260661852E-2</v>
      </c>
      <c r="Y808">
        <v>1.0018348748251268E-2</v>
      </c>
    </row>
    <row r="809" spans="1:25" x14ac:dyDescent="0.25">
      <c r="A809" s="1083"/>
      <c r="B809" s="1455">
        <v>559</v>
      </c>
      <c r="C809" s="1087">
        <v>1.0424198145245149</v>
      </c>
      <c r="D809" s="1087">
        <v>1.0072735238460937</v>
      </c>
      <c r="E809" s="1087">
        <v>0.96912280125626959</v>
      </c>
      <c r="F809" s="1087">
        <v>1.0192918458010314</v>
      </c>
      <c r="G809" s="1087">
        <v>0.99456635496163037</v>
      </c>
      <c r="H809" s="1087">
        <v>1.0208324033007872</v>
      </c>
      <c r="I809" s="1087">
        <v>0.9915888624435869</v>
      </c>
      <c r="K809">
        <v>1.8024041343623403</v>
      </c>
      <c r="L809">
        <v>0</v>
      </c>
      <c r="M809">
        <v>3.7765343542918574E-3</v>
      </c>
      <c r="N809">
        <v>0.32631847228518329</v>
      </c>
      <c r="O809">
        <v>0.23472499148203932</v>
      </c>
      <c r="P809">
        <v>1.2740343610258996E-2</v>
      </c>
      <c r="Q809">
        <v>1.4654398173647866E-3</v>
      </c>
      <c r="R809">
        <v>3.7701673167766111E-3</v>
      </c>
      <c r="S809">
        <v>0.34912582122535257</v>
      </c>
      <c r="T809">
        <v>0.4102738515366644</v>
      </c>
      <c r="U809">
        <v>0</v>
      </c>
      <c r="V809">
        <v>0.19639069295560305</v>
      </c>
      <c r="W809">
        <v>0.2119544969104909</v>
      </c>
      <c r="X809">
        <v>4.9155238975952559E-2</v>
      </c>
      <c r="Y809">
        <v>1.0261152600943979E-2</v>
      </c>
    </row>
    <row r="810" spans="1:25" x14ac:dyDescent="0.25">
      <c r="A810" s="1083"/>
      <c r="B810" s="1455">
        <v>560</v>
      </c>
      <c r="C810" s="1087">
        <v>1.009562368702297</v>
      </c>
      <c r="D810" s="1087">
        <v>1.0023696158920254</v>
      </c>
      <c r="E810" s="1087">
        <v>0.98102343305180428</v>
      </c>
      <c r="F810" s="1087">
        <v>0.96048472155767939</v>
      </c>
      <c r="G810" s="1087">
        <v>1.0158561922745288</v>
      </c>
      <c r="H810" s="1087">
        <v>1.0254434203204643</v>
      </c>
      <c r="I810" s="1087">
        <v>1.0405531954024894</v>
      </c>
      <c r="K810">
        <v>1.8346770612077596</v>
      </c>
      <c r="L810">
        <v>0</v>
      </c>
      <c r="M810">
        <v>3.8349756248054431E-3</v>
      </c>
      <c r="N810">
        <v>0.34364971198055266</v>
      </c>
      <c r="O810">
        <v>0.23240319472236495</v>
      </c>
      <c r="P810">
        <v>1.2942284438461325E-2</v>
      </c>
      <c r="Q810">
        <v>1.5356925604330734E-3</v>
      </c>
      <c r="R810">
        <v>3.8285463120063404E-3</v>
      </c>
      <c r="S810">
        <v>0.38039583567033342</v>
      </c>
      <c r="T810">
        <v>0.38667148383999778</v>
      </c>
      <c r="U810">
        <v>0</v>
      </c>
      <c r="V810">
        <v>0.19509581316721761</v>
      </c>
      <c r="W810">
        <v>0.22152682546851107</v>
      </c>
      <c r="X810">
        <v>5.0042607691355906E-2</v>
      </c>
      <c r="Y810">
        <v>1.0420040981328696E-2</v>
      </c>
    </row>
    <row r="811" spans="1:25" x14ac:dyDescent="0.25">
      <c r="A811" s="1083"/>
      <c r="B811" s="1455">
        <v>561</v>
      </c>
      <c r="C811" s="1087">
        <v>0.99094298248918278</v>
      </c>
      <c r="D811" s="1087">
        <v>1.0149229540938525</v>
      </c>
      <c r="E811" s="1087">
        <v>0.99876577550096801</v>
      </c>
      <c r="F811" s="1087">
        <v>0.97933719005451236</v>
      </c>
      <c r="G811" s="1087">
        <v>0.97936323352686216</v>
      </c>
      <c r="H811" s="1087">
        <v>1.0379944317198784</v>
      </c>
      <c r="I811" s="1087">
        <v>1.0065354433566649</v>
      </c>
      <c r="K811">
        <v>1.8677029867586734</v>
      </c>
      <c r="L811">
        <v>0</v>
      </c>
      <c r="M811">
        <v>3.7889394890386211E-3</v>
      </c>
      <c r="N811">
        <v>0.35843511565921327</v>
      </c>
      <c r="O811">
        <v>0.23590827900485126</v>
      </c>
      <c r="P811">
        <v>1.3186929632412114E-2</v>
      </c>
      <c r="Q811">
        <v>1.5866476520845711E-3</v>
      </c>
      <c r="R811">
        <v>3.7826538353844916E-3</v>
      </c>
      <c r="S811">
        <v>0.37482301469881329</v>
      </c>
      <c r="T811">
        <v>0.39436562196885827</v>
      </c>
      <c r="U811">
        <v>0</v>
      </c>
      <c r="V811">
        <v>0.19816554635259695</v>
      </c>
      <c r="W811">
        <v>0.22849123994900816</v>
      </c>
      <c r="X811">
        <v>5.2451740706072114E-2</v>
      </c>
      <c r="Y811">
        <v>1.0295136788414875E-2</v>
      </c>
    </row>
    <row r="812" spans="1:25" x14ac:dyDescent="0.25">
      <c r="A812" s="1083"/>
      <c r="B812" s="1455">
        <v>562</v>
      </c>
      <c r="C812" s="1087">
        <v>0.99429613323093646</v>
      </c>
      <c r="D812" s="1087">
        <v>0.97804683873985576</v>
      </c>
      <c r="E812" s="1087">
        <v>0.95856302980823083</v>
      </c>
      <c r="F812" s="1087">
        <v>0.98595079944034569</v>
      </c>
      <c r="G812" s="1087">
        <v>1.0052605348970574</v>
      </c>
      <c r="H812" s="1087">
        <v>0.96217516195487496</v>
      </c>
      <c r="I812" s="1087">
        <v>0.99521600304427427</v>
      </c>
      <c r="K812">
        <v>1.8088443544338055</v>
      </c>
      <c r="L812">
        <v>0</v>
      </c>
      <c r="M812">
        <v>3.8755969169724574E-3</v>
      </c>
      <c r="N812">
        <v>0.32420029205311657</v>
      </c>
      <c r="O812">
        <v>0.23933530774888725</v>
      </c>
      <c r="P812">
        <v>1.2685780425992995E-2</v>
      </c>
      <c r="Q812">
        <v>1.5368467373173221E-3</v>
      </c>
      <c r="R812">
        <v>3.8686960125912735E-3</v>
      </c>
      <c r="S812">
        <v>0.36259714925173103</v>
      </c>
      <c r="T812">
        <v>0.39679236254747663</v>
      </c>
      <c r="U812">
        <v>0</v>
      </c>
      <c r="V812">
        <v>0.20007715764226289</v>
      </c>
      <c r="W812">
        <v>0.21201139252772652</v>
      </c>
      <c r="X812">
        <v>4.9085651172697739E-2</v>
      </c>
      <c r="Y812">
        <v>1.0529315230975644E-2</v>
      </c>
    </row>
    <row r="813" spans="1:25" x14ac:dyDescent="0.25">
      <c r="A813" s="1083"/>
      <c r="B813" s="1455">
        <v>563</v>
      </c>
      <c r="C813" s="1087">
        <v>0.96603709148360151</v>
      </c>
      <c r="D813" s="1087">
        <v>1.0183377081987131</v>
      </c>
      <c r="E813" s="1087">
        <v>1.0280167383271961</v>
      </c>
      <c r="F813" s="1087">
        <v>0.99829335546303177</v>
      </c>
      <c r="G813" s="1087">
        <v>1.0281933234479463</v>
      </c>
      <c r="H813" s="1087">
        <v>0.99473420598543683</v>
      </c>
      <c r="I813" s="1087">
        <v>1.0436240482240797</v>
      </c>
      <c r="K813">
        <v>1.9060237987856405</v>
      </c>
      <c r="L813">
        <v>0</v>
      </c>
      <c r="M813">
        <v>3.5017410387198173E-3</v>
      </c>
      <c r="N813">
        <v>0.36213846741194444</v>
      </c>
      <c r="O813">
        <v>0.24133567647788259</v>
      </c>
      <c r="P813">
        <v>1.3854103923120913E-2</v>
      </c>
      <c r="Q813">
        <v>1.6764685627959257E-3</v>
      </c>
      <c r="R813">
        <v>3.4956767144106587E-3</v>
      </c>
      <c r="S813">
        <v>0.38989101041238194</v>
      </c>
      <c r="T813">
        <v>0.40217760931919594</v>
      </c>
      <c r="U813">
        <v>0</v>
      </c>
      <c r="V813">
        <v>0.20256275680771862</v>
      </c>
      <c r="W813">
        <v>0.22671248072922301</v>
      </c>
      <c r="X813">
        <v>5.6167209798581058E-2</v>
      </c>
      <c r="Y813">
        <v>9.514079667106606E-3</v>
      </c>
    </row>
    <row r="814" spans="1:25" x14ac:dyDescent="0.25">
      <c r="A814" s="1083"/>
      <c r="B814" s="1455">
        <v>564</v>
      </c>
      <c r="C814" s="1087">
        <v>1.0003809326690871</v>
      </c>
      <c r="D814" s="1087">
        <v>0.99695863844864141</v>
      </c>
      <c r="E814" s="1087">
        <v>1.0316493096671371</v>
      </c>
      <c r="F814" s="1087">
        <v>0.98914083430622668</v>
      </c>
      <c r="G814" s="1087">
        <v>0.99706929512794651</v>
      </c>
      <c r="H814" s="1087">
        <v>0.99331171781113259</v>
      </c>
      <c r="I814" s="1087">
        <v>0.99725068583462173</v>
      </c>
      <c r="K814">
        <v>1.8553486473303471</v>
      </c>
      <c r="L814">
        <v>0</v>
      </c>
      <c r="M814">
        <v>3.3899602470568359E-3</v>
      </c>
      <c r="N814">
        <v>0.3544787908314781</v>
      </c>
      <c r="O814">
        <v>0.23816491621398503</v>
      </c>
      <c r="P814">
        <v>1.3427148990754987E-2</v>
      </c>
      <c r="Q814">
        <v>1.6389477932656769E-3</v>
      </c>
      <c r="R814">
        <v>3.3840981252245784E-3</v>
      </c>
      <c r="S814">
        <v>0.36379329150873108</v>
      </c>
      <c r="T814">
        <v>0.39851260244213671</v>
      </c>
      <c r="U814">
        <v>0</v>
      </c>
      <c r="V814">
        <v>0.19913640756482046</v>
      </c>
      <c r="W814">
        <v>0.22142522686153793</v>
      </c>
      <c r="X814">
        <v>5.5566777716254491E-2</v>
      </c>
      <c r="Y814">
        <v>9.2103995292141406E-3</v>
      </c>
    </row>
    <row r="815" spans="1:25" x14ac:dyDescent="0.25">
      <c r="A815" s="1083"/>
      <c r="B815" s="1455">
        <v>565</v>
      </c>
      <c r="C815" s="1087">
        <v>0.99972246042452295</v>
      </c>
      <c r="D815" s="1087">
        <v>0.97114827837732198</v>
      </c>
      <c r="E815" s="1087">
        <v>1.0043991354185062</v>
      </c>
      <c r="F815" s="1087">
        <v>0.99694396871306978</v>
      </c>
      <c r="G815" s="1087">
        <v>0.9838338761645794</v>
      </c>
      <c r="H815" s="1087">
        <v>1.012030815754086</v>
      </c>
      <c r="I815" s="1087">
        <v>0.99275755812928623</v>
      </c>
      <c r="K815">
        <v>1.8770334000501567</v>
      </c>
      <c r="L815">
        <v>0</v>
      </c>
      <c r="M815">
        <v>3.7068495500113528E-3</v>
      </c>
      <c r="N815">
        <v>0.35673775401488528</v>
      </c>
      <c r="O815">
        <v>0.24137725446819308</v>
      </c>
      <c r="P815">
        <v>1.3325247935892208E-2</v>
      </c>
      <c r="Q815">
        <v>1.6103251059918055E-3</v>
      </c>
      <c r="R815">
        <v>3.7005809153322061E-3</v>
      </c>
      <c r="S815">
        <v>0.37081086488669002</v>
      </c>
      <c r="T815">
        <v>0.40148969706970894</v>
      </c>
      <c r="U815">
        <v>0</v>
      </c>
      <c r="V815">
        <v>0.2011108640260994</v>
      </c>
      <c r="W815">
        <v>0.22661113329655955</v>
      </c>
      <c r="X815">
        <v>5.3894766525450111E-2</v>
      </c>
      <c r="Y815">
        <v>1.007176135536338E-2</v>
      </c>
    </row>
    <row r="816" spans="1:25" x14ac:dyDescent="0.25">
      <c r="A816" s="1083"/>
      <c r="B816" s="1455">
        <v>566</v>
      </c>
      <c r="C816" s="1087">
        <v>0.98396172987720742</v>
      </c>
      <c r="D816" s="1087">
        <v>1.0044739427099085</v>
      </c>
      <c r="E816" s="1087">
        <v>0.96644190522187068</v>
      </c>
      <c r="F816" s="1087">
        <v>1.0154245565016926</v>
      </c>
      <c r="G816" s="1087">
        <v>1.0221811397114995</v>
      </c>
      <c r="H816" s="1087">
        <v>0.98482638068555162</v>
      </c>
      <c r="I816" s="1087">
        <v>0.96826837712142166</v>
      </c>
      <c r="K816">
        <v>1.8334341775071015</v>
      </c>
      <c r="L816">
        <v>0</v>
      </c>
      <c r="M816">
        <v>3.8889996810116704E-3</v>
      </c>
      <c r="N816">
        <v>0.33327182228940128</v>
      </c>
      <c r="O816">
        <v>0.24159314437327767</v>
      </c>
      <c r="P816">
        <v>1.2856523098407841E-2</v>
      </c>
      <c r="Q816">
        <v>1.5497240078970616E-3</v>
      </c>
      <c r="R816">
        <v>3.8822099165460562E-3</v>
      </c>
      <c r="S816">
        <v>0.35539543215063435</v>
      </c>
      <c r="T816">
        <v>0.40870112449323043</v>
      </c>
      <c r="U816">
        <v>0</v>
      </c>
      <c r="V816">
        <v>0.20239490876224836</v>
      </c>
      <c r="W816">
        <v>0.21684277972646274</v>
      </c>
      <c r="X816">
        <v>5.0269412747322106E-2</v>
      </c>
      <c r="Y816">
        <v>1.0566095622683323E-2</v>
      </c>
    </row>
    <row r="817" spans="1:25" x14ac:dyDescent="0.25">
      <c r="A817" s="1083"/>
      <c r="B817" s="1455">
        <v>567</v>
      </c>
      <c r="C817" s="1087">
        <v>1.027658611811044</v>
      </c>
      <c r="D817" s="1087">
        <v>0.9543339727527872</v>
      </c>
      <c r="E817" s="1087">
        <v>0.99560691289119918</v>
      </c>
      <c r="F817" s="1087">
        <v>1.003219135714583</v>
      </c>
      <c r="G817" s="1087">
        <v>1.0329787728188784</v>
      </c>
      <c r="H817" s="1087">
        <v>0.96926732213599709</v>
      </c>
      <c r="I817" s="1087">
        <v>1.0160943487974641</v>
      </c>
      <c r="K817">
        <v>1.830684295651978</v>
      </c>
      <c r="L817">
        <v>0</v>
      </c>
      <c r="M817">
        <v>3.5499197402505795E-3</v>
      </c>
      <c r="N817">
        <v>0.33256725757251482</v>
      </c>
      <c r="O817">
        <v>0.24040579614287577</v>
      </c>
      <c r="P817">
        <v>1.3170238104575748E-2</v>
      </c>
      <c r="Q817">
        <v>1.5628215907987743E-3</v>
      </c>
      <c r="R817">
        <v>3.543667317903398E-3</v>
      </c>
      <c r="S817">
        <v>0.36485735205086167</v>
      </c>
      <c r="T817">
        <v>0.40396338992531289</v>
      </c>
      <c r="U817">
        <v>0</v>
      </c>
      <c r="V817">
        <v>0.19959468963368768</v>
      </c>
      <c r="W817">
        <v>0.21242101972651967</v>
      </c>
      <c r="X817">
        <v>5.2503289057464868E-2</v>
      </c>
      <c r="Y817">
        <v>9.6446942697156566E-3</v>
      </c>
    </row>
    <row r="818" spans="1:25" x14ac:dyDescent="0.25">
      <c r="A818" s="1083"/>
      <c r="B818" s="1455">
        <v>568</v>
      </c>
      <c r="C818" s="1087">
        <v>0.98711862876045864</v>
      </c>
      <c r="D818" s="1087">
        <v>0.96866597469454374</v>
      </c>
      <c r="E818" s="1087">
        <v>0.99222473861963301</v>
      </c>
      <c r="F818" s="1087">
        <v>0.98578508403011633</v>
      </c>
      <c r="G818" s="1087">
        <v>0.96154287100103331</v>
      </c>
      <c r="H818" s="1087">
        <v>0.98367223844874019</v>
      </c>
      <c r="I818" s="1087">
        <v>0.9877228918762001</v>
      </c>
      <c r="K818">
        <v>1.8560186034416772</v>
      </c>
      <c r="L818">
        <v>0</v>
      </c>
      <c r="M818">
        <v>3.7454991980135658E-3</v>
      </c>
      <c r="N818">
        <v>0.34729268174596079</v>
      </c>
      <c r="O818">
        <v>0.2416052161510667</v>
      </c>
      <c r="P818">
        <v>1.3120852155203457E-2</v>
      </c>
      <c r="Q818">
        <v>1.6114964004745984E-3</v>
      </c>
      <c r="R818">
        <v>3.7389838129198447E-3</v>
      </c>
      <c r="S818">
        <v>0.36876349686550547</v>
      </c>
      <c r="T818">
        <v>0.39692315588325233</v>
      </c>
      <c r="U818">
        <v>0</v>
      </c>
      <c r="V818">
        <v>0.20154469867118247</v>
      </c>
      <c r="W818">
        <v>0.22229803399799877</v>
      </c>
      <c r="X818">
        <v>5.2689205573040833E-2</v>
      </c>
      <c r="Y818">
        <v>1.0176281383085146E-2</v>
      </c>
    </row>
    <row r="819" spans="1:25" x14ac:dyDescent="0.25">
      <c r="A819" s="1083"/>
      <c r="B819" s="1455">
        <v>569</v>
      </c>
      <c r="C819" s="1087">
        <v>1.0075767991763189</v>
      </c>
      <c r="D819" s="1087">
        <v>0.97364708791608068</v>
      </c>
      <c r="E819" s="1087">
        <v>0.97213976695141635</v>
      </c>
      <c r="F819" s="1087">
        <v>1.0077246532538751</v>
      </c>
      <c r="G819" s="1087">
        <v>1.00805314151806</v>
      </c>
      <c r="H819" s="1087">
        <v>1.0277438507958319</v>
      </c>
      <c r="I819" s="1087">
        <v>0.9899742630803593</v>
      </c>
      <c r="K819">
        <v>1.8653092665311233</v>
      </c>
      <c r="L819">
        <v>0</v>
      </c>
      <c r="M819">
        <v>3.9840535191127081E-3</v>
      </c>
      <c r="N819">
        <v>0.3474475435136819</v>
      </c>
      <c r="O819">
        <v>0.24099617987963742</v>
      </c>
      <c r="P819">
        <v>1.3031275213672559E-2</v>
      </c>
      <c r="Q819">
        <v>1.5418724273146868E-3</v>
      </c>
      <c r="R819">
        <v>3.9774171178391469E-3</v>
      </c>
      <c r="S819">
        <v>0.36884500885634619</v>
      </c>
      <c r="T819">
        <v>0.40563598577215454</v>
      </c>
      <c r="U819">
        <v>0</v>
      </c>
      <c r="V819">
        <v>0.20087656377251586</v>
      </c>
      <c r="W819">
        <v>0.22524398176948709</v>
      </c>
      <c r="X819">
        <v>5.0872273488030612E-2</v>
      </c>
      <c r="Y819">
        <v>1.0825218239557644E-2</v>
      </c>
    </row>
    <row r="820" spans="1:25" x14ac:dyDescent="0.25">
      <c r="A820" s="1083"/>
      <c r="B820" s="1455">
        <v>570</v>
      </c>
      <c r="C820" s="1087">
        <v>0.97119131616261933</v>
      </c>
      <c r="D820" s="1087">
        <v>0.99958529822596509</v>
      </c>
      <c r="E820" s="1087">
        <v>0.99431540530693496</v>
      </c>
      <c r="F820" s="1087">
        <v>1.0199213346902691</v>
      </c>
      <c r="G820" s="1087">
        <v>1.0048077880175377</v>
      </c>
      <c r="H820" s="1087">
        <v>0.99909667060834795</v>
      </c>
      <c r="I820" s="1087">
        <v>0.99330963805417305</v>
      </c>
      <c r="K820">
        <v>1.8914672590744512</v>
      </c>
      <c r="L820">
        <v>0</v>
      </c>
      <c r="M820">
        <v>3.7864414409972298E-3</v>
      </c>
      <c r="N820">
        <v>0.35334420384226745</v>
      </c>
      <c r="O820">
        <v>0.24463232310152405</v>
      </c>
      <c r="P820">
        <v>1.343285457581998E-2</v>
      </c>
      <c r="Q820">
        <v>1.6210874808976895E-3</v>
      </c>
      <c r="R820">
        <v>3.7799297915394273E-3</v>
      </c>
      <c r="S820">
        <v>0.37335581582156596</v>
      </c>
      <c r="T820">
        <v>0.41068086410406007</v>
      </c>
      <c r="U820">
        <v>0</v>
      </c>
      <c r="V820">
        <v>0.20464438914646724</v>
      </c>
      <c r="W820">
        <v>0.22587479067651048</v>
      </c>
      <c r="X820">
        <v>5.3599719135744205E-2</v>
      </c>
      <c r="Y820">
        <v>1.0287722839049426E-2</v>
      </c>
    </row>
    <row r="821" spans="1:25" x14ac:dyDescent="0.25">
      <c r="A821" s="1083"/>
      <c r="B821" s="1455">
        <v>571</v>
      </c>
      <c r="C821" s="1087">
        <v>0.98101571594198445</v>
      </c>
      <c r="D821" s="1087">
        <v>0.98579199518160321</v>
      </c>
      <c r="E821" s="1087">
        <v>1.0417795840639186</v>
      </c>
      <c r="F821" s="1087">
        <v>1.005101357518313</v>
      </c>
      <c r="G821" s="1087">
        <v>0.95551243516716677</v>
      </c>
      <c r="H821" s="1087">
        <v>1.0312441251727367</v>
      </c>
      <c r="I821" s="1087">
        <v>0.99425466664729056</v>
      </c>
      <c r="K821">
        <v>1.9329563301723103</v>
      </c>
      <c r="L821">
        <v>0</v>
      </c>
      <c r="M821">
        <v>3.5363693347735853E-3</v>
      </c>
      <c r="N821">
        <v>0.38139255293877761</v>
      </c>
      <c r="O821">
        <v>0.2437217065488054</v>
      </c>
      <c r="P821">
        <v>1.389420338600679E-2</v>
      </c>
      <c r="Q821">
        <v>1.6967256830675535E-3</v>
      </c>
      <c r="R821">
        <v>3.5304883362023498E-3</v>
      </c>
      <c r="S821">
        <v>0.37933437550408511</v>
      </c>
      <c r="T821">
        <v>0.4050061691793948</v>
      </c>
      <c r="U821">
        <v>0</v>
      </c>
      <c r="V821">
        <v>0.20329758290016742</v>
      </c>
      <c r="W821">
        <v>0.23677436260292392</v>
      </c>
      <c r="X821">
        <v>5.8235707001675137E-2</v>
      </c>
      <c r="Y821">
        <v>9.6088254259755548E-3</v>
      </c>
    </row>
    <row r="822" spans="1:25" x14ac:dyDescent="0.25">
      <c r="A822" s="1083"/>
      <c r="B822" s="1455">
        <v>572</v>
      </c>
      <c r="C822" s="1087">
        <v>0.98097005132949533</v>
      </c>
      <c r="D822" s="1087">
        <v>0.96106030316843827</v>
      </c>
      <c r="E822" s="1087">
        <v>0.9956943583339104</v>
      </c>
      <c r="F822" s="1087">
        <v>0.97169549868365024</v>
      </c>
      <c r="G822" s="1087">
        <v>0.9856844904672073</v>
      </c>
      <c r="H822" s="1087">
        <v>1.0106752781176054</v>
      </c>
      <c r="I822" s="1087">
        <v>1.0117666843600657</v>
      </c>
      <c r="K822">
        <v>1.8925143628998584</v>
      </c>
      <c r="L822">
        <v>0</v>
      </c>
      <c r="M822">
        <v>3.8602944905715242E-3</v>
      </c>
      <c r="N822">
        <v>0.36176587348732536</v>
      </c>
      <c r="O822">
        <v>0.24140560040655834</v>
      </c>
      <c r="P822">
        <v>1.3322977430758592E-2</v>
      </c>
      <c r="Q822">
        <v>1.6327623465657271E-3</v>
      </c>
      <c r="R822">
        <v>3.8537640318047016E-3</v>
      </c>
      <c r="S822">
        <v>0.38691989232196566</v>
      </c>
      <c r="T822">
        <v>0.39127037010669669</v>
      </c>
      <c r="U822">
        <v>0</v>
      </c>
      <c r="V822">
        <v>0.20138785112551322</v>
      </c>
      <c r="W822">
        <v>0.23105841482695244</v>
      </c>
      <c r="X822">
        <v>5.3268476004690708E-2</v>
      </c>
      <c r="Y822">
        <v>1.0488675301600739E-2</v>
      </c>
    </row>
    <row r="823" spans="1:25" x14ac:dyDescent="0.25">
      <c r="A823" s="1083"/>
      <c r="B823" s="1455">
        <v>573</v>
      </c>
      <c r="C823" s="1087">
        <v>0.97271936227582756</v>
      </c>
      <c r="D823" s="1087">
        <v>1.0100618668683616</v>
      </c>
      <c r="E823" s="1087">
        <v>0.97348465087000302</v>
      </c>
      <c r="F823" s="1087">
        <v>0.97504990174975958</v>
      </c>
      <c r="G823" s="1087">
        <v>1.0131830545659937</v>
      </c>
      <c r="H823" s="1087">
        <v>0.96328801472441072</v>
      </c>
      <c r="I823" s="1087">
        <v>1.0164465481688976</v>
      </c>
      <c r="K823">
        <v>1.8227516719686658</v>
      </c>
      <c r="L823">
        <v>0</v>
      </c>
      <c r="M823">
        <v>3.7812416332572941E-3</v>
      </c>
      <c r="N823">
        <v>0.3310792082968948</v>
      </c>
      <c r="O823">
        <v>0.2377086982465797</v>
      </c>
      <c r="P823">
        <v>1.2900881356854303E-2</v>
      </c>
      <c r="Q823">
        <v>1.5761287681279608E-3</v>
      </c>
      <c r="R823">
        <v>3.7744861705536195E-3</v>
      </c>
      <c r="S823">
        <v>0.37223360658434412</v>
      </c>
      <c r="T823">
        <v>0.39249131836343615</v>
      </c>
      <c r="U823">
        <v>0</v>
      </c>
      <c r="V823">
        <v>0.19987910332445377</v>
      </c>
      <c r="W823">
        <v>0.21444866661709619</v>
      </c>
      <c r="X823">
        <v>5.0167908776367343E-2</v>
      </c>
      <c r="Y823">
        <v>1.0272907097215234E-2</v>
      </c>
    </row>
    <row r="824" spans="1:25" x14ac:dyDescent="0.25">
      <c r="A824" s="1083"/>
      <c r="B824" s="1455">
        <v>574</v>
      </c>
      <c r="C824" s="1087">
        <v>1.0024168374332023</v>
      </c>
      <c r="D824" s="1087">
        <v>0.98211384358465315</v>
      </c>
      <c r="E824" s="1087">
        <v>1.0046491426083304</v>
      </c>
      <c r="F824" s="1087">
        <v>0.96165645300614344</v>
      </c>
      <c r="G824" s="1087">
        <v>0.9674537637392262</v>
      </c>
      <c r="H824" s="1087">
        <v>1.0083836272231648</v>
      </c>
      <c r="I824" s="1087">
        <v>0.97313455447793751</v>
      </c>
      <c r="K824">
        <v>1.8329482791759197</v>
      </c>
      <c r="L824">
        <v>0</v>
      </c>
      <c r="M824">
        <v>3.6586694796315543E-3</v>
      </c>
      <c r="N824">
        <v>0.3523664494099924</v>
      </c>
      <c r="O824">
        <v>0.23565345605997007</v>
      </c>
      <c r="P824">
        <v>1.2924700973315231E-2</v>
      </c>
      <c r="Q824">
        <v>1.5992250056852185E-3</v>
      </c>
      <c r="R824">
        <v>3.6524488937873362E-3</v>
      </c>
      <c r="S824">
        <v>0.35956924253516886</v>
      </c>
      <c r="T824">
        <v>0.38728015523379578</v>
      </c>
      <c r="U824">
        <v>0</v>
      </c>
      <c r="V824">
        <v>0.19712628323400666</v>
      </c>
      <c r="W824">
        <v>0.22379949824617476</v>
      </c>
      <c r="X824">
        <v>5.2694727204218757E-2</v>
      </c>
      <c r="Y824">
        <v>9.9407618594348837E-3</v>
      </c>
    </row>
    <row r="825" spans="1:25" x14ac:dyDescent="0.25">
      <c r="A825" s="1083"/>
      <c r="B825" s="1455">
        <v>575</v>
      </c>
      <c r="C825" s="1087">
        <v>1.0271471114813253</v>
      </c>
      <c r="D825" s="1087">
        <v>0.98520608839736745</v>
      </c>
      <c r="E825" s="1087">
        <v>1.0090225431517696</v>
      </c>
      <c r="F825" s="1087">
        <v>1.0093960811349096</v>
      </c>
      <c r="G825" s="1087">
        <v>0.98681913769086482</v>
      </c>
      <c r="H825" s="1087">
        <v>0.99280320612832362</v>
      </c>
      <c r="I825" s="1087">
        <v>0.97140746759405672</v>
      </c>
      <c r="K825">
        <v>1.8223219181046764</v>
      </c>
      <c r="L825">
        <v>0</v>
      </c>
      <c r="M825">
        <v>3.4787288761563271E-3</v>
      </c>
      <c r="N825">
        <v>0.33952633282375538</v>
      </c>
      <c r="O825">
        <v>0.2382099865971915</v>
      </c>
      <c r="P825">
        <v>1.3078884082495048E-2</v>
      </c>
      <c r="Q825">
        <v>1.5660150685490623E-3</v>
      </c>
      <c r="R825">
        <v>3.4727197465138819E-3</v>
      </c>
      <c r="S825">
        <v>0.34706049000015154</v>
      </c>
      <c r="T825">
        <v>0.40653282867691792</v>
      </c>
      <c r="U825">
        <v>0</v>
      </c>
      <c r="V825">
        <v>0.19855693113433809</v>
      </c>
      <c r="W825">
        <v>0.21505886485534592</v>
      </c>
      <c r="X825">
        <v>5.328599562731863E-2</v>
      </c>
      <c r="Y825">
        <v>9.4515983682540126E-3</v>
      </c>
    </row>
    <row r="826" spans="1:25" x14ac:dyDescent="0.25">
      <c r="A826" s="1083"/>
      <c r="B826" s="1455">
        <v>576</v>
      </c>
      <c r="C826" s="1087">
        <v>1.0239742071130946</v>
      </c>
      <c r="D826" s="1087">
        <v>0.96661881159688601</v>
      </c>
      <c r="E826" s="1087">
        <v>0.98031424043670246</v>
      </c>
      <c r="F826" s="1087">
        <v>1.010183511458512</v>
      </c>
      <c r="G826" s="1087">
        <v>1.0005930999526909</v>
      </c>
      <c r="H826" s="1087">
        <v>1.0400577119196956</v>
      </c>
      <c r="I826" s="1087">
        <v>1.0067722072226877</v>
      </c>
      <c r="K826">
        <v>1.8725205755583585</v>
      </c>
      <c r="L826">
        <v>0</v>
      </c>
      <c r="M826">
        <v>3.9169514383262842E-3</v>
      </c>
      <c r="N826">
        <v>0.35024689740323828</v>
      </c>
      <c r="O826">
        <v>0.24016984314788795</v>
      </c>
      <c r="P826">
        <v>1.3166883064242576E-2</v>
      </c>
      <c r="Q826">
        <v>1.535062197399683E-3</v>
      </c>
      <c r="R826">
        <v>3.9105105488997207E-3</v>
      </c>
      <c r="S826">
        <v>0.37291396030465868</v>
      </c>
      <c r="T826">
        <v>0.40667491859584587</v>
      </c>
      <c r="U826">
        <v>0</v>
      </c>
      <c r="V826">
        <v>0.19980151946634395</v>
      </c>
      <c r="W826">
        <v>0.2258811063520702</v>
      </c>
      <c r="X826">
        <v>5.1493705301449137E-2</v>
      </c>
      <c r="Y826">
        <v>1.0643120614649046E-2</v>
      </c>
    </row>
    <row r="827" spans="1:25" x14ac:dyDescent="0.25">
      <c r="A827" s="1083"/>
      <c r="B827" s="1455">
        <v>577</v>
      </c>
      <c r="C827" s="1087">
        <v>0.99631235466179824</v>
      </c>
      <c r="D827" s="1087">
        <v>1.031523069678798</v>
      </c>
      <c r="E827" s="1087">
        <v>1.0365354741055133</v>
      </c>
      <c r="F827" s="1087">
        <v>1.0195450322153232</v>
      </c>
      <c r="G827" s="1087">
        <v>0.99453699294634401</v>
      </c>
      <c r="H827" s="1087">
        <v>0.97273610383214237</v>
      </c>
      <c r="I827" s="1087">
        <v>1.008676113369559</v>
      </c>
      <c r="K827">
        <v>1.8466972206558216</v>
      </c>
      <c r="L827">
        <v>0</v>
      </c>
      <c r="M827">
        <v>3.2392837488706291E-3</v>
      </c>
      <c r="N827">
        <v>0.34378320795011597</v>
      </c>
      <c r="O827">
        <v>0.23885690697849793</v>
      </c>
      <c r="P827">
        <v>1.3595319942957342E-2</v>
      </c>
      <c r="Q827">
        <v>1.6316843819777418E-3</v>
      </c>
      <c r="R827">
        <v>3.2335354330269464E-3</v>
      </c>
      <c r="S827">
        <v>0.35887875138460862</v>
      </c>
      <c r="T827">
        <v>0.41079297919461139</v>
      </c>
      <c r="U827">
        <v>0</v>
      </c>
      <c r="V827">
        <v>0.20038005530913039</v>
      </c>
      <c r="W827">
        <v>0.21410610034858452</v>
      </c>
      <c r="X827">
        <v>5.5877345967152159E-2</v>
      </c>
      <c r="Y827">
        <v>8.8006175140303289E-3</v>
      </c>
    </row>
    <row r="828" spans="1:25" x14ac:dyDescent="0.25">
      <c r="A828" s="1083"/>
      <c r="B828" s="1455">
        <v>578</v>
      </c>
      <c r="C828" s="1087">
        <v>1.0141599893608928</v>
      </c>
      <c r="D828" s="1087">
        <v>0.99642835651717876</v>
      </c>
      <c r="E828" s="1087">
        <v>1.015698350098357</v>
      </c>
      <c r="F828" s="1087">
        <v>0.97365612361471698</v>
      </c>
      <c r="G828" s="1087">
        <v>1.0335763500604866</v>
      </c>
      <c r="H828" s="1087">
        <v>1.0115093814025224</v>
      </c>
      <c r="I828" s="1087">
        <v>1.0038639925491091</v>
      </c>
      <c r="K828">
        <v>1.8368209511412117</v>
      </c>
      <c r="L828">
        <v>0</v>
      </c>
      <c r="M828">
        <v>3.5193738636950167E-3</v>
      </c>
      <c r="N828">
        <v>0.3505667528076315</v>
      </c>
      <c r="O828">
        <v>0.23450796498700985</v>
      </c>
      <c r="P828">
        <v>1.315347676226418E-2</v>
      </c>
      <c r="Q828">
        <v>1.5900993586096511E-3</v>
      </c>
      <c r="R828">
        <v>3.5133976212009237E-3</v>
      </c>
      <c r="S828">
        <v>0.36442275506965416</v>
      </c>
      <c r="T828">
        <v>0.39217833968112931</v>
      </c>
      <c r="U828">
        <v>0</v>
      </c>
      <c r="V828">
        <v>0.1962745554342292</v>
      </c>
      <c r="W828">
        <v>0.221136190316265</v>
      </c>
      <c r="X828">
        <v>5.3434482833216453E-2</v>
      </c>
      <c r="Y828">
        <v>9.5623101336943586E-3</v>
      </c>
    </row>
    <row r="829" spans="1:25" x14ac:dyDescent="0.25">
      <c r="A829" s="1083"/>
      <c r="B829" s="1455">
        <v>579</v>
      </c>
      <c r="C829" s="1087">
        <v>1.0260455820427898</v>
      </c>
      <c r="D829" s="1087">
        <v>0.97165142208790467</v>
      </c>
      <c r="E829" s="1087">
        <v>1.017198068037491</v>
      </c>
      <c r="F829" s="1087">
        <v>1.0311300753082124</v>
      </c>
      <c r="G829" s="1087">
        <v>0.99840914115914137</v>
      </c>
      <c r="H829" s="1087">
        <v>1.0074663956201517</v>
      </c>
      <c r="I829" s="1087">
        <v>1.007175762094173</v>
      </c>
      <c r="K829">
        <v>1.8756929900362278</v>
      </c>
      <c r="L829">
        <v>0</v>
      </c>
      <c r="M829">
        <v>3.5013024762057302E-3</v>
      </c>
      <c r="N829">
        <v>0.35036428688855603</v>
      </c>
      <c r="O829">
        <v>0.24237199284839334</v>
      </c>
      <c r="P829">
        <v>1.3576025175829379E-2</v>
      </c>
      <c r="Q829">
        <v>1.5901074867130977E-3</v>
      </c>
      <c r="R829">
        <v>3.4953539884690602E-3</v>
      </c>
      <c r="S829">
        <v>0.3657550433920928</v>
      </c>
      <c r="T829">
        <v>0.41533771510028955</v>
      </c>
      <c r="U829">
        <v>0</v>
      </c>
      <c r="V829">
        <v>0.20131319209074147</v>
      </c>
      <c r="W829">
        <v>0.22080401410660136</v>
      </c>
      <c r="X829">
        <v>5.5073360121267054E-2</v>
      </c>
      <c r="Y829">
        <v>9.5132013134801557E-3</v>
      </c>
    </row>
    <row r="830" spans="1:25" x14ac:dyDescent="0.25">
      <c r="A830" s="1083"/>
      <c r="B830" s="1455">
        <v>580</v>
      </c>
      <c r="C830" s="1087">
        <v>0.97207393412213727</v>
      </c>
      <c r="D830" s="1087">
        <v>0.95987495398740141</v>
      </c>
      <c r="E830" s="1087">
        <v>0.96975592348616924</v>
      </c>
      <c r="F830" s="1087">
        <v>1.0067092719225439</v>
      </c>
      <c r="G830" s="1087">
        <v>1.0179945834982389</v>
      </c>
      <c r="H830" s="1087">
        <v>1.0078996113349956</v>
      </c>
      <c r="I830" s="1087">
        <v>1.0156389397052639</v>
      </c>
      <c r="K830">
        <v>1.9120948106061126</v>
      </c>
      <c r="L830">
        <v>0</v>
      </c>
      <c r="M830">
        <v>4.1001598973783391E-3</v>
      </c>
      <c r="N830">
        <v>0.35496524914362476</v>
      </c>
      <c r="O830">
        <v>0.24662354433867958</v>
      </c>
      <c r="P830">
        <v>1.3363792006249393E-2</v>
      </c>
      <c r="Q830">
        <v>1.6031794166783664E-3</v>
      </c>
      <c r="R830">
        <v>4.0932081469408285E-3</v>
      </c>
      <c r="S830">
        <v>0.39143604487010181</v>
      </c>
      <c r="T830">
        <v>0.40521303236303596</v>
      </c>
      <c r="U830">
        <v>0</v>
      </c>
      <c r="V830">
        <v>0.20542015315416762</v>
      </c>
      <c r="W830">
        <v>0.23046819597180951</v>
      </c>
      <c r="X830">
        <v>5.1868207841932489E-2</v>
      </c>
      <c r="Y830">
        <v>1.1140363250269941E-2</v>
      </c>
    </row>
    <row r="831" spans="1:25" x14ac:dyDescent="0.25">
      <c r="A831" s="1083"/>
      <c r="B831" s="1455">
        <v>581</v>
      </c>
      <c r="C831" s="1087">
        <v>0.99919872339145099</v>
      </c>
      <c r="D831" s="1087">
        <v>0.98185464333017047</v>
      </c>
      <c r="E831" s="1087">
        <v>0.97959996472610911</v>
      </c>
      <c r="F831" s="1087">
        <v>0.96916192301245196</v>
      </c>
      <c r="G831" s="1087">
        <v>1.000460656458803</v>
      </c>
      <c r="H831" s="1087">
        <v>1.0203462435613317</v>
      </c>
      <c r="I831" s="1087">
        <v>1.008910941765345</v>
      </c>
      <c r="K831">
        <v>1.8505212530086852</v>
      </c>
      <c r="L831">
        <v>0</v>
      </c>
      <c r="M831">
        <v>3.9097538170057367E-3</v>
      </c>
      <c r="N831">
        <v>0.34882846096564168</v>
      </c>
      <c r="O831">
        <v>0.23662612044561171</v>
      </c>
      <c r="P831">
        <v>1.2954652559568501E-2</v>
      </c>
      <c r="Q831">
        <v>1.5621126216844084E-3</v>
      </c>
      <c r="R831">
        <v>3.9031848250747113E-3</v>
      </c>
      <c r="S831">
        <v>0.37597032667410363</v>
      </c>
      <c r="T831">
        <v>0.39015650683279041</v>
      </c>
      <c r="U831">
        <v>0</v>
      </c>
      <c r="V831">
        <v>0.19799729938000901</v>
      </c>
      <c r="W831">
        <v>0.22506828217830285</v>
      </c>
      <c r="X831">
        <v>5.0740877933580605E-2</v>
      </c>
      <c r="Y831">
        <v>1.062318240932158E-2</v>
      </c>
    </row>
    <row r="832" spans="1:25" x14ac:dyDescent="0.25">
      <c r="A832" s="1083"/>
      <c r="B832" s="1455">
        <v>582</v>
      </c>
      <c r="C832" s="1087">
        <v>1.0196975428874087</v>
      </c>
      <c r="D832" s="1087">
        <v>1.0189302890272782</v>
      </c>
      <c r="E832" s="1087">
        <v>0.99145258043510331</v>
      </c>
      <c r="F832" s="1087">
        <v>1.0026927821586455</v>
      </c>
      <c r="G832" s="1087">
        <v>1.0485127540608448</v>
      </c>
      <c r="H832" s="1087">
        <v>0.98884130686787741</v>
      </c>
      <c r="I832" s="1087">
        <v>0.99029294751574326</v>
      </c>
      <c r="K832">
        <v>1.7983004821487432</v>
      </c>
      <c r="L832">
        <v>0</v>
      </c>
      <c r="M832">
        <v>3.5522982753634562E-3</v>
      </c>
      <c r="N832">
        <v>0.32860183533574783</v>
      </c>
      <c r="O832">
        <v>0.23470570159588378</v>
      </c>
      <c r="P832">
        <v>1.2872852685384319E-2</v>
      </c>
      <c r="Q832">
        <v>1.5274967572493213E-3</v>
      </c>
      <c r="R832">
        <v>3.5461076436138282E-3</v>
      </c>
      <c r="S832">
        <v>0.34891141442769308</v>
      </c>
      <c r="T832">
        <v>0.40372632162897726</v>
      </c>
      <c r="U832">
        <v>0</v>
      </c>
      <c r="V832">
        <v>0.19686566759244156</v>
      </c>
      <c r="W832">
        <v>0.21043636763437207</v>
      </c>
      <c r="X832">
        <v>5.1007679090897574E-2</v>
      </c>
      <c r="Y832">
        <v>9.6513360318462877E-3</v>
      </c>
    </row>
    <row r="833" spans="1:25" x14ac:dyDescent="0.25">
      <c r="A833" s="1083"/>
      <c r="B833" s="1455">
        <v>583</v>
      </c>
      <c r="C833" s="1087">
        <v>0.9693215407602187</v>
      </c>
      <c r="D833" s="1087">
        <v>1.0005772431985351</v>
      </c>
      <c r="E833" s="1087">
        <v>0.97466280702147423</v>
      </c>
      <c r="F833" s="1087">
        <v>0.99347425192080752</v>
      </c>
      <c r="G833" s="1087">
        <v>0.98756558459176258</v>
      </c>
      <c r="H833" s="1087">
        <v>1.0364336816571162</v>
      </c>
      <c r="I833" s="1087">
        <v>1.0219549952729017</v>
      </c>
      <c r="K833">
        <v>1.9052170065133831</v>
      </c>
      <c r="L833">
        <v>0</v>
      </c>
      <c r="M833">
        <v>4.0938765702069144E-3</v>
      </c>
      <c r="N833">
        <v>0.3597928087543365</v>
      </c>
      <c r="O833">
        <v>0.24130774521976109</v>
      </c>
      <c r="P833">
        <v>1.3303586566540043E-2</v>
      </c>
      <c r="Q833">
        <v>1.5896552050251231E-3</v>
      </c>
      <c r="R833">
        <v>4.0870881076639429E-3</v>
      </c>
      <c r="S833">
        <v>0.39152596280122659</v>
      </c>
      <c r="T833">
        <v>0.39991471600801426</v>
      </c>
      <c r="U833">
        <v>0</v>
      </c>
      <c r="V833">
        <v>0.2023786870967286</v>
      </c>
      <c r="W833">
        <v>0.23287233870960466</v>
      </c>
      <c r="X833">
        <v>5.1414588093860292E-2</v>
      </c>
      <c r="Y833">
        <v>1.1123706520828657E-2</v>
      </c>
    </row>
    <row r="834" spans="1:25" x14ac:dyDescent="0.25">
      <c r="A834" s="1083"/>
      <c r="B834" s="1455">
        <v>584</v>
      </c>
      <c r="C834" s="1087">
        <v>0.99034805983159435</v>
      </c>
      <c r="D834" s="1087">
        <v>0.98358283977108374</v>
      </c>
      <c r="E834" s="1087">
        <v>1.0012844165902821</v>
      </c>
      <c r="F834" s="1087">
        <v>1.0082514006670713</v>
      </c>
      <c r="G834" s="1087">
        <v>0.98613001456108274</v>
      </c>
      <c r="H834" s="1087">
        <v>0.99086138761148612</v>
      </c>
      <c r="I834" s="1087">
        <v>0.97218360212900667</v>
      </c>
      <c r="K834">
        <v>1.8608776886689653</v>
      </c>
      <c r="L834">
        <v>0</v>
      </c>
      <c r="M834">
        <v>3.6620754556649674E-3</v>
      </c>
      <c r="N834">
        <v>0.34908180047325371</v>
      </c>
      <c r="O834">
        <v>0.24256981110232254</v>
      </c>
      <c r="P834">
        <v>1.3228612264155337E-2</v>
      </c>
      <c r="Q834">
        <v>1.6119653548833761E-3</v>
      </c>
      <c r="R834">
        <v>3.6557393467928053E-3</v>
      </c>
      <c r="S834">
        <v>0.36015598874229554</v>
      </c>
      <c r="T834">
        <v>0.40602436412932491</v>
      </c>
      <c r="U834">
        <v>0</v>
      </c>
      <c r="V834">
        <v>0.20241402169123776</v>
      </c>
      <c r="W834">
        <v>0.22217887994081234</v>
      </c>
      <c r="X834">
        <v>5.3668863691733487E-2</v>
      </c>
      <c r="Y834">
        <v>9.949717387818224E-3</v>
      </c>
    </row>
    <row r="835" spans="1:25" x14ac:dyDescent="0.25">
      <c r="A835" s="1083"/>
      <c r="B835" s="1455">
        <v>585</v>
      </c>
      <c r="C835" s="1087">
        <v>0.97261272994064896</v>
      </c>
      <c r="D835" s="1087">
        <v>0.98716383210749226</v>
      </c>
      <c r="E835" s="1087">
        <v>0.98061070375066262</v>
      </c>
      <c r="F835" s="1087">
        <v>1.0099420787863702</v>
      </c>
      <c r="G835" s="1087">
        <v>0.99781829666486699</v>
      </c>
      <c r="H835" s="1087">
        <v>0.97845282018809054</v>
      </c>
      <c r="I835" s="1087">
        <v>1.0065078631384468</v>
      </c>
      <c r="K835">
        <v>1.8731270211302902</v>
      </c>
      <c r="L835">
        <v>0</v>
      </c>
      <c r="M835">
        <v>3.8333862372177305E-3</v>
      </c>
      <c r="N835">
        <v>0.34304798813176185</v>
      </c>
      <c r="O835">
        <v>0.24431333935907387</v>
      </c>
      <c r="P835">
        <v>1.3273514520602306E-2</v>
      </c>
      <c r="Q835">
        <v>1.6030978789691702E-3</v>
      </c>
      <c r="R835">
        <v>3.8266660903798844E-3</v>
      </c>
      <c r="S835">
        <v>0.37631393474299712</v>
      </c>
      <c r="T835">
        <v>0.40657951245118312</v>
      </c>
      <c r="U835">
        <v>0</v>
      </c>
      <c r="V835">
        <v>0.20420562184210647</v>
      </c>
      <c r="W835">
        <v>0.22119680256153879</v>
      </c>
      <c r="X835">
        <v>5.2185006151019002E-2</v>
      </c>
      <c r="Y835">
        <v>1.0414923637876378E-2</v>
      </c>
    </row>
    <row r="836" spans="1:25" x14ac:dyDescent="0.25">
      <c r="A836" s="1083"/>
      <c r="B836" s="1455">
        <v>586</v>
      </c>
      <c r="C836" s="1087">
        <v>1.0213140626338408</v>
      </c>
      <c r="D836" s="1087">
        <v>1.0155875424802594</v>
      </c>
      <c r="E836" s="1087">
        <v>0.99836524706506613</v>
      </c>
      <c r="F836" s="1087">
        <v>0.97531949757661818</v>
      </c>
      <c r="G836" s="1087">
        <v>1.0022903585232354</v>
      </c>
      <c r="H836" s="1087">
        <v>0.99870392217159332</v>
      </c>
      <c r="I836" s="1087">
        <v>0.97031756939955993</v>
      </c>
      <c r="K836">
        <v>1.785261785727168</v>
      </c>
      <c r="L836">
        <v>0</v>
      </c>
      <c r="M836">
        <v>3.5385245374786219E-3</v>
      </c>
      <c r="N836">
        <v>0.33431486885589334</v>
      </c>
      <c r="O836">
        <v>0.23178672845255202</v>
      </c>
      <c r="P836">
        <v>1.2688510684457159E-2</v>
      </c>
      <c r="Q836">
        <v>1.5384048500743923E-3</v>
      </c>
      <c r="R836">
        <v>3.5324224023427484E-3</v>
      </c>
      <c r="S836">
        <v>0.34373374400625473</v>
      </c>
      <c r="T836">
        <v>0.3927453878874963</v>
      </c>
      <c r="U836">
        <v>0</v>
      </c>
      <c r="V836">
        <v>0.19459401011303185</v>
      </c>
      <c r="W836">
        <v>0.21316873102947467</v>
      </c>
      <c r="X836">
        <v>5.1083412666624604E-2</v>
      </c>
      <c r="Y836">
        <v>9.6140893164449858E-3</v>
      </c>
    </row>
    <row r="837" spans="1:25" x14ac:dyDescent="0.25">
      <c r="A837" s="1083"/>
      <c r="B837" s="1455">
        <v>587</v>
      </c>
      <c r="C837" s="1087">
        <v>1.0268098793823495</v>
      </c>
      <c r="D837" s="1087">
        <v>0.9783944259391405</v>
      </c>
      <c r="E837" s="1087">
        <v>0.98735161617335299</v>
      </c>
      <c r="F837" s="1087">
        <v>0.98725740081758351</v>
      </c>
      <c r="G837" s="1087">
        <v>0.97554818327286563</v>
      </c>
      <c r="H837" s="1087">
        <v>1.0218604529368895</v>
      </c>
      <c r="I837" s="1087">
        <v>1.0340386424609467</v>
      </c>
      <c r="K837">
        <v>1.8464540412571404</v>
      </c>
      <c r="L837">
        <v>0</v>
      </c>
      <c r="M837">
        <v>3.758233857948867E-3</v>
      </c>
      <c r="N837">
        <v>0.34334741643219291</v>
      </c>
      <c r="O837">
        <v>0.23603370749559996</v>
      </c>
      <c r="P837">
        <v>1.3117420192197317E-2</v>
      </c>
      <c r="Q837">
        <v>1.5349900766413766E-3</v>
      </c>
      <c r="R837">
        <v>3.7519329146785399E-3</v>
      </c>
      <c r="S837">
        <v>0.37610844148991507</v>
      </c>
      <c r="T837">
        <v>0.39748704160220855</v>
      </c>
      <c r="U837">
        <v>0</v>
      </c>
      <c r="V837">
        <v>0.19693433800817514</v>
      </c>
      <c r="W837">
        <v>0.22044808958208106</v>
      </c>
      <c r="X837">
        <v>5.1237372751998314E-2</v>
      </c>
      <c r="Y837">
        <v>1.0211524569402067E-2</v>
      </c>
    </row>
    <row r="838" spans="1:25" x14ac:dyDescent="0.25">
      <c r="A838" s="1083"/>
      <c r="B838" s="1455">
        <v>588</v>
      </c>
      <c r="C838" s="1087">
        <v>0.99685841506550266</v>
      </c>
      <c r="D838" s="1087">
        <v>1.0030927159186516</v>
      </c>
      <c r="E838" s="1087">
        <v>0.97949686111308953</v>
      </c>
      <c r="F838" s="1087">
        <v>1.0214480082020254</v>
      </c>
      <c r="G838" s="1087">
        <v>1.035747691113732</v>
      </c>
      <c r="H838" s="1087">
        <v>0.98868197276751746</v>
      </c>
      <c r="I838" s="1087">
        <v>0.99869965284419904</v>
      </c>
      <c r="K838">
        <v>1.8440163128911471</v>
      </c>
      <c r="L838">
        <v>0</v>
      </c>
      <c r="M838">
        <v>3.755128475548407E-3</v>
      </c>
      <c r="N838">
        <v>0.33490752629659309</v>
      </c>
      <c r="O838">
        <v>0.2410258306048427</v>
      </c>
      <c r="P838">
        <v>1.3110288431034244E-2</v>
      </c>
      <c r="Q838">
        <v>1.5522617610582567E-3</v>
      </c>
      <c r="R838">
        <v>3.7485988110903677E-3</v>
      </c>
      <c r="S838">
        <v>0.36293282823394774</v>
      </c>
      <c r="T838">
        <v>0.41120474090993836</v>
      </c>
      <c r="U838">
        <v>0</v>
      </c>
      <c r="V838">
        <v>0.20164993714311041</v>
      </c>
      <c r="W838">
        <v>0.21610046653781598</v>
      </c>
      <c r="X838">
        <v>5.1336512398742908E-2</v>
      </c>
      <c r="Y838">
        <v>1.0202450238522013E-2</v>
      </c>
    </row>
    <row r="839" spans="1:25" x14ac:dyDescent="0.25">
      <c r="A839" s="1083"/>
      <c r="B839" s="1455">
        <v>589</v>
      </c>
      <c r="C839" s="1087">
        <v>1.0009705975129182</v>
      </c>
      <c r="D839" s="1087">
        <v>0.98904118171543287</v>
      </c>
      <c r="E839" s="1087">
        <v>1.0424005158748082</v>
      </c>
      <c r="F839" s="1087">
        <v>1.0236799451964729</v>
      </c>
      <c r="G839" s="1087">
        <v>1.02793226608623</v>
      </c>
      <c r="H839" s="1087">
        <v>0.99617689364205086</v>
      </c>
      <c r="I839" s="1087">
        <v>0.97061064525727325</v>
      </c>
      <c r="K839">
        <v>1.880625287352599</v>
      </c>
      <c r="L839">
        <v>0</v>
      </c>
      <c r="M839">
        <v>3.337822002227965E-3</v>
      </c>
      <c r="N839">
        <v>0.36063874292749204</v>
      </c>
      <c r="O839">
        <v>0.24312660414754328</v>
      </c>
      <c r="P839">
        <v>1.3667586464767744E-2</v>
      </c>
      <c r="Q839">
        <v>1.6617888627918586E-3</v>
      </c>
      <c r="R839">
        <v>3.3320731793662051E-3</v>
      </c>
      <c r="S839">
        <v>0.35606491378431399</v>
      </c>
      <c r="T839">
        <v>0.41249638556207907</v>
      </c>
      <c r="U839">
        <v>0</v>
      </c>
      <c r="V839">
        <v>0.20253828420775652</v>
      </c>
      <c r="W839">
        <v>0.2238059244759204</v>
      </c>
      <c r="X839">
        <v>5.756200096618793E-2</v>
      </c>
      <c r="Y839">
        <v>9.0688047766064404E-3</v>
      </c>
    </row>
    <row r="840" spans="1:25" x14ac:dyDescent="0.25">
      <c r="A840" s="1083"/>
      <c r="B840" s="1455">
        <v>590</v>
      </c>
      <c r="C840" s="1087">
        <v>0.99219578918096041</v>
      </c>
      <c r="D840" s="1087">
        <v>0.97852665756275781</v>
      </c>
      <c r="E840" s="1087">
        <v>0.99781759640246281</v>
      </c>
      <c r="F840" s="1087">
        <v>0.96419119843016976</v>
      </c>
      <c r="G840" s="1087">
        <v>1.028479616773547</v>
      </c>
      <c r="H840" s="1087">
        <v>0.99780519893956776</v>
      </c>
      <c r="I840" s="1087">
        <v>0.98712304532336625</v>
      </c>
      <c r="K840">
        <v>1.8426884198271116</v>
      </c>
      <c r="L840">
        <v>0</v>
      </c>
      <c r="M840">
        <v>3.7161012415804313E-3</v>
      </c>
      <c r="N840">
        <v>0.35050815788399059</v>
      </c>
      <c r="O840">
        <v>0.23742062481758031</v>
      </c>
      <c r="P840">
        <v>1.2996518141921225E-2</v>
      </c>
      <c r="Q840">
        <v>1.6063373793800328E-3</v>
      </c>
      <c r="R840">
        <v>3.709718783035379E-3</v>
      </c>
      <c r="S840">
        <v>0.36721949260524334</v>
      </c>
      <c r="T840">
        <v>0.38826100666067187</v>
      </c>
      <c r="U840">
        <v>0</v>
      </c>
      <c r="V840">
        <v>0.19858063595253206</v>
      </c>
      <c r="W840">
        <v>0.22357063489726547</v>
      </c>
      <c r="X840">
        <v>5.2434762328118813E-2</v>
      </c>
      <c r="Y840">
        <v>1.009663161895414E-2</v>
      </c>
    </row>
    <row r="841" spans="1:25" x14ac:dyDescent="0.25">
      <c r="A841" s="1083"/>
      <c r="B841" s="1455">
        <v>591</v>
      </c>
      <c r="C841" s="1087">
        <v>1.0346575502726003</v>
      </c>
      <c r="D841" s="1087">
        <v>0.97514905307354582</v>
      </c>
      <c r="E841" s="1087">
        <v>0.9884198705264623</v>
      </c>
      <c r="F841" s="1087">
        <v>1.0172487657618694</v>
      </c>
      <c r="G841" s="1087">
        <v>1.0054419976244471</v>
      </c>
      <c r="H841" s="1087">
        <v>0.96929980624881296</v>
      </c>
      <c r="I841" s="1087">
        <v>1.0382722916407674</v>
      </c>
      <c r="K841">
        <v>1.8210894094446581</v>
      </c>
      <c r="L841">
        <v>0</v>
      </c>
      <c r="M841">
        <v>3.536305665700506E-3</v>
      </c>
      <c r="N841">
        <v>0.32409892178150934</v>
      </c>
      <c r="O841">
        <v>0.23896645187130314</v>
      </c>
      <c r="P841">
        <v>1.317799886255048E-2</v>
      </c>
      <c r="Q841">
        <v>1.5271216592921113E-3</v>
      </c>
      <c r="R841">
        <v>3.5300578389489529E-3</v>
      </c>
      <c r="S841">
        <v>0.36578298798464381</v>
      </c>
      <c r="T841">
        <v>0.40956861525766258</v>
      </c>
      <c r="U841">
        <v>0</v>
      </c>
      <c r="V841">
        <v>0.19887827617753601</v>
      </c>
      <c r="W841">
        <v>0.20794936871389949</v>
      </c>
      <c r="X841">
        <v>5.1538261208648219E-2</v>
      </c>
      <c r="Y841">
        <v>9.6076537543651874E-3</v>
      </c>
    </row>
    <row r="842" spans="1:25" x14ac:dyDescent="0.25">
      <c r="A842" s="1083"/>
      <c r="B842" s="1455">
        <v>592</v>
      </c>
      <c r="C842" s="1087">
        <v>0.9772727086392442</v>
      </c>
      <c r="D842" s="1087">
        <v>1.0178985566788012</v>
      </c>
      <c r="E842" s="1087">
        <v>0.98178765516219835</v>
      </c>
      <c r="F842" s="1087">
        <v>0.97671018434824242</v>
      </c>
      <c r="G842" s="1087">
        <v>1.0168548388958862</v>
      </c>
      <c r="H842" s="1087">
        <v>1.0299639023701859</v>
      </c>
      <c r="I842" s="1087">
        <v>1.0173195246852706</v>
      </c>
      <c r="K842">
        <v>1.8693421653722575</v>
      </c>
      <c r="L842">
        <v>0</v>
      </c>
      <c r="M842">
        <v>3.9404215191164776E-3</v>
      </c>
      <c r="N842">
        <v>0.35392560092838643</v>
      </c>
      <c r="O842">
        <v>0.23672357564985283</v>
      </c>
      <c r="P842">
        <v>1.3111630313063564E-2</v>
      </c>
      <c r="Q842">
        <v>1.5780040299227926E-3</v>
      </c>
      <c r="R842">
        <v>3.9338307759324469E-3</v>
      </c>
      <c r="S842">
        <v>0.38180916980023105</v>
      </c>
      <c r="T842">
        <v>0.39320798520143224</v>
      </c>
      <c r="U842">
        <v>0</v>
      </c>
      <c r="V842">
        <v>0.19917147367836754</v>
      </c>
      <c r="W842">
        <v>0.22804051518696142</v>
      </c>
      <c r="X842">
        <v>5.107421074210141E-2</v>
      </c>
      <c r="Y842">
        <v>1.0706590585121354E-2</v>
      </c>
    </row>
    <row r="843" spans="1:25" x14ac:dyDescent="0.25">
      <c r="A843" s="1083"/>
      <c r="B843" s="1455">
        <v>593</v>
      </c>
      <c r="C843" s="1087">
        <v>0.99233715514624876</v>
      </c>
      <c r="D843" s="1087">
        <v>0.98076158454498463</v>
      </c>
      <c r="E843" s="1087">
        <v>0.97438257160036368</v>
      </c>
      <c r="F843" s="1087">
        <v>0.99517744167634703</v>
      </c>
      <c r="G843" s="1087">
        <v>1.0038905366314366</v>
      </c>
      <c r="H843" s="1087">
        <v>0.99251466626125939</v>
      </c>
      <c r="I843" s="1087">
        <v>0.99699674171993535</v>
      </c>
      <c r="K843">
        <v>1.8476813440341187</v>
      </c>
      <c r="L843">
        <v>0</v>
      </c>
      <c r="M843">
        <v>3.8732741097331261E-3</v>
      </c>
      <c r="N843">
        <v>0.34009015230109646</v>
      </c>
      <c r="O843">
        <v>0.2406439347400319</v>
      </c>
      <c r="P843">
        <v>1.2992905493146634E-2</v>
      </c>
      <c r="Q843">
        <v>1.5647861980882776E-3</v>
      </c>
      <c r="R843">
        <v>3.8665860083287353E-3</v>
      </c>
      <c r="S843">
        <v>0.36917742378282076</v>
      </c>
      <c r="T843">
        <v>0.40059866201307731</v>
      </c>
      <c r="U843">
        <v>0</v>
      </c>
      <c r="V843">
        <v>0.20104446350124899</v>
      </c>
      <c r="W843">
        <v>0.22015928305159854</v>
      </c>
      <c r="X843">
        <v>5.0892848559477032E-2</v>
      </c>
      <c r="Y843">
        <v>1.0523572494935735E-2</v>
      </c>
    </row>
    <row r="844" spans="1:25" x14ac:dyDescent="0.25">
      <c r="A844" s="1083"/>
      <c r="B844" s="1455">
        <v>594</v>
      </c>
      <c r="C844" s="1087">
        <v>1.0187070217658203</v>
      </c>
      <c r="D844" s="1087">
        <v>0.999483788518022</v>
      </c>
      <c r="E844" s="1087">
        <v>1.015229279039489</v>
      </c>
      <c r="F844" s="1087">
        <v>1.0020677295959373</v>
      </c>
      <c r="G844" s="1087">
        <v>0.99227418106748122</v>
      </c>
      <c r="H844" s="1087">
        <v>1.0047122490171241</v>
      </c>
      <c r="I844" s="1087">
        <v>1.0172388482851127</v>
      </c>
      <c r="K844">
        <v>1.8468263635647582</v>
      </c>
      <c r="L844">
        <v>0</v>
      </c>
      <c r="M844">
        <v>3.4776509975801037E-3</v>
      </c>
      <c r="N844">
        <v>0.34591150921541941</v>
      </c>
      <c r="O844">
        <v>0.23701110442402631</v>
      </c>
      <c r="P844">
        <v>1.3350255377321426E-2</v>
      </c>
      <c r="Q844">
        <v>1.5802806271244892E-3</v>
      </c>
      <c r="R844">
        <v>3.4717029940215219E-3</v>
      </c>
      <c r="S844">
        <v>0.36576638428352726</v>
      </c>
      <c r="T844">
        <v>0.40361935355642853</v>
      </c>
      <c r="U844">
        <v>0</v>
      </c>
      <c r="V844">
        <v>0.19807999937163681</v>
      </c>
      <c r="W844">
        <v>0.21826290239712726</v>
      </c>
      <c r="X844">
        <v>5.3801691212561245E-2</v>
      </c>
      <c r="Y844">
        <v>9.4488311031421818E-3</v>
      </c>
    </row>
    <row r="845" spans="1:25" x14ac:dyDescent="0.25">
      <c r="A845" s="1083"/>
      <c r="B845" s="1455">
        <v>595</v>
      </c>
      <c r="C845" s="1087">
        <v>0.97824188933106659</v>
      </c>
      <c r="D845" s="1087">
        <v>0.96249438249349462</v>
      </c>
      <c r="E845" s="1087">
        <v>0.95264599026543628</v>
      </c>
      <c r="F845" s="1087">
        <v>0.9887735701902538</v>
      </c>
      <c r="G845" s="1087">
        <v>0.99772885344215689</v>
      </c>
      <c r="H845" s="1087">
        <v>0.9775804996219406</v>
      </c>
      <c r="I845" s="1087">
        <v>1.0065388430278106</v>
      </c>
      <c r="K845">
        <v>1.8536822929894159</v>
      </c>
      <c r="L845">
        <v>0</v>
      </c>
      <c r="M845">
        <v>4.0850679963893655E-3</v>
      </c>
      <c r="N845">
        <v>0.33559873951390168</v>
      </c>
      <c r="O845">
        <v>0.24310758155123718</v>
      </c>
      <c r="P845">
        <v>1.2893672580388611E-2</v>
      </c>
      <c r="Q845">
        <v>1.5620050499493912E-3</v>
      </c>
      <c r="R845">
        <v>4.0779233785883584E-3</v>
      </c>
      <c r="S845">
        <v>0.37890216684588857</v>
      </c>
      <c r="T845">
        <v>0.39789407556449213</v>
      </c>
      <c r="U845">
        <v>0</v>
      </c>
      <c r="V845">
        <v>0.20288153328068154</v>
      </c>
      <c r="W845">
        <v>0.22030612021561624</v>
      </c>
      <c r="X845">
        <v>4.9444779855624475E-2</v>
      </c>
      <c r="Y845">
        <v>1.1098763149437042E-2</v>
      </c>
    </row>
    <row r="846" spans="1:25" x14ac:dyDescent="0.25">
      <c r="A846" s="1083"/>
      <c r="B846" s="1455">
        <v>596</v>
      </c>
      <c r="C846" s="1087">
        <v>0.99673588296891169</v>
      </c>
      <c r="D846" s="1087">
        <v>1.0331581517062045</v>
      </c>
      <c r="E846" s="1087">
        <v>0.97316396622253565</v>
      </c>
      <c r="F846" s="1087">
        <v>0.96940480958894359</v>
      </c>
      <c r="G846" s="1087">
        <v>0.99674325843743572</v>
      </c>
      <c r="H846" s="1087">
        <v>1.0091549620861509</v>
      </c>
      <c r="I846" s="1087">
        <v>1.0060476488059422</v>
      </c>
      <c r="K846">
        <v>1.8057667085855122</v>
      </c>
      <c r="L846">
        <v>0</v>
      </c>
      <c r="M846">
        <v>3.8218445397487037E-3</v>
      </c>
      <c r="N846">
        <v>0.33433181689099772</v>
      </c>
      <c r="O846">
        <v>0.23195308892537689</v>
      </c>
      <c r="P846">
        <v>1.2691469198086858E-2</v>
      </c>
      <c r="Q846">
        <v>1.5237761030933231E-3</v>
      </c>
      <c r="R846">
        <v>3.8153069342506895E-3</v>
      </c>
      <c r="S846">
        <v>0.36334684830914221</v>
      </c>
      <c r="T846">
        <v>0.39021712613632015</v>
      </c>
      <c r="U846">
        <v>0</v>
      </c>
      <c r="V846">
        <v>0.19561566311046003</v>
      </c>
      <c r="W846">
        <v>0.21659974453104497</v>
      </c>
      <c r="X846">
        <v>4.9109705227047912E-2</v>
      </c>
      <c r="Y846">
        <v>1.038400775943752E-2</v>
      </c>
    </row>
    <row r="847" spans="1:25" x14ac:dyDescent="0.25">
      <c r="A847" s="1083"/>
      <c r="B847" s="1455">
        <v>597</v>
      </c>
      <c r="C847" s="1087">
        <v>0.99806289975112594</v>
      </c>
      <c r="D847" s="1087">
        <v>0.95694070884698024</v>
      </c>
      <c r="E847" s="1087">
        <v>0.99732103180577403</v>
      </c>
      <c r="F847" s="1087">
        <v>1.0167404293198348</v>
      </c>
      <c r="G847" s="1087">
        <v>0.98782057582741112</v>
      </c>
      <c r="H847" s="1087">
        <v>0.96749130903106473</v>
      </c>
      <c r="I847" s="1087">
        <v>0.99146246450202269</v>
      </c>
      <c r="K847">
        <v>1.8627871379430814</v>
      </c>
      <c r="L847">
        <v>0</v>
      </c>
      <c r="M847">
        <v>3.6304204184415207E-3</v>
      </c>
      <c r="N847">
        <v>0.34189169488243376</v>
      </c>
      <c r="O847">
        <v>0.24533436929983715</v>
      </c>
      <c r="P847">
        <v>1.3329788710303769E-2</v>
      </c>
      <c r="Q847">
        <v>1.6103534176335412E-3</v>
      </c>
      <c r="R847">
        <v>3.6240121088490875E-3</v>
      </c>
      <c r="S847">
        <v>0.36570723187766307</v>
      </c>
      <c r="T847">
        <v>0.4094185040830865</v>
      </c>
      <c r="U847">
        <v>0</v>
      </c>
      <c r="V847">
        <v>0.20376620687735778</v>
      </c>
      <c r="W847">
        <v>0.21814244366661265</v>
      </c>
      <c r="X847">
        <v>5.3729587132728338E-2</v>
      </c>
      <c r="Y847">
        <v>9.8633663050166059E-3</v>
      </c>
    </row>
    <row r="848" spans="1:25" x14ac:dyDescent="0.25">
      <c r="A848" s="1083"/>
      <c r="B848" s="1455">
        <v>598</v>
      </c>
      <c r="C848" s="1087">
        <v>1.0096671030629831</v>
      </c>
      <c r="D848" s="1087">
        <v>1.0141770472646019</v>
      </c>
      <c r="E848" s="1087">
        <v>1.0141500417635196</v>
      </c>
      <c r="F848" s="1087">
        <v>0.9926597102781014</v>
      </c>
      <c r="G848" s="1087">
        <v>0.99675638884282591</v>
      </c>
      <c r="H848" s="1087">
        <v>0.96892972112982034</v>
      </c>
      <c r="I848" s="1087">
        <v>0.97170746498040694</v>
      </c>
      <c r="K848">
        <v>1.7972174915862371</v>
      </c>
      <c r="L848">
        <v>0</v>
      </c>
      <c r="M848">
        <v>3.3647885696937033E-3</v>
      </c>
      <c r="N848">
        <v>0.33356382260320744</v>
      </c>
      <c r="O848">
        <v>0.23552902583464028</v>
      </c>
      <c r="P848">
        <v>1.297129171307264E-2</v>
      </c>
      <c r="Q848">
        <v>1.5833408925602101E-3</v>
      </c>
      <c r="R848">
        <v>3.3588090259700078E-3</v>
      </c>
      <c r="S848">
        <v>0.34348028447348061</v>
      </c>
      <c r="T848">
        <v>0.39982337188865846</v>
      </c>
      <c r="U848">
        <v>0</v>
      </c>
      <c r="V848">
        <v>0.19744778987289788</v>
      </c>
      <c r="W848">
        <v>0.21061218900579859</v>
      </c>
      <c r="X848">
        <v>5.3070783908052685E-2</v>
      </c>
      <c r="Y848">
        <v>9.1415709375925278E-3</v>
      </c>
    </row>
    <row r="849" spans="1:25" x14ac:dyDescent="0.25">
      <c r="A849" s="1083"/>
      <c r="B849" s="1455">
        <v>599</v>
      </c>
      <c r="C849" s="1087">
        <v>0.99531275999105306</v>
      </c>
      <c r="D849" s="1087">
        <v>1.0005894548772598</v>
      </c>
      <c r="E849" s="1087">
        <v>1.0020970839999448</v>
      </c>
      <c r="F849" s="1087">
        <v>1.0015038967661749</v>
      </c>
      <c r="G849" s="1087">
        <v>0.96467540373467664</v>
      </c>
      <c r="H849" s="1087">
        <v>1.0156083603010737</v>
      </c>
      <c r="I849" s="1087">
        <v>1.0060816305351667</v>
      </c>
      <c r="K849">
        <v>1.8709174437133651</v>
      </c>
      <c r="L849">
        <v>0</v>
      </c>
      <c r="M849">
        <v>3.6942216771205022E-3</v>
      </c>
      <c r="N849">
        <v>0.35303386199078057</v>
      </c>
      <c r="O849">
        <v>0.23946149632160252</v>
      </c>
      <c r="P849">
        <v>1.3332171311688304E-2</v>
      </c>
      <c r="Q849">
        <v>1.5943429588117885E-3</v>
      </c>
      <c r="R849">
        <v>3.6879706585800634E-3</v>
      </c>
      <c r="S849">
        <v>0.37189276636043683</v>
      </c>
      <c r="T849">
        <v>0.40331207152223125</v>
      </c>
      <c r="U849">
        <v>0</v>
      </c>
      <c r="V849">
        <v>0.2003804375924414</v>
      </c>
      <c r="W849">
        <v>0.22458031502118136</v>
      </c>
      <c r="X849">
        <v>5.3298791259277931E-2</v>
      </c>
      <c r="Y849">
        <v>1.0037440393454068E-2</v>
      </c>
    </row>
    <row r="850" spans="1:25" x14ac:dyDescent="0.25">
      <c r="A850" s="1083"/>
      <c r="B850" s="1455">
        <v>600</v>
      </c>
      <c r="C850" s="1087">
        <v>0.96602017636931559</v>
      </c>
      <c r="D850" s="1087">
        <v>0.95734320650220994</v>
      </c>
      <c r="E850" s="1087">
        <v>0.98237323209098271</v>
      </c>
      <c r="F850" s="1087">
        <v>0.9690617285254024</v>
      </c>
      <c r="G850" s="1087">
        <v>0.96877187140502774</v>
      </c>
      <c r="H850" s="1087">
        <v>0.98286220851657524</v>
      </c>
      <c r="I850" s="1087">
        <v>1.0044093800546396</v>
      </c>
      <c r="K850">
        <v>1.8796595714973103</v>
      </c>
      <c r="L850">
        <v>0</v>
      </c>
      <c r="M850">
        <v>3.9243366420480133E-3</v>
      </c>
      <c r="N850">
        <v>0.35308860786740676</v>
      </c>
      <c r="O850">
        <v>0.24307647260331058</v>
      </c>
      <c r="P850">
        <v>1.3173718039617562E-2</v>
      </c>
      <c r="Q850">
        <v>1.6370650425302413E-3</v>
      </c>
      <c r="R850">
        <v>3.9175116842713473E-3</v>
      </c>
      <c r="S850">
        <v>0.38530906994827629</v>
      </c>
      <c r="T850">
        <v>0.39013223259668861</v>
      </c>
      <c r="U850">
        <v>0</v>
      </c>
      <c r="V850">
        <v>0.20292509608105896</v>
      </c>
      <c r="W850">
        <v>0.22741687090689816</v>
      </c>
      <c r="X850">
        <v>5.2245087972091278E-2</v>
      </c>
      <c r="Y850">
        <v>1.0662175397206958E-2</v>
      </c>
    </row>
    <row r="851" spans="1:25" x14ac:dyDescent="0.25">
      <c r="A851" s="1083"/>
      <c r="B851" s="1455">
        <v>601</v>
      </c>
      <c r="C851" s="1087">
        <v>1.0106686484009104</v>
      </c>
      <c r="D851" s="1087">
        <v>0.98978303828477299</v>
      </c>
      <c r="E851" s="1087">
        <v>1.0211216105198844</v>
      </c>
      <c r="F851" s="1087">
        <v>1.0037491475641436</v>
      </c>
      <c r="G851" s="1087">
        <v>1.0192781658632986</v>
      </c>
      <c r="H851" s="1087">
        <v>1.0198469188576986</v>
      </c>
      <c r="I851" s="1087">
        <v>0.99504546181135034</v>
      </c>
      <c r="K851">
        <v>1.8710981157404476</v>
      </c>
      <c r="L851">
        <v>0</v>
      </c>
      <c r="M851">
        <v>3.5341629534748472E-3</v>
      </c>
      <c r="N851">
        <v>0.35791231117454908</v>
      </c>
      <c r="O851">
        <v>0.23922525736012942</v>
      </c>
      <c r="P851">
        <v>1.343406403508263E-2</v>
      </c>
      <c r="Q851">
        <v>1.609053189370301E-3</v>
      </c>
      <c r="R851">
        <v>3.5282165174214766E-3</v>
      </c>
      <c r="S851">
        <v>0.36538431482320122</v>
      </c>
      <c r="T851">
        <v>0.4043329006159414</v>
      </c>
      <c r="U851">
        <v>0</v>
      </c>
      <c r="V851">
        <v>0.19962349157659171</v>
      </c>
      <c r="W851">
        <v>0.22501646037215703</v>
      </c>
      <c r="X851">
        <v>5.496356674532004E-2</v>
      </c>
      <c r="Y851">
        <v>9.6026422841588733E-3</v>
      </c>
    </row>
    <row r="852" spans="1:25" x14ac:dyDescent="0.25">
      <c r="A852" s="1083"/>
      <c r="B852" s="1455">
        <v>602</v>
      </c>
      <c r="C852" s="1087">
        <v>1.0050009060994824</v>
      </c>
      <c r="D852" s="1087">
        <v>0.98404954624667207</v>
      </c>
      <c r="E852" s="1087">
        <v>0.98286705368015614</v>
      </c>
      <c r="F852" s="1087">
        <v>1.0159230930822003</v>
      </c>
      <c r="G852" s="1087">
        <v>1.0347753773566883</v>
      </c>
      <c r="H852" s="1087">
        <v>0.99538795541791925</v>
      </c>
      <c r="I852" s="1087">
        <v>1.0391675345698068</v>
      </c>
      <c r="K852">
        <v>1.865990783530322</v>
      </c>
      <c r="L852">
        <v>0</v>
      </c>
      <c r="M852">
        <v>3.7631762161640442E-3</v>
      </c>
      <c r="N852">
        <v>0.33910529553208907</v>
      </c>
      <c r="O852">
        <v>0.24136950239656416</v>
      </c>
      <c r="P852">
        <v>1.3338656392671957E-2</v>
      </c>
      <c r="Q852">
        <v>1.55717187621015E-3</v>
      </c>
      <c r="R852">
        <v>3.7566943135148314E-3</v>
      </c>
      <c r="S852">
        <v>0.37989396958899907</v>
      </c>
      <c r="T852">
        <v>0.40900103858076381</v>
      </c>
      <c r="U852">
        <v>0</v>
      </c>
      <c r="V852">
        <v>0.20135395181155516</v>
      </c>
      <c r="W852">
        <v>0.21834224780189823</v>
      </c>
      <c r="X852">
        <v>5.181094792477868E-2</v>
      </c>
      <c r="Y852">
        <v>1.0224483527439742E-2</v>
      </c>
    </row>
    <row r="853" spans="1:25" x14ac:dyDescent="0.25">
      <c r="A853" s="1083"/>
      <c r="B853" s="1455">
        <v>603</v>
      </c>
      <c r="C853" s="1087">
        <v>1.0191114847089702</v>
      </c>
      <c r="D853" s="1087">
        <v>0.99138621200389887</v>
      </c>
      <c r="E853" s="1087">
        <v>0.98643627855748872</v>
      </c>
      <c r="F853" s="1087">
        <v>0.97687797331774906</v>
      </c>
      <c r="G853" s="1087">
        <v>0.98137803452486083</v>
      </c>
      <c r="H853" s="1087">
        <v>1.0396203869057055</v>
      </c>
      <c r="I853" s="1087">
        <v>0.96342852987642302</v>
      </c>
      <c r="K853">
        <v>1.8263247098581699</v>
      </c>
      <c r="L853">
        <v>0</v>
      </c>
      <c r="M853">
        <v>3.8321782309323382E-3</v>
      </c>
      <c r="N853">
        <v>0.34913429869957752</v>
      </c>
      <c r="O853">
        <v>0.23439582746207863</v>
      </c>
      <c r="P853">
        <v>1.2736262956842584E-2</v>
      </c>
      <c r="Q853">
        <v>1.5369363211507759E-3</v>
      </c>
      <c r="R853">
        <v>3.8258512894023848E-3</v>
      </c>
      <c r="S853">
        <v>0.35354505042127093</v>
      </c>
      <c r="T853">
        <v>0.39330273607269711</v>
      </c>
      <c r="U853">
        <v>0</v>
      </c>
      <c r="V853">
        <v>0.1961336341461698</v>
      </c>
      <c r="W853">
        <v>0.22429310300492483</v>
      </c>
      <c r="X853">
        <v>5.0840481696771217E-2</v>
      </c>
      <c r="Y853">
        <v>1.0412706018214696E-2</v>
      </c>
    </row>
    <row r="854" spans="1:25" x14ac:dyDescent="0.25">
      <c r="A854" s="1083"/>
      <c r="B854" s="1455">
        <v>604</v>
      </c>
      <c r="C854" s="1087">
        <v>0.97919834912513104</v>
      </c>
      <c r="D854" s="1087">
        <v>1.0083751669713701</v>
      </c>
      <c r="E854" s="1087">
        <v>1.0109479583138179</v>
      </c>
      <c r="F854" s="1087">
        <v>1.0092736663561581</v>
      </c>
      <c r="G854" s="1087">
        <v>0.98525980900746768</v>
      </c>
      <c r="H854" s="1087">
        <v>0.97511459872997097</v>
      </c>
      <c r="I854" s="1087">
        <v>1.0359441864147285</v>
      </c>
      <c r="K854">
        <v>1.8749437435391449</v>
      </c>
      <c r="L854">
        <v>0</v>
      </c>
      <c r="M854">
        <v>3.5258959104423216E-3</v>
      </c>
      <c r="N854">
        <v>0.34614359851962356</v>
      </c>
      <c r="O854">
        <v>0.24172084918232054</v>
      </c>
      <c r="P854">
        <v>1.3603005950825456E-2</v>
      </c>
      <c r="Q854">
        <v>1.6308211740089762E-3</v>
      </c>
      <c r="R854">
        <v>3.5196754519133105E-3</v>
      </c>
      <c r="S854">
        <v>0.37994394177374591</v>
      </c>
      <c r="T854">
        <v>0.40649538401633151</v>
      </c>
      <c r="U854">
        <v>0</v>
      </c>
      <c r="V854">
        <v>0.20245580079455044</v>
      </c>
      <c r="W854">
        <v>0.21898865731082709</v>
      </c>
      <c r="X854">
        <v>5.4388508956032776E-2</v>
      </c>
      <c r="Y854">
        <v>9.5793963194071349E-3</v>
      </c>
    </row>
    <row r="855" spans="1:25" x14ac:dyDescent="0.25">
      <c r="A855" s="1083"/>
      <c r="B855" s="1455">
        <v>605</v>
      </c>
      <c r="C855" s="1087">
        <v>0.99999134360486774</v>
      </c>
      <c r="D855" s="1087">
        <v>1.0378583606194722</v>
      </c>
      <c r="E855" s="1087">
        <v>0.98551041436607634</v>
      </c>
      <c r="F855" s="1087">
        <v>1.0212218797581778</v>
      </c>
      <c r="G855" s="1087">
        <v>0.99721525754159057</v>
      </c>
      <c r="H855" s="1087">
        <v>1.0053459060159724</v>
      </c>
      <c r="I855" s="1087">
        <v>0.96602971821914074</v>
      </c>
      <c r="K855">
        <v>1.8205193882771264</v>
      </c>
      <c r="L855">
        <v>0</v>
      </c>
      <c r="M855">
        <v>3.6905349671010712E-3</v>
      </c>
      <c r="N855">
        <v>0.33525739660233306</v>
      </c>
      <c r="O855">
        <v>0.2372337987055918</v>
      </c>
      <c r="P855">
        <v>1.2915882521593081E-2</v>
      </c>
      <c r="Q855">
        <v>1.5363552688821046E-3</v>
      </c>
      <c r="R855">
        <v>3.6841921546089261E-3</v>
      </c>
      <c r="S855">
        <v>0.34631844216194474</v>
      </c>
      <c r="T855">
        <v>0.41115045087228125</v>
      </c>
      <c r="U855">
        <v>0</v>
      </c>
      <c r="V855">
        <v>0.19948302336861562</v>
      </c>
      <c r="W855">
        <v>0.21550417131178584</v>
      </c>
      <c r="X855">
        <v>5.1099053725360423E-2</v>
      </c>
      <c r="Y855">
        <v>1.0027156551228131E-2</v>
      </c>
    </row>
    <row r="856" spans="1:25" x14ac:dyDescent="0.25">
      <c r="A856" s="1083"/>
      <c r="B856" s="1455">
        <v>606</v>
      </c>
      <c r="C856" s="1087">
        <v>1.0254211253574039</v>
      </c>
      <c r="D856" s="1087">
        <v>0.99156984133512671</v>
      </c>
      <c r="E856" s="1087">
        <v>0.99930916146531779</v>
      </c>
      <c r="F856" s="1087">
        <v>0.9727679028526699</v>
      </c>
      <c r="G856" s="1087">
        <v>1.0016553499693917</v>
      </c>
      <c r="H856" s="1087">
        <v>1.004873557041823</v>
      </c>
      <c r="I856" s="1087">
        <v>0.99706039255564782</v>
      </c>
      <c r="K856">
        <v>1.809815205646861</v>
      </c>
      <c r="L856">
        <v>0</v>
      </c>
      <c r="M856">
        <v>3.5853386460805957E-3</v>
      </c>
      <c r="N856">
        <v>0.33972059351410672</v>
      </c>
      <c r="O856">
        <v>0.23334100328260396</v>
      </c>
      <c r="P856">
        <v>1.2880670163592844E-2</v>
      </c>
      <c r="Q856">
        <v>1.5485398848992422E-3</v>
      </c>
      <c r="R856">
        <v>3.5792143227975567E-3</v>
      </c>
      <c r="S856">
        <v>0.35758649993454467</v>
      </c>
      <c r="T856">
        <v>0.39172346094581284</v>
      </c>
      <c r="U856">
        <v>0</v>
      </c>
      <c r="V856">
        <v>0.19519655229456689</v>
      </c>
      <c r="W856">
        <v>0.21648774643491103</v>
      </c>
      <c r="X856">
        <v>5.1594822016135314E-2</v>
      </c>
      <c r="Y856">
        <v>9.741441498970542E-3</v>
      </c>
    </row>
    <row r="857" spans="1:25" x14ac:dyDescent="0.25">
      <c r="A857" s="1083"/>
      <c r="B857" s="1455">
        <v>607</v>
      </c>
      <c r="C857" s="1087">
        <v>1.0190949590285234</v>
      </c>
      <c r="D857" s="1087">
        <v>0.98095294814559175</v>
      </c>
      <c r="E857" s="1087">
        <v>1.0121397267405556</v>
      </c>
      <c r="F857" s="1087">
        <v>0.99849277694901939</v>
      </c>
      <c r="G857" s="1087">
        <v>1.0359011165520513</v>
      </c>
      <c r="H857" s="1087">
        <v>1.0010907035795666</v>
      </c>
      <c r="I857" s="1087">
        <v>0.99321112391004884</v>
      </c>
      <c r="K857">
        <v>1.8437555468034474</v>
      </c>
      <c r="L857">
        <v>0</v>
      </c>
      <c r="M857">
        <v>3.5214226904895763E-3</v>
      </c>
      <c r="N857">
        <v>0.34698114842345923</v>
      </c>
      <c r="O857">
        <v>0.23836036407360958</v>
      </c>
      <c r="P857">
        <v>1.322963978559758E-2</v>
      </c>
      <c r="Q857">
        <v>1.586354298279333E-3</v>
      </c>
      <c r="R857">
        <v>3.5153942166750202E-3</v>
      </c>
      <c r="S857">
        <v>0.36004136349427013</v>
      </c>
      <c r="T857">
        <v>0.40216053858194079</v>
      </c>
      <c r="U857">
        <v>0</v>
      </c>
      <c r="V857">
        <v>0.19870710322054855</v>
      </c>
      <c r="W857">
        <v>0.21935654347969469</v>
      </c>
      <c r="X857">
        <v>5.3770775711462687E-2</v>
      </c>
      <c r="Y857">
        <v>9.567744208397325E-3</v>
      </c>
    </row>
    <row r="858" spans="1:25" x14ac:dyDescent="0.25">
      <c r="A858" s="1083"/>
      <c r="B858" s="1455">
        <v>608</v>
      </c>
      <c r="C858" s="1087">
        <v>1.0236165921892542</v>
      </c>
      <c r="D858" s="1087">
        <v>1.0142784792180806</v>
      </c>
      <c r="E858" s="1087">
        <v>1.0043284867046607</v>
      </c>
      <c r="F858" s="1087">
        <v>0.97997026316963132</v>
      </c>
      <c r="G858" s="1087">
        <v>0.99380278186866966</v>
      </c>
      <c r="H858" s="1087">
        <v>1.0007072142835967</v>
      </c>
      <c r="I858" s="1087">
        <v>1.0175523800596147</v>
      </c>
      <c r="K858">
        <v>1.808157059364029</v>
      </c>
      <c r="L858">
        <v>0</v>
      </c>
      <c r="M858">
        <v>3.4971154264891286E-3</v>
      </c>
      <c r="N858">
        <v>0.33647094982788422</v>
      </c>
      <c r="O858">
        <v>0.23226724185982944</v>
      </c>
      <c r="P858">
        <v>1.3001913185483291E-2</v>
      </c>
      <c r="Q858">
        <v>1.5455192158645883E-3</v>
      </c>
      <c r="R858">
        <v>3.4910977445240842E-3</v>
      </c>
      <c r="S858">
        <v>0.36033456801500907</v>
      </c>
      <c r="T858">
        <v>0.39465361839170082</v>
      </c>
      <c r="U858">
        <v>0</v>
      </c>
      <c r="V858">
        <v>0.19485410454494981</v>
      </c>
      <c r="W858">
        <v>0.21374642090517409</v>
      </c>
      <c r="X858">
        <v>5.1787123879566806E-2</v>
      </c>
      <c r="Y858">
        <v>9.5016172205323688E-3</v>
      </c>
    </row>
    <row r="859" spans="1:25" x14ac:dyDescent="0.25">
      <c r="A859" s="1083"/>
      <c r="B859" s="1455">
        <v>609</v>
      </c>
      <c r="C859" s="1087">
        <v>0.98365093054012742</v>
      </c>
      <c r="D859" s="1087">
        <v>0.96059914077307662</v>
      </c>
      <c r="E859" s="1087">
        <v>0.99045697554782408</v>
      </c>
      <c r="F859" s="1087">
        <v>1.0348159166693887</v>
      </c>
      <c r="G859" s="1087">
        <v>0.99367418394992113</v>
      </c>
      <c r="H859" s="1087">
        <v>0.99667339024187973</v>
      </c>
      <c r="I859" s="1087">
        <v>0.99060849694698849</v>
      </c>
      <c r="K859">
        <v>1.9083073568398643</v>
      </c>
      <c r="L859">
        <v>0</v>
      </c>
      <c r="M859">
        <v>3.8406320324051832E-3</v>
      </c>
      <c r="N859">
        <v>0.35420545092938921</v>
      </c>
      <c r="O859">
        <v>0.24882439839773257</v>
      </c>
      <c r="P859">
        <v>1.3529412484671906E-2</v>
      </c>
      <c r="Q859">
        <v>1.6195287876452874E-3</v>
      </c>
      <c r="R859">
        <v>3.8340480380809629E-3</v>
      </c>
      <c r="S859">
        <v>0.37533705083648417</v>
      </c>
      <c r="T859">
        <v>0.41665424557867409</v>
      </c>
      <c r="U859">
        <v>0</v>
      </c>
      <c r="V859">
        <v>0.20668506391326827</v>
      </c>
      <c r="W859">
        <v>0.2269750200334163</v>
      </c>
      <c r="X859">
        <v>5.4048755006846992E-2</v>
      </c>
      <c r="Y859">
        <v>1.0435014866060304E-2</v>
      </c>
    </row>
    <row r="860" spans="1:25" x14ac:dyDescent="0.25">
      <c r="A860" s="1083"/>
      <c r="B860" s="1455">
        <v>610</v>
      </c>
      <c r="C860" s="1087">
        <v>1.0065066452857776</v>
      </c>
      <c r="D860" s="1087">
        <v>0.98617688190941977</v>
      </c>
      <c r="E860" s="1087">
        <v>1.0002081915964249</v>
      </c>
      <c r="F860" s="1087">
        <v>1.0070058159445963</v>
      </c>
      <c r="G860" s="1087">
        <v>1.0001549532258034</v>
      </c>
      <c r="H860" s="1087">
        <v>1.0091615685089173</v>
      </c>
      <c r="I860" s="1087">
        <v>1.0097203797412209</v>
      </c>
      <c r="K860">
        <v>1.8662321601719771</v>
      </c>
      <c r="L860">
        <v>0</v>
      </c>
      <c r="M860">
        <v>3.6726361844561756E-3</v>
      </c>
      <c r="N860">
        <v>0.3489513747763463</v>
      </c>
      <c r="O860">
        <v>0.24017271634275275</v>
      </c>
      <c r="P860">
        <v>1.3329875886056193E-2</v>
      </c>
      <c r="Q860">
        <v>1.5826012545269493E-3</v>
      </c>
      <c r="R860">
        <v>3.6663946340567358E-3</v>
      </c>
      <c r="S860">
        <v>0.37085940626930958</v>
      </c>
      <c r="T860">
        <v>0.40551619507660086</v>
      </c>
      <c r="U860">
        <v>0</v>
      </c>
      <c r="V860">
        <v>0.2004151242547132</v>
      </c>
      <c r="W860">
        <v>0.22224518299629534</v>
      </c>
      <c r="X860">
        <v>5.3187207298537133E-2</v>
      </c>
      <c r="Y860">
        <v>9.9787175672361415E-3</v>
      </c>
    </row>
    <row r="861" spans="1:25" x14ac:dyDescent="0.25">
      <c r="A861" s="1083"/>
      <c r="B861" s="1455">
        <v>611</v>
      </c>
      <c r="C861" s="1087">
        <v>0.99962095644297844</v>
      </c>
      <c r="D861" s="1087">
        <v>0.98946873085192921</v>
      </c>
      <c r="E861" s="1087">
        <v>1.0030568164781155</v>
      </c>
      <c r="F861" s="1087">
        <v>1.0256210046281951</v>
      </c>
      <c r="G861" s="1087">
        <v>1.0195850059952234</v>
      </c>
      <c r="H861" s="1087">
        <v>0.96022431013421183</v>
      </c>
      <c r="I861" s="1087">
        <v>1.0382139465539422</v>
      </c>
      <c r="K861">
        <v>1.8582336032598508</v>
      </c>
      <c r="L861">
        <v>0</v>
      </c>
      <c r="M861">
        <v>3.4918709535374155E-3</v>
      </c>
      <c r="N861">
        <v>0.33464325352281094</v>
      </c>
      <c r="O861">
        <v>0.24290124462515642</v>
      </c>
      <c r="P861">
        <v>1.3533650022939752E-2</v>
      </c>
      <c r="Q861">
        <v>1.5962137756849162E-3</v>
      </c>
      <c r="R861">
        <v>3.4856312549756169E-3</v>
      </c>
      <c r="S861">
        <v>0.37400345344595382</v>
      </c>
      <c r="T861">
        <v>0.41303016132250342</v>
      </c>
      <c r="U861">
        <v>0</v>
      </c>
      <c r="V861">
        <v>0.20258923475984522</v>
      </c>
      <c r="W861">
        <v>0.21275387117430825</v>
      </c>
      <c r="X861">
        <v>5.3702021071201152E-2</v>
      </c>
      <c r="Y861">
        <v>9.4867392380092348E-3</v>
      </c>
    </row>
    <row r="862" spans="1:25" x14ac:dyDescent="0.25">
      <c r="A862" s="1083"/>
      <c r="B862" s="1455">
        <v>612</v>
      </c>
      <c r="C862" s="1087">
        <v>0.97043380221063469</v>
      </c>
      <c r="D862" s="1087">
        <v>1.0208827032869585</v>
      </c>
      <c r="E862" s="1087">
        <v>0.98847873253432583</v>
      </c>
      <c r="F862" s="1087">
        <v>1.0154070501048571</v>
      </c>
      <c r="G862" s="1087">
        <v>1.0123450255199282</v>
      </c>
      <c r="H862" s="1087">
        <v>0.96200215654727783</v>
      </c>
      <c r="I862" s="1087">
        <v>1.0229863773313108</v>
      </c>
      <c r="K862">
        <v>1.8537320631494174</v>
      </c>
      <c r="L862">
        <v>0</v>
      </c>
      <c r="M862">
        <v>3.6506851710923997E-3</v>
      </c>
      <c r="N862">
        <v>0.33463361870903269</v>
      </c>
      <c r="O862">
        <v>0.24198219421974287</v>
      </c>
      <c r="P862">
        <v>1.3327911351728249E-2</v>
      </c>
      <c r="Q862">
        <v>1.5987104690025435E-3</v>
      </c>
      <c r="R862">
        <v>3.6441456557718323E-3</v>
      </c>
      <c r="S862">
        <v>0.37327051925626331</v>
      </c>
      <c r="T862">
        <v>0.40882745576282814</v>
      </c>
      <c r="U862">
        <v>0</v>
      </c>
      <c r="V862">
        <v>0.20316969926807621</v>
      </c>
      <c r="W862">
        <v>0.21470070858595999</v>
      </c>
      <c r="X862">
        <v>5.2309621859384647E-2</v>
      </c>
      <c r="Y862">
        <v>9.9181631827183585E-3</v>
      </c>
    </row>
    <row r="863" spans="1:25" x14ac:dyDescent="0.25">
      <c r="A863" s="1083"/>
      <c r="B863" s="1455">
        <v>613</v>
      </c>
      <c r="C863" s="1087">
        <v>0.99817742814767052</v>
      </c>
      <c r="D863" s="1087">
        <v>0.97892549496212977</v>
      </c>
      <c r="E863" s="1087">
        <v>0.98100279136269852</v>
      </c>
      <c r="F863" s="1087">
        <v>1.0040859817726768</v>
      </c>
      <c r="G863" s="1087">
        <v>0.99861534428836296</v>
      </c>
      <c r="H863" s="1087">
        <v>1.0295674072775989</v>
      </c>
      <c r="I863" s="1087">
        <v>0.98786782071230173</v>
      </c>
      <c r="K863">
        <v>1.8762687237709761</v>
      </c>
      <c r="L863">
        <v>0</v>
      </c>
      <c r="M863">
        <v>3.9450126956679472E-3</v>
      </c>
      <c r="N863">
        <v>0.35349216460405208</v>
      </c>
      <c r="O863">
        <v>0.24129300450638969</v>
      </c>
      <c r="P863">
        <v>1.31335841755752E-2</v>
      </c>
      <c r="Q863">
        <v>1.5679468763203153E-3</v>
      </c>
      <c r="R863">
        <v>3.9384479251606879E-3</v>
      </c>
      <c r="S863">
        <v>0.37084444033296177</v>
      </c>
      <c r="T863">
        <v>0.40422433463822244</v>
      </c>
      <c r="U863">
        <v>0</v>
      </c>
      <c r="V863">
        <v>0.20133431881001071</v>
      </c>
      <c r="W863">
        <v>0.22787454451141262</v>
      </c>
      <c r="X863">
        <v>5.1791793143258547E-2</v>
      </c>
      <c r="Y863">
        <v>1.0719156943277791E-2</v>
      </c>
    </row>
    <row r="864" spans="1:25" x14ac:dyDescent="0.25">
      <c r="A864" s="1083"/>
      <c r="B864" s="1455">
        <v>614</v>
      </c>
      <c r="C864" s="1087">
        <v>0.95349206550118148</v>
      </c>
      <c r="D864" s="1087">
        <v>1.0117287770193195</v>
      </c>
      <c r="E864" s="1087">
        <v>1.007870485399728</v>
      </c>
      <c r="F864" s="1087">
        <v>1.0024758924123938</v>
      </c>
      <c r="G864" s="1087">
        <v>1.0047650776421846</v>
      </c>
      <c r="H864" s="1087">
        <v>0.95403295132260812</v>
      </c>
      <c r="I864" s="1087">
        <v>0.99111138040867708</v>
      </c>
      <c r="K864">
        <v>1.8653525105717692</v>
      </c>
      <c r="L864">
        <v>0</v>
      </c>
      <c r="M864">
        <v>3.5585665484155447E-3</v>
      </c>
      <c r="N864">
        <v>0.34607376457897676</v>
      </c>
      <c r="O864">
        <v>0.2437892916324618</v>
      </c>
      <c r="P864">
        <v>1.3408106739768009E-2</v>
      </c>
      <c r="Q864">
        <v>1.6671162091440974E-3</v>
      </c>
      <c r="R864">
        <v>3.5521465173828297E-3</v>
      </c>
      <c r="S864">
        <v>0.36862287620636308</v>
      </c>
      <c r="T864">
        <v>0.40373869294470061</v>
      </c>
      <c r="U864">
        <v>0</v>
      </c>
      <c r="V864">
        <v>0.20458543563461823</v>
      </c>
      <c r="W864">
        <v>0.21936291297322352</v>
      </c>
      <c r="X864">
        <v>5.444296182801539E-2</v>
      </c>
      <c r="Y864">
        <v>9.6677718555313111E-3</v>
      </c>
    </row>
    <row r="865" spans="1:25" x14ac:dyDescent="0.25">
      <c r="A865" s="1083"/>
      <c r="B865" s="1455">
        <v>615</v>
      </c>
      <c r="C865" s="1087">
        <v>0.98302168778906651</v>
      </c>
      <c r="D865" s="1087">
        <v>0.98497285603783646</v>
      </c>
      <c r="E865" s="1087">
        <v>1.0119361961308222</v>
      </c>
      <c r="F865" s="1087">
        <v>0.9985196487978496</v>
      </c>
      <c r="G865" s="1087">
        <v>0.97054792303339832</v>
      </c>
      <c r="H865" s="1087">
        <v>1.0300994082503268</v>
      </c>
      <c r="I865" s="1087">
        <v>1.0254308227072026</v>
      </c>
      <c r="K865">
        <v>1.9201728456862086</v>
      </c>
      <c r="L865">
        <v>0</v>
      </c>
      <c r="M865">
        <v>3.7496376018646268E-3</v>
      </c>
      <c r="N865">
        <v>0.36925641842854423</v>
      </c>
      <c r="O865">
        <v>0.24231420226398898</v>
      </c>
      <c r="P865">
        <v>1.3690729241156772E-2</v>
      </c>
      <c r="Q865">
        <v>1.6415257662127547E-3</v>
      </c>
      <c r="R865">
        <v>3.7433955173252396E-3</v>
      </c>
      <c r="S865">
        <v>0.39001857685435498</v>
      </c>
      <c r="T865">
        <v>0.40217011982551282</v>
      </c>
      <c r="U865">
        <v>0</v>
      </c>
      <c r="V865">
        <v>0.20235658286335811</v>
      </c>
      <c r="W865">
        <v>0.23346807328276376</v>
      </c>
      <c r="X865">
        <v>5.5074570656697769E-2</v>
      </c>
      <c r="Y865">
        <v>1.0188288588158664E-2</v>
      </c>
    </row>
    <row r="866" spans="1:25" x14ac:dyDescent="0.25">
      <c r="A866" s="1083"/>
      <c r="B866" s="1455">
        <v>616</v>
      </c>
      <c r="C866" s="1087">
        <v>1.0298270652397261</v>
      </c>
      <c r="D866" s="1087">
        <v>1.0368565578743418</v>
      </c>
      <c r="E866" s="1087">
        <v>1.0379193914220166</v>
      </c>
      <c r="F866" s="1087">
        <v>0.99923029389190599</v>
      </c>
      <c r="G866" s="1087">
        <v>1.041257836179766</v>
      </c>
      <c r="H866" s="1087">
        <v>0.95811104576934725</v>
      </c>
      <c r="I866" s="1087">
        <v>0.97444672693782863</v>
      </c>
      <c r="K866">
        <v>1.7691288563540934</v>
      </c>
      <c r="L866">
        <v>0</v>
      </c>
      <c r="M866">
        <v>3.0685666479665016E-3</v>
      </c>
      <c r="N866">
        <v>0.32703018775074277</v>
      </c>
      <c r="O866">
        <v>0.23203037720088482</v>
      </c>
      <c r="P866">
        <v>1.3039473281817851E-2</v>
      </c>
      <c r="Q866">
        <v>1.577610441902536E-3</v>
      </c>
      <c r="R866">
        <v>3.0630326433583321E-3</v>
      </c>
      <c r="S866">
        <v>0.33197089046911027</v>
      </c>
      <c r="T866">
        <v>0.40261640260459558</v>
      </c>
      <c r="U866">
        <v>0</v>
      </c>
      <c r="V866">
        <v>0.19487754695924442</v>
      </c>
      <c r="W866">
        <v>0.20350121867307175</v>
      </c>
      <c r="X866">
        <v>5.4154117850548696E-2</v>
      </c>
      <c r="Y866">
        <v>8.3365651267818686E-3</v>
      </c>
    </row>
    <row r="867" spans="1:25" x14ac:dyDescent="0.25">
      <c r="A867" s="1083"/>
      <c r="B867" s="1455">
        <v>617</v>
      </c>
      <c r="C867" s="1087">
        <v>1.0002745629789727</v>
      </c>
      <c r="D867" s="1087">
        <v>0.96234876444103423</v>
      </c>
      <c r="E867" s="1087">
        <v>1.0368429456614119</v>
      </c>
      <c r="F867" s="1087">
        <v>0.97826387404290971</v>
      </c>
      <c r="G867" s="1087">
        <v>1.0044576761008936</v>
      </c>
      <c r="H867" s="1087">
        <v>1.0119744899604521</v>
      </c>
      <c r="I867" s="1087">
        <v>0.98863084669376844</v>
      </c>
      <c r="K867">
        <v>1.8876914835436771</v>
      </c>
      <c r="L867">
        <v>0</v>
      </c>
      <c r="M867">
        <v>3.4823875489753972E-3</v>
      </c>
      <c r="N867">
        <v>0.36996125878983477</v>
      </c>
      <c r="O867">
        <v>0.24038424064023423</v>
      </c>
      <c r="P867">
        <v>1.3534697937922214E-2</v>
      </c>
      <c r="Q867">
        <v>1.6715164620605312E-3</v>
      </c>
      <c r="R867">
        <v>3.4765045223557876E-3</v>
      </c>
      <c r="S867">
        <v>0.37126956766586217</v>
      </c>
      <c r="T867">
        <v>0.39416192922006382</v>
      </c>
      <c r="U867">
        <v>0</v>
      </c>
      <c r="V867">
        <v>0.20007721422605393</v>
      </c>
      <c r="W867">
        <v>0.23036657045926517</v>
      </c>
      <c r="X867">
        <v>5.6808471888555034E-2</v>
      </c>
      <c r="Y867">
        <v>9.4618992804446616E-3</v>
      </c>
    </row>
    <row r="868" spans="1:25" x14ac:dyDescent="0.25">
      <c r="A868" s="1083"/>
      <c r="B868" s="1455">
        <v>618</v>
      </c>
      <c r="C868" s="1087">
        <v>0.97026905912026462</v>
      </c>
      <c r="D868" s="1087">
        <v>0.99150670807007435</v>
      </c>
      <c r="E868" s="1087">
        <v>1.0348974216295588</v>
      </c>
      <c r="F868" s="1087">
        <v>0.96293351989764486</v>
      </c>
      <c r="G868" s="1087">
        <v>1.0356352846328778</v>
      </c>
      <c r="H868" s="1087">
        <v>0.9957337084173461</v>
      </c>
      <c r="I868" s="1087">
        <v>1.0002498752789506</v>
      </c>
      <c r="K868">
        <v>1.8846487947293049</v>
      </c>
      <c r="L868">
        <v>0</v>
      </c>
      <c r="M868">
        <v>3.4892937319737274E-3</v>
      </c>
      <c r="N868">
        <v>0.36849338080860794</v>
      </c>
      <c r="O868">
        <v>0.2391785741544547</v>
      </c>
      <c r="P868">
        <v>1.3524703610681029E-2</v>
      </c>
      <c r="Q868">
        <v>1.6992941361317221E-3</v>
      </c>
      <c r="R868">
        <v>3.4832767263094241E-3</v>
      </c>
      <c r="S868">
        <v>0.37777531596621827</v>
      </c>
      <c r="T868">
        <v>0.38797339062733194</v>
      </c>
      <c r="U868">
        <v>0</v>
      </c>
      <c r="V868">
        <v>0.20040203547054167</v>
      </c>
      <c r="W868">
        <v>0.2297242468897743</v>
      </c>
      <c r="X868">
        <v>5.6403539084077844E-2</v>
      </c>
      <c r="Y868">
        <v>9.4803309871500253E-3</v>
      </c>
    </row>
    <row r="869" spans="1:25" x14ac:dyDescent="0.25">
      <c r="A869" s="1083"/>
      <c r="B869" s="1455">
        <v>619</v>
      </c>
      <c r="C869" s="1087">
        <v>0.99639079404661923</v>
      </c>
      <c r="D869" s="1087">
        <v>1.0087539264389385</v>
      </c>
      <c r="E869" s="1087">
        <v>1.0138522425218746</v>
      </c>
      <c r="F869" s="1087">
        <v>1.0011893102301281</v>
      </c>
      <c r="G869" s="1087">
        <v>1.0002749975449816</v>
      </c>
      <c r="H869" s="1087">
        <v>0.98067723060290524</v>
      </c>
      <c r="I869" s="1087">
        <v>0.96968374017101933</v>
      </c>
      <c r="K869">
        <v>1.8298806550392437</v>
      </c>
      <c r="L869">
        <v>0</v>
      </c>
      <c r="M869">
        <v>3.4632746578650733E-3</v>
      </c>
      <c r="N869">
        <v>0.3430233579785314</v>
      </c>
      <c r="O869">
        <v>0.23865310105327847</v>
      </c>
      <c r="P869">
        <v>1.3145120092358869E-2</v>
      </c>
      <c r="Q869">
        <v>1.6073761586522363E-3</v>
      </c>
      <c r="R869">
        <v>3.4571987232582422E-3</v>
      </c>
      <c r="S869">
        <v>0.35043456981199156</v>
      </c>
      <c r="T869">
        <v>0.40325709884590971</v>
      </c>
      <c r="U869">
        <v>0</v>
      </c>
      <c r="V869">
        <v>0.19987535724582259</v>
      </c>
      <c r="W869">
        <v>0.21662482188497881</v>
      </c>
      <c r="X869">
        <v>5.3856572642869853E-2</v>
      </c>
      <c r="Y869">
        <v>9.4093552594561019E-3</v>
      </c>
    </row>
    <row r="870" spans="1:25" x14ac:dyDescent="0.25">
      <c r="A870" s="1083"/>
      <c r="B870" s="1455">
        <v>620</v>
      </c>
      <c r="C870" s="1087">
        <v>0.99527673101487413</v>
      </c>
      <c r="D870" s="1087">
        <v>1.0230593872456009</v>
      </c>
      <c r="E870" s="1087">
        <v>0.97232355741009791</v>
      </c>
      <c r="F870" s="1087">
        <v>1.0392001808124003</v>
      </c>
      <c r="G870" s="1087">
        <v>1.0005755628781363</v>
      </c>
      <c r="H870" s="1087">
        <v>0.98929597735636055</v>
      </c>
      <c r="I870" s="1087">
        <v>1.0062745275740328</v>
      </c>
      <c r="K870">
        <v>1.8427612858649607</v>
      </c>
      <c r="L870">
        <v>0</v>
      </c>
      <c r="M870">
        <v>3.7774924469647594E-3</v>
      </c>
      <c r="N870">
        <v>0.32959312764278897</v>
      </c>
      <c r="O870">
        <v>0.24111544836581014</v>
      </c>
      <c r="P870">
        <v>1.313233469194351E-2</v>
      </c>
      <c r="Q870">
        <v>1.5306268516019487E-3</v>
      </c>
      <c r="R870">
        <v>3.7709082216307627E-3</v>
      </c>
      <c r="S870">
        <v>0.36228462051725402</v>
      </c>
      <c r="T870">
        <v>0.41830685713481885</v>
      </c>
      <c r="U870">
        <v>0</v>
      </c>
      <c r="V870">
        <v>0.20219446656702297</v>
      </c>
      <c r="W870">
        <v>0.21364423051880324</v>
      </c>
      <c r="X870">
        <v>5.0702988700530603E-2</v>
      </c>
      <c r="Y870">
        <v>1.0263169099717763E-2</v>
      </c>
    </row>
    <row r="871" spans="1:25" x14ac:dyDescent="0.25">
      <c r="A871" s="1083"/>
      <c r="B871" s="1455">
        <v>621</v>
      </c>
      <c r="C871" s="1087">
        <v>0.98798102887221506</v>
      </c>
      <c r="D871" s="1087">
        <v>0.98593559891161497</v>
      </c>
      <c r="E871" s="1087">
        <v>1.0243316193675032</v>
      </c>
      <c r="F871" s="1087">
        <v>1.0329026249402227</v>
      </c>
      <c r="G871" s="1087">
        <v>1.0116524568532721</v>
      </c>
      <c r="H871" s="1087">
        <v>1.0046334748761723</v>
      </c>
      <c r="I871" s="1087">
        <v>0.97456758562329748</v>
      </c>
      <c r="K871">
        <v>1.9026633632695904</v>
      </c>
      <c r="L871">
        <v>0</v>
      </c>
      <c r="M871">
        <v>3.5456974508661495E-3</v>
      </c>
      <c r="N871">
        <v>0.36260050403730421</v>
      </c>
      <c r="O871">
        <v>0.24588613294523282</v>
      </c>
      <c r="P871">
        <v>1.3684392401722706E-2</v>
      </c>
      <c r="Q871">
        <v>1.6541518822054998E-3</v>
      </c>
      <c r="R871">
        <v>3.5396449918293441E-3</v>
      </c>
      <c r="S871">
        <v>0.36417836986306124</v>
      </c>
      <c r="T871">
        <v>0.41609699210262868</v>
      </c>
      <c r="U871">
        <v>0</v>
      </c>
      <c r="V871">
        <v>0.20481633176562036</v>
      </c>
      <c r="W871">
        <v>0.22751483564508507</v>
      </c>
      <c r="X871">
        <v>5.6603958261665706E-2</v>
      </c>
      <c r="Y871">
        <v>9.6337468241015165E-3</v>
      </c>
    </row>
    <row r="872" spans="1:25" x14ac:dyDescent="0.25">
      <c r="A872" s="1083"/>
      <c r="B872" s="1455">
        <v>622</v>
      </c>
      <c r="C872" s="1087">
        <v>1.0242943548161763</v>
      </c>
      <c r="D872" s="1087">
        <v>1.0064748146527169</v>
      </c>
      <c r="E872" s="1087">
        <v>0.97436201730254324</v>
      </c>
      <c r="F872" s="1087">
        <v>0.96114952521117769</v>
      </c>
      <c r="G872" s="1087">
        <v>0.98064859186425146</v>
      </c>
      <c r="H872" s="1087">
        <v>1.0120116677364772</v>
      </c>
      <c r="I872" s="1087">
        <v>1.0032970246582225</v>
      </c>
      <c r="K872">
        <v>1.7877151079670077</v>
      </c>
      <c r="L872">
        <v>0</v>
      </c>
      <c r="M872">
        <v>3.7730652207787333E-3</v>
      </c>
      <c r="N872">
        <v>0.33127954039151986</v>
      </c>
      <c r="O872">
        <v>0.23030890132614085</v>
      </c>
      <c r="P872">
        <v>1.2560595505776926E-2</v>
      </c>
      <c r="Q872">
        <v>1.5003205394051105E-3</v>
      </c>
      <c r="R872">
        <v>3.7666522431974831E-3</v>
      </c>
      <c r="S872">
        <v>0.35823807561498733</v>
      </c>
      <c r="T872">
        <v>0.38690094926534524</v>
      </c>
      <c r="U872">
        <v>0</v>
      </c>
      <c r="V872">
        <v>0.1933942564010015</v>
      </c>
      <c r="W872">
        <v>0.21445849161369818</v>
      </c>
      <c r="X872">
        <v>4.8828804557305899E-2</v>
      </c>
      <c r="Y872">
        <v>1.0251585729405287E-2</v>
      </c>
    </row>
    <row r="873" spans="1:25" x14ac:dyDescent="0.25">
      <c r="A873" s="1083"/>
      <c r="B873" s="1455">
        <v>623</v>
      </c>
      <c r="C873" s="1087">
        <v>0.97814361693884622</v>
      </c>
      <c r="D873" s="1087">
        <v>1.0117025915786535</v>
      </c>
      <c r="E873" s="1087">
        <v>0.99186999329756897</v>
      </c>
      <c r="F873" s="1087">
        <v>1.0097164015378559</v>
      </c>
      <c r="G873" s="1087">
        <v>1.0133948059861164</v>
      </c>
      <c r="H873" s="1087">
        <v>1.0323795585265916</v>
      </c>
      <c r="I873" s="1087">
        <v>1.0159745754544032</v>
      </c>
      <c r="K873">
        <v>1.9008432346845221</v>
      </c>
      <c r="L873">
        <v>0</v>
      </c>
      <c r="M873">
        <v>3.8788421822002275E-3</v>
      </c>
      <c r="N873">
        <v>0.35929328536834076</v>
      </c>
      <c r="O873">
        <v>0.24130196076822955</v>
      </c>
      <c r="P873">
        <v>1.3449466323277344E-2</v>
      </c>
      <c r="Q873">
        <v>1.5976428188651621E-3</v>
      </c>
      <c r="R873">
        <v>3.8723756709969259E-3</v>
      </c>
      <c r="S873">
        <v>0.38284027436983181</v>
      </c>
      <c r="T873">
        <v>0.40655686497761279</v>
      </c>
      <c r="U873">
        <v>0</v>
      </c>
      <c r="V873">
        <v>0.20232270062766991</v>
      </c>
      <c r="W873">
        <v>0.2300307692259741</v>
      </c>
      <c r="X873">
        <v>5.2917406667767952E-2</v>
      </c>
      <c r="Y873">
        <v>1.0539330048156765E-2</v>
      </c>
    </row>
    <row r="874" spans="1:25" x14ac:dyDescent="0.25">
      <c r="A874" s="1083"/>
      <c r="B874" s="1455">
        <v>624</v>
      </c>
      <c r="C874" s="1087">
        <v>1.0229068053922774</v>
      </c>
      <c r="D874" s="1087">
        <v>1.0137713377672251</v>
      </c>
      <c r="E874" s="1087">
        <v>0.99420477837838617</v>
      </c>
      <c r="F874" s="1087">
        <v>1.0267670674465386</v>
      </c>
      <c r="G874" s="1087">
        <v>1.0013795857179022</v>
      </c>
      <c r="H874" s="1087">
        <v>0.99505370367742474</v>
      </c>
      <c r="I874" s="1087">
        <v>1.036789316736934</v>
      </c>
      <c r="K874">
        <v>1.8357547255738225</v>
      </c>
      <c r="L874">
        <v>0</v>
      </c>
      <c r="M874">
        <v>3.5523680022774198E-3</v>
      </c>
      <c r="N874">
        <v>0.33138519556520402</v>
      </c>
      <c r="O874">
        <v>0.23757736313338276</v>
      </c>
      <c r="P874">
        <v>1.3294159563597382E-2</v>
      </c>
      <c r="Q874">
        <v>1.5302971436108039E-3</v>
      </c>
      <c r="R874">
        <v>3.546218926221977E-3</v>
      </c>
      <c r="S874">
        <v>0.36629525192544771</v>
      </c>
      <c r="T874">
        <v>0.41343667699121045</v>
      </c>
      <c r="U874">
        <v>0</v>
      </c>
      <c r="V874">
        <v>0.19882376184053274</v>
      </c>
      <c r="W874">
        <v>0.21185223177464751</v>
      </c>
      <c r="X874">
        <v>5.1914297805822601E-2</v>
      </c>
      <c r="Y874">
        <v>9.6516389064213708E-3</v>
      </c>
    </row>
    <row r="875" spans="1:25" x14ac:dyDescent="0.25">
      <c r="A875" s="1083"/>
      <c r="B875" s="1455">
        <v>625</v>
      </c>
      <c r="C875" s="1087">
        <v>0.96564769183459886</v>
      </c>
      <c r="D875" s="1087">
        <v>1.0184219108447254</v>
      </c>
      <c r="E875" s="1087">
        <v>1.0308476160589881</v>
      </c>
      <c r="F875" s="1087">
        <v>1.0092615566767469</v>
      </c>
      <c r="G875" s="1087">
        <v>0.96325824719415554</v>
      </c>
      <c r="H875" s="1087">
        <v>0.96165561762447505</v>
      </c>
      <c r="I875" s="1087">
        <v>0.98845667588716302</v>
      </c>
      <c r="K875">
        <v>1.8676600036993278</v>
      </c>
      <c r="L875">
        <v>0</v>
      </c>
      <c r="M875">
        <v>3.3669657859538987E-3</v>
      </c>
      <c r="N875">
        <v>0.35119413162441548</v>
      </c>
      <c r="O875">
        <v>0.2427270087464751</v>
      </c>
      <c r="P875">
        <v>1.3588303830563603E-2</v>
      </c>
      <c r="Q875">
        <v>1.6820794238918723E-3</v>
      </c>
      <c r="R875">
        <v>3.3609344028352152E-3</v>
      </c>
      <c r="S875">
        <v>0.36336293281782944</v>
      </c>
      <c r="T875">
        <v>0.40661398301235191</v>
      </c>
      <c r="U875">
        <v>0</v>
      </c>
      <c r="V875">
        <v>0.20357122735899125</v>
      </c>
      <c r="W875">
        <v>0.21948083460613696</v>
      </c>
      <c r="X875">
        <v>5.6298178149002912E-2</v>
      </c>
      <c r="Y875">
        <v>9.1473555127893243E-3</v>
      </c>
    </row>
    <row r="876" spans="1:25" x14ac:dyDescent="0.25">
      <c r="A876" s="1083"/>
      <c r="B876" s="1455">
        <v>626</v>
      </c>
      <c r="C876" s="1087">
        <v>1.0282960057707873</v>
      </c>
      <c r="D876" s="1087">
        <v>0.97025165687483195</v>
      </c>
      <c r="E876" s="1087">
        <v>0.99714566739113897</v>
      </c>
      <c r="F876" s="1087">
        <v>1.0105175377553681</v>
      </c>
      <c r="G876" s="1087">
        <v>0.96197434714139685</v>
      </c>
      <c r="H876" s="1087">
        <v>1.0221267555856206</v>
      </c>
      <c r="I876" s="1087">
        <v>1.0364370585988685</v>
      </c>
      <c r="K876">
        <v>1.8718818704425577</v>
      </c>
      <c r="L876">
        <v>0</v>
      </c>
      <c r="M876">
        <v>3.696144823274673E-3</v>
      </c>
      <c r="N876">
        <v>0.34792669436818341</v>
      </c>
      <c r="O876">
        <v>0.23956402894638315</v>
      </c>
      <c r="P876">
        <v>1.3405081495647753E-2</v>
      </c>
      <c r="Q876">
        <v>1.5541035311118026E-3</v>
      </c>
      <c r="R876">
        <v>3.6899569811754216E-3</v>
      </c>
      <c r="S876">
        <v>0.3783567735580553</v>
      </c>
      <c r="T876">
        <v>0.40691161398191927</v>
      </c>
      <c r="U876">
        <v>0</v>
      </c>
      <c r="V876">
        <v>0.19928062210683051</v>
      </c>
      <c r="W876">
        <v>0.22201742385797602</v>
      </c>
      <c r="X876">
        <v>5.2828869929780371E-2</v>
      </c>
      <c r="Y876">
        <v>1.0042846508767566E-2</v>
      </c>
    </row>
    <row r="877" spans="1:25" x14ac:dyDescent="0.25">
      <c r="A877" s="1083"/>
      <c r="B877" s="1455">
        <v>627</v>
      </c>
      <c r="C877" s="1087">
        <v>0.99193920113646006</v>
      </c>
      <c r="D877" s="1087">
        <v>0.99337813639862382</v>
      </c>
      <c r="E877" s="1087">
        <v>0.98921331731534035</v>
      </c>
      <c r="F877" s="1087">
        <v>1.0127734049677555</v>
      </c>
      <c r="G877" s="1087">
        <v>1.0129290567361695</v>
      </c>
      <c r="H877" s="1087">
        <v>1.0014224184295386</v>
      </c>
      <c r="I877" s="1087">
        <v>0.99108032431054482</v>
      </c>
      <c r="K877">
        <v>1.8634666780203586</v>
      </c>
      <c r="L877">
        <v>0</v>
      </c>
      <c r="M877">
        <v>3.7673060735664622E-3</v>
      </c>
      <c r="N877">
        <v>0.34612578845903097</v>
      </c>
      <c r="O877">
        <v>0.24173911184364399</v>
      </c>
      <c r="P877">
        <v>1.3211731269369186E-2</v>
      </c>
      <c r="Q877">
        <v>1.5824758657084798E-3</v>
      </c>
      <c r="R877">
        <v>3.7608477545818808E-3</v>
      </c>
      <c r="S877">
        <v>0.36634357469917639</v>
      </c>
      <c r="T877">
        <v>0.40777155832284395</v>
      </c>
      <c r="U877">
        <v>0</v>
      </c>
      <c r="V877">
        <v>0.20202450931882626</v>
      </c>
      <c r="W877">
        <v>0.22197131226493033</v>
      </c>
      <c r="X877">
        <v>5.2467286470969959E-2</v>
      </c>
      <c r="Y877">
        <v>1.0235787824842777E-2</v>
      </c>
    </row>
    <row r="878" spans="1:25" x14ac:dyDescent="0.25">
      <c r="A878" s="1083"/>
      <c r="B878" s="1455">
        <v>628</v>
      </c>
      <c r="C878" s="1087">
        <v>0.99597500106175785</v>
      </c>
      <c r="D878" s="1087">
        <v>0.98743783596644996</v>
      </c>
      <c r="E878" s="1087">
        <v>0.96582388862901469</v>
      </c>
      <c r="F878" s="1087">
        <v>1.0024165010804378</v>
      </c>
      <c r="G878" s="1087">
        <v>1.0248835885505658</v>
      </c>
      <c r="H878" s="1087">
        <v>0.97096551646808016</v>
      </c>
      <c r="I878" s="1087">
        <v>1.0101604407941154</v>
      </c>
      <c r="K878">
        <v>1.8271323978051393</v>
      </c>
      <c r="L878">
        <v>0</v>
      </c>
      <c r="M878">
        <v>3.827848383712053E-3</v>
      </c>
      <c r="N878">
        <v>0.32740498133866464</v>
      </c>
      <c r="O878">
        <v>0.24028006900526436</v>
      </c>
      <c r="P878">
        <v>1.2917614757093687E-2</v>
      </c>
      <c r="Q878">
        <v>1.540510344234078E-3</v>
      </c>
      <c r="R878">
        <v>3.8210859644524403E-3</v>
      </c>
      <c r="S878">
        <v>0.36720850291023138</v>
      </c>
      <c r="T878">
        <v>0.40346181369673184</v>
      </c>
      <c r="U878">
        <v>0</v>
      </c>
      <c r="V878">
        <v>0.20087329868117595</v>
      </c>
      <c r="W878">
        <v>0.21310993673154366</v>
      </c>
      <c r="X878">
        <v>4.9942696384867688E-2</v>
      </c>
      <c r="Y878">
        <v>1.039973637458989E-2</v>
      </c>
    </row>
    <row r="879" spans="1:25" x14ac:dyDescent="0.25">
      <c r="A879" s="1083"/>
      <c r="B879" s="1455">
        <v>629</v>
      </c>
      <c r="C879" s="1087">
        <v>1.0258626973504668</v>
      </c>
      <c r="D879" s="1087">
        <v>1.0183221697459057</v>
      </c>
      <c r="E879" s="1087">
        <v>1.0080792005264607</v>
      </c>
      <c r="F879" s="1087">
        <v>1.0402804017402676</v>
      </c>
      <c r="G879" s="1087">
        <v>1.0461687482582194</v>
      </c>
      <c r="H879" s="1087">
        <v>0.9592497645628425</v>
      </c>
      <c r="I879" s="1087">
        <v>0.98463932230067619</v>
      </c>
      <c r="K879">
        <v>1.7997075292588338</v>
      </c>
      <c r="L879">
        <v>0</v>
      </c>
      <c r="M879">
        <v>3.3101164922032201E-3</v>
      </c>
      <c r="N879">
        <v>0.32211897171415704</v>
      </c>
      <c r="O879">
        <v>0.23844697249320249</v>
      </c>
      <c r="P879">
        <v>1.3155113766913674E-2</v>
      </c>
      <c r="Q879">
        <v>1.5458290763736031E-3</v>
      </c>
      <c r="R879">
        <v>3.3041673974158799E-3</v>
      </c>
      <c r="S879">
        <v>0.33994108193369321</v>
      </c>
      <c r="T879">
        <v>0.41896546256639466</v>
      </c>
      <c r="U879">
        <v>0</v>
      </c>
      <c r="V879">
        <v>0.19946417549915385</v>
      </c>
      <c r="W879">
        <v>0.20415242053943694</v>
      </c>
      <c r="X879">
        <v>5.2930596327017833E-2</v>
      </c>
      <c r="Y879">
        <v>8.9928544372762029E-3</v>
      </c>
    </row>
    <row r="880" spans="1:25" x14ac:dyDescent="0.25">
      <c r="A880" s="1083"/>
      <c r="B880" s="1455">
        <v>630</v>
      </c>
      <c r="C880" s="1087">
        <v>1.0225158235328906</v>
      </c>
      <c r="D880" s="1087">
        <v>0.96720117461354227</v>
      </c>
      <c r="E880" s="1087">
        <v>0.96888918681166247</v>
      </c>
      <c r="F880" s="1087">
        <v>0.99389624848284974</v>
      </c>
      <c r="G880" s="1087">
        <v>0.96759458451099944</v>
      </c>
      <c r="H880" s="1087">
        <v>1.0064311226702412</v>
      </c>
      <c r="I880" s="1087">
        <v>1.0163186052689885</v>
      </c>
      <c r="K880">
        <v>1.8353129015191927</v>
      </c>
      <c r="L880">
        <v>0</v>
      </c>
      <c r="M880">
        <v>3.8837245890143562E-3</v>
      </c>
      <c r="N880">
        <v>0.33533619391337049</v>
      </c>
      <c r="O880">
        <v>0.2381849497364335</v>
      </c>
      <c r="P880">
        <v>1.2914812352692734E-2</v>
      </c>
      <c r="Q880">
        <v>1.5180391962680037E-3</v>
      </c>
      <c r="R880">
        <v>3.8771242114659129E-3</v>
      </c>
      <c r="S880">
        <v>0.37055377611661283</v>
      </c>
      <c r="T880">
        <v>0.40005052699305177</v>
      </c>
      <c r="U880">
        <v>0</v>
      </c>
      <c r="V880">
        <v>0.19844433563759184</v>
      </c>
      <c r="W880">
        <v>0.21784434998399982</v>
      </c>
      <c r="X880">
        <v>4.9920263956760642E-2</v>
      </c>
      <c r="Y880">
        <v>1.0552254009957398E-2</v>
      </c>
    </row>
    <row r="881" spans="1:25" x14ac:dyDescent="0.25">
      <c r="A881" s="1083"/>
      <c r="B881" s="1455">
        <v>631</v>
      </c>
      <c r="C881" s="1087">
        <v>0.9856221502060265</v>
      </c>
      <c r="D881" s="1087">
        <v>0.98445548493422141</v>
      </c>
      <c r="E881" s="1087">
        <v>1.0101617816162611</v>
      </c>
      <c r="F881" s="1087">
        <v>1.0067868605507613</v>
      </c>
      <c r="G881" s="1087">
        <v>0.99037669068563716</v>
      </c>
      <c r="H881" s="1087">
        <v>0.97590232709973335</v>
      </c>
      <c r="I881" s="1087">
        <v>1.0085959724188311</v>
      </c>
      <c r="K881">
        <v>1.8720838110480358</v>
      </c>
      <c r="L881">
        <v>0</v>
      </c>
      <c r="M881">
        <v>3.5570709767049563E-3</v>
      </c>
      <c r="N881">
        <v>0.34837049524098307</v>
      </c>
      <c r="O881">
        <v>0.24302027257709338</v>
      </c>
      <c r="P881">
        <v>1.3484571459425941E-2</v>
      </c>
      <c r="Q881">
        <v>1.6344631654585831E-3</v>
      </c>
      <c r="R881">
        <v>3.5508213712762216E-3</v>
      </c>
      <c r="S881">
        <v>0.3725537577735315</v>
      </c>
      <c r="T881">
        <v>0.40548896563830178</v>
      </c>
      <c r="U881">
        <v>0</v>
      </c>
      <c r="V881">
        <v>0.20281241227407659</v>
      </c>
      <c r="W881">
        <v>0.22050494433392251</v>
      </c>
      <c r="X881">
        <v>5.4556012946007246E-2</v>
      </c>
      <c r="Y881">
        <v>9.6641652446634203E-3</v>
      </c>
    </row>
    <row r="882" spans="1:25" x14ac:dyDescent="0.25">
      <c r="A882" s="1083"/>
      <c r="B882" s="1455">
        <v>632</v>
      </c>
      <c r="C882" s="1087">
        <v>1.0109011180933594</v>
      </c>
      <c r="D882" s="1087">
        <v>0.96092097067955073</v>
      </c>
      <c r="E882" s="1087">
        <v>0.99020182558384873</v>
      </c>
      <c r="F882" s="1087">
        <v>0.99038626475529146</v>
      </c>
      <c r="G882" s="1087">
        <v>1.0022806304542491</v>
      </c>
      <c r="H882" s="1087">
        <v>0.99571473621543927</v>
      </c>
      <c r="I882" s="1087">
        <v>1.0358198471753852</v>
      </c>
      <c r="K882">
        <v>1.8621591162547488</v>
      </c>
      <c r="L882">
        <v>0</v>
      </c>
      <c r="M882">
        <v>3.734150017648655E-3</v>
      </c>
      <c r="N882">
        <v>0.34411612663424312</v>
      </c>
      <c r="O882">
        <v>0.24007565062826097</v>
      </c>
      <c r="P882">
        <v>1.3276365620996227E-2</v>
      </c>
      <c r="Q882">
        <v>1.5752306088517587E-3</v>
      </c>
      <c r="R882">
        <v>3.7277410230162431E-3</v>
      </c>
      <c r="S882">
        <v>0.38159988386593008</v>
      </c>
      <c r="T882">
        <v>0.39876374323374497</v>
      </c>
      <c r="U882">
        <v>0</v>
      </c>
      <c r="V882">
        <v>0.19981957033417805</v>
      </c>
      <c r="W882">
        <v>0.22054519048723123</v>
      </c>
      <c r="X882">
        <v>5.2248081620792398E-2</v>
      </c>
      <c r="Y882">
        <v>1.0145682215152236E-2</v>
      </c>
    </row>
    <row r="883" spans="1:25" x14ac:dyDescent="0.25">
      <c r="A883" s="1083"/>
      <c r="B883" s="1455">
        <v>633</v>
      </c>
      <c r="C883" s="1087">
        <v>1.0007338957270002</v>
      </c>
      <c r="D883" s="1087">
        <v>1.0319346623979859</v>
      </c>
      <c r="E883" s="1087">
        <v>0.97686478569575108</v>
      </c>
      <c r="F883" s="1087">
        <v>0.99938417688620951</v>
      </c>
      <c r="G883" s="1087">
        <v>0.99420557160807133</v>
      </c>
      <c r="H883" s="1087">
        <v>1.0092223662588848</v>
      </c>
      <c r="I883" s="1087">
        <v>0.96583268633119801</v>
      </c>
      <c r="K883">
        <v>1.8080438529679124</v>
      </c>
      <c r="L883">
        <v>0</v>
      </c>
      <c r="M883">
        <v>3.7803111647444773E-3</v>
      </c>
      <c r="N883">
        <v>0.33446149276375414</v>
      </c>
      <c r="O883">
        <v>0.23512535657387287</v>
      </c>
      <c r="P883">
        <v>1.2709159056515047E-2</v>
      </c>
      <c r="Q883">
        <v>1.52448609002597E-3</v>
      </c>
      <c r="R883">
        <v>3.7738455261291529E-3</v>
      </c>
      <c r="S883">
        <v>0.34769226806829157</v>
      </c>
      <c r="T883">
        <v>0.40230680748726039</v>
      </c>
      <c r="U883">
        <v>0</v>
      </c>
      <c r="V883">
        <v>0.19782832097065459</v>
      </c>
      <c r="W883">
        <v>0.21617377303017424</v>
      </c>
      <c r="X883">
        <v>4.9957491091697101E-2</v>
      </c>
      <c r="Y883">
        <v>1.027116347428021E-2</v>
      </c>
    </row>
    <row r="884" spans="1:25" x14ac:dyDescent="0.25">
      <c r="A884" s="1083"/>
      <c r="B884" s="1455">
        <v>634</v>
      </c>
      <c r="C884" s="1087">
        <v>1.0006468425985535</v>
      </c>
      <c r="D884" s="1087">
        <v>1.0328797782220061</v>
      </c>
      <c r="E884" s="1087">
        <v>0.97132682467016496</v>
      </c>
      <c r="F884" s="1087">
        <v>0.98944177721717652</v>
      </c>
      <c r="G884" s="1087">
        <v>1.0033593390178557</v>
      </c>
      <c r="H884" s="1087">
        <v>0.98517803514862579</v>
      </c>
      <c r="I884" s="1087">
        <v>0.97143668858721699</v>
      </c>
      <c r="K884">
        <v>1.7826929856053573</v>
      </c>
      <c r="L884">
        <v>0</v>
      </c>
      <c r="M884">
        <v>3.7307537646045323E-3</v>
      </c>
      <c r="N884">
        <v>0.3245214381377966</v>
      </c>
      <c r="O884">
        <v>0.23382823590240628</v>
      </c>
      <c r="P884">
        <v>1.2558307836546137E-2</v>
      </c>
      <c r="Q884">
        <v>1.5149724047690374E-3</v>
      </c>
      <c r="R884">
        <v>3.7242165969942243E-3</v>
      </c>
      <c r="S884">
        <v>0.34535360748347904</v>
      </c>
      <c r="T884">
        <v>0.3982718675785123</v>
      </c>
      <c r="U884">
        <v>0</v>
      </c>
      <c r="V884">
        <v>0.19691808231641236</v>
      </c>
      <c r="W884">
        <v>0.21049059538129025</v>
      </c>
      <c r="X884">
        <v>4.9106325842407983E-2</v>
      </c>
      <c r="Y884">
        <v>1.0136089889347029E-2</v>
      </c>
    </row>
    <row r="885" spans="1:25" x14ac:dyDescent="0.25">
      <c r="A885" s="1083"/>
      <c r="B885" s="1455">
        <v>635</v>
      </c>
      <c r="C885" s="1087">
        <v>1.004520700685414</v>
      </c>
      <c r="D885" s="1087">
        <v>1.0095575907704548</v>
      </c>
      <c r="E885" s="1087">
        <v>0.9930510883237974</v>
      </c>
      <c r="F885" s="1087">
        <v>1.0237676882449416</v>
      </c>
      <c r="G885" s="1087">
        <v>1.0147717951290787</v>
      </c>
      <c r="H885" s="1087">
        <v>1.0105314373050114</v>
      </c>
      <c r="I885" s="1087">
        <v>0.95725589371198594</v>
      </c>
      <c r="K885">
        <v>1.8404425328886946</v>
      </c>
      <c r="L885">
        <v>0</v>
      </c>
      <c r="M885">
        <v>3.6916753745344661E-3</v>
      </c>
      <c r="N885">
        <v>0.3431793134949685</v>
      </c>
      <c r="O885">
        <v>0.23989135492270278</v>
      </c>
      <c r="P885">
        <v>1.3042307946703592E-2</v>
      </c>
      <c r="Q885">
        <v>1.558981092243881E-3</v>
      </c>
      <c r="R885">
        <v>3.685388504592579E-3</v>
      </c>
      <c r="S885">
        <v>0.3478775491107019</v>
      </c>
      <c r="T885">
        <v>0.41222182690440234</v>
      </c>
      <c r="U885">
        <v>0</v>
      </c>
      <c r="V885">
        <v>0.20075030784082096</v>
      </c>
      <c r="W885">
        <v>0.2195510958047687</v>
      </c>
      <c r="X885">
        <v>5.2345670019816021E-2</v>
      </c>
      <c r="Y885">
        <v>1.0030412621506968E-2</v>
      </c>
    </row>
    <row r="886" spans="1:25" x14ac:dyDescent="0.25">
      <c r="A886" s="1083"/>
      <c r="B886" s="1455">
        <v>636</v>
      </c>
      <c r="C886" s="1087">
        <v>0.97952902405628373</v>
      </c>
      <c r="D886" s="1087">
        <v>0.99348183100214571</v>
      </c>
      <c r="E886" s="1087">
        <v>1.0299315316809468</v>
      </c>
      <c r="F886" s="1087">
        <v>1.0149736285856363</v>
      </c>
      <c r="G886" s="1087">
        <v>0.99228638302576022</v>
      </c>
      <c r="H886" s="1087">
        <v>1.0049521569248998</v>
      </c>
      <c r="I886" s="1087">
        <v>1.0360223225814382</v>
      </c>
      <c r="K886">
        <v>1.9234718667609199</v>
      </c>
      <c r="L886">
        <v>0</v>
      </c>
      <c r="M886">
        <v>3.5219579015462522E-3</v>
      </c>
      <c r="N886">
        <v>0.36636789822093208</v>
      </c>
      <c r="O886">
        <v>0.24413848316581166</v>
      </c>
      <c r="P886">
        <v>1.3972077178638896E-2</v>
      </c>
      <c r="Q886">
        <v>1.6731607165227339E-3</v>
      </c>
      <c r="R886">
        <v>3.5159414135587977E-3</v>
      </c>
      <c r="S886">
        <v>0.3889654419451114</v>
      </c>
      <c r="T886">
        <v>0.4089095243833249</v>
      </c>
      <c r="U886">
        <v>0</v>
      </c>
      <c r="V886">
        <v>0.20383249890678951</v>
      </c>
      <c r="W886">
        <v>0.22909191033570611</v>
      </c>
      <c r="X886">
        <v>5.6957654898137047E-2</v>
      </c>
      <c r="Y886">
        <v>9.5692334979315674E-3</v>
      </c>
    </row>
    <row r="887" spans="1:25" x14ac:dyDescent="0.25">
      <c r="A887" s="1083"/>
      <c r="B887" s="1455">
        <v>637</v>
      </c>
      <c r="C887" s="1087">
        <v>0.9951247489900249</v>
      </c>
      <c r="D887" s="1087">
        <v>0.97960780684286275</v>
      </c>
      <c r="E887" s="1087">
        <v>1.0330110657285361</v>
      </c>
      <c r="F887" s="1087">
        <v>0.99872155242624472</v>
      </c>
      <c r="G887" s="1087">
        <v>0.98705550926966612</v>
      </c>
      <c r="H887" s="1087">
        <v>0.98550384139990221</v>
      </c>
      <c r="I887" s="1087">
        <v>0.99022159013815425</v>
      </c>
      <c r="K887">
        <v>1.8721693238225816</v>
      </c>
      <c r="L887">
        <v>0</v>
      </c>
      <c r="M887">
        <v>3.4037322867248609E-3</v>
      </c>
      <c r="N887">
        <v>0.35739418008418261</v>
      </c>
      <c r="O887">
        <v>0.24170860530079535</v>
      </c>
      <c r="P887">
        <v>1.3547912754887819E-2</v>
      </c>
      <c r="Q887">
        <v>1.6615856962406317E-3</v>
      </c>
      <c r="R887">
        <v>3.3978142597543264E-3</v>
      </c>
      <c r="S887">
        <v>0.36527758364142721</v>
      </c>
      <c r="T887">
        <v>0.4023809815838314</v>
      </c>
      <c r="U887">
        <v>0</v>
      </c>
      <c r="V887">
        <v>0.20147463607089172</v>
      </c>
      <c r="W887">
        <v>0.22306099796423084</v>
      </c>
      <c r="X887">
        <v>5.642102842718387E-2</v>
      </c>
      <c r="Y887">
        <v>9.2477303258815778E-3</v>
      </c>
    </row>
    <row r="888" spans="1:25" x14ac:dyDescent="0.25">
      <c r="A888" s="1083"/>
      <c r="B888" s="1455">
        <v>638</v>
      </c>
      <c r="C888" s="1087">
        <v>1.0241519435247619</v>
      </c>
      <c r="D888" s="1087">
        <v>1.0253789167886411</v>
      </c>
      <c r="E888" s="1087">
        <v>0.96201716422226191</v>
      </c>
      <c r="F888" s="1087">
        <v>0.98567872412029012</v>
      </c>
      <c r="G888" s="1087">
        <v>1.0346284589263661</v>
      </c>
      <c r="H888" s="1087">
        <v>1.0130430369099583</v>
      </c>
      <c r="I888" s="1087">
        <v>0.99778273382300309</v>
      </c>
      <c r="K888">
        <v>1.7831049588389583</v>
      </c>
      <c r="L888">
        <v>0</v>
      </c>
      <c r="M888">
        <v>3.8344694896464112E-3</v>
      </c>
      <c r="N888">
        <v>0.32419419800012139</v>
      </c>
      <c r="O888">
        <v>0.23120988406719378</v>
      </c>
      <c r="P888">
        <v>1.2512993886650239E-2</v>
      </c>
      <c r="Q888">
        <v>1.4696158827363507E-3</v>
      </c>
      <c r="R888">
        <v>3.8279412136730624E-3</v>
      </c>
      <c r="S888">
        <v>0.35270301240257818</v>
      </c>
      <c r="T888">
        <v>0.39670289989636504</v>
      </c>
      <c r="U888">
        <v>0</v>
      </c>
      <c r="V888">
        <v>0.19447079626071376</v>
      </c>
      <c r="W888">
        <v>0.21153643322201465</v>
      </c>
      <c r="X888">
        <v>4.7893259393419006E-2</v>
      </c>
      <c r="Y888">
        <v>1.0418394103136126E-2</v>
      </c>
    </row>
    <row r="889" spans="1:25" x14ac:dyDescent="0.25">
      <c r="A889" s="1083"/>
      <c r="B889" s="1455">
        <v>639</v>
      </c>
      <c r="C889" s="1087">
        <v>0.97474026161889893</v>
      </c>
      <c r="D889" s="1087">
        <v>0.98945280325331719</v>
      </c>
      <c r="E889" s="1087">
        <v>0.99999131592730905</v>
      </c>
      <c r="F889" s="1087">
        <v>1.0221589984962973</v>
      </c>
      <c r="G889" s="1087">
        <v>1.0220978121630135</v>
      </c>
      <c r="H889" s="1087">
        <v>1.0131285694149179</v>
      </c>
      <c r="I889" s="1087">
        <v>1.0103077245729712</v>
      </c>
      <c r="K889">
        <v>1.916498327213719</v>
      </c>
      <c r="L889">
        <v>0</v>
      </c>
      <c r="M889">
        <v>3.8023391753131486E-3</v>
      </c>
      <c r="N889">
        <v>0.361038092739487</v>
      </c>
      <c r="O889">
        <v>0.24556811994698813</v>
      </c>
      <c r="P889">
        <v>1.3642615198071634E-2</v>
      </c>
      <c r="Q889">
        <v>1.631634132357348E-3</v>
      </c>
      <c r="R889">
        <v>3.7958999031009692E-3</v>
      </c>
      <c r="S889">
        <v>0.38322376296540051</v>
      </c>
      <c r="T889">
        <v>0.41161696244287332</v>
      </c>
      <c r="U889">
        <v>0</v>
      </c>
      <c r="V889">
        <v>0.20502778782898637</v>
      </c>
      <c r="W889">
        <v>0.22997430530074886</v>
      </c>
      <c r="X889">
        <v>5.4450297712844188E-2</v>
      </c>
      <c r="Y889">
        <v>1.0331188218174081E-2</v>
      </c>
    </row>
    <row r="890" spans="1:25" x14ac:dyDescent="0.25">
      <c r="A890" s="1083"/>
      <c r="B890" s="1455">
        <v>640</v>
      </c>
      <c r="C890" s="1087">
        <v>0.98690354689163406</v>
      </c>
      <c r="D890" s="1087">
        <v>0.98109154567136003</v>
      </c>
      <c r="E890" s="1087">
        <v>0.99948928714575014</v>
      </c>
      <c r="F890" s="1087">
        <v>0.98124770963371044</v>
      </c>
      <c r="G890" s="1087">
        <v>1.0262944324582775</v>
      </c>
      <c r="H890" s="1087">
        <v>1.0003393772034417</v>
      </c>
      <c r="I890" s="1087">
        <v>1.0121848765705568</v>
      </c>
      <c r="K890">
        <v>1.8709848578894239</v>
      </c>
      <c r="L890">
        <v>0</v>
      </c>
      <c r="M890">
        <v>3.7280447533469445E-3</v>
      </c>
      <c r="N890">
        <v>0.35343472085111916</v>
      </c>
      <c r="O890">
        <v>0.23993692418050808</v>
      </c>
      <c r="P890">
        <v>1.3287693414585865E-2</v>
      </c>
      <c r="Q890">
        <v>1.6161394814407219E-3</v>
      </c>
      <c r="R890">
        <v>3.7216566612852651E-3</v>
      </c>
      <c r="S890">
        <v>0.37853779182681163</v>
      </c>
      <c r="T890">
        <v>0.39513926094026208</v>
      </c>
      <c r="U890">
        <v>0</v>
      </c>
      <c r="V890">
        <v>0.2005423850830296</v>
      </c>
      <c r="W890">
        <v>0.22520174773186033</v>
      </c>
      <c r="X890">
        <v>5.31654598836395E-2</v>
      </c>
      <c r="Y890">
        <v>1.0129122588229823E-2</v>
      </c>
    </row>
    <row r="891" spans="1:25" x14ac:dyDescent="0.25">
      <c r="A891" s="1083"/>
      <c r="B891" s="1455">
        <v>641</v>
      </c>
      <c r="C891" s="1087">
        <v>1.0134828799441478</v>
      </c>
      <c r="D891" s="1087">
        <v>1.0190482848958842</v>
      </c>
      <c r="E891" s="1087">
        <v>1.0220823876325473</v>
      </c>
      <c r="F891" s="1087">
        <v>0.9621171668573083</v>
      </c>
      <c r="G891" s="1087">
        <v>0.98239415276824438</v>
      </c>
      <c r="H891" s="1087">
        <v>1.0010442110689821</v>
      </c>
      <c r="I891" s="1087">
        <v>1.0268192420849698</v>
      </c>
      <c r="K891">
        <v>1.8187755647333466</v>
      </c>
      <c r="L891">
        <v>0</v>
      </c>
      <c r="M891">
        <v>3.3985324673595019E-3</v>
      </c>
      <c r="N891">
        <v>0.34517235999917417</v>
      </c>
      <c r="O891">
        <v>0.23114289775838195</v>
      </c>
      <c r="P891">
        <v>1.3152741261732699E-2</v>
      </c>
      <c r="Q891">
        <v>1.5875981150917434E-3</v>
      </c>
      <c r="R891">
        <v>3.3926828042103851E-3</v>
      </c>
      <c r="S891">
        <v>0.36657506604575391</v>
      </c>
      <c r="T891">
        <v>0.38756828135298843</v>
      </c>
      <c r="U891">
        <v>0</v>
      </c>
      <c r="V891">
        <v>0.19422999094292176</v>
      </c>
      <c r="W891">
        <v>0.21687881982746249</v>
      </c>
      <c r="X891">
        <v>5.3239894897511283E-2</v>
      </c>
      <c r="Y891">
        <v>9.2337641954748379E-3</v>
      </c>
    </row>
    <row r="892" spans="1:25" x14ac:dyDescent="0.25">
      <c r="A892" s="1083"/>
      <c r="B892" s="1455">
        <v>642</v>
      </c>
      <c r="C892" s="1087">
        <v>0.99911635825048872</v>
      </c>
      <c r="D892" s="1087">
        <v>0.99003945294925766</v>
      </c>
      <c r="E892" s="1087">
        <v>1.0064484208032489</v>
      </c>
      <c r="F892" s="1087">
        <v>0.97537596103168334</v>
      </c>
      <c r="G892" s="1087">
        <v>0.98792155366873613</v>
      </c>
      <c r="H892" s="1087">
        <v>0.98357581593275623</v>
      </c>
      <c r="I892" s="1087">
        <v>1.0014106451719949</v>
      </c>
      <c r="K892">
        <v>1.8327390347535055</v>
      </c>
      <c r="L892">
        <v>0</v>
      </c>
      <c r="M892">
        <v>3.5523422468217631E-3</v>
      </c>
      <c r="N892">
        <v>0.3439936694494532</v>
      </c>
      <c r="O892">
        <v>0.23697600606907196</v>
      </c>
      <c r="P892">
        <v>1.3109546616831979E-2</v>
      </c>
      <c r="Q892">
        <v>1.6024181784173334E-3</v>
      </c>
      <c r="R892">
        <v>3.5461440194444233E-3</v>
      </c>
      <c r="S892">
        <v>0.36510063217478878</v>
      </c>
      <c r="T892">
        <v>0.3928159776609863</v>
      </c>
      <c r="U892">
        <v>0</v>
      </c>
      <c r="V892">
        <v>0.19828266741535547</v>
      </c>
      <c r="W892">
        <v>0.21823720654368664</v>
      </c>
      <c r="X892">
        <v>5.297567383742581E-2</v>
      </c>
      <c r="Y892">
        <v>9.6514350348658844E-3</v>
      </c>
    </row>
    <row r="893" spans="1:25" x14ac:dyDescent="0.25">
      <c r="A893" s="1083"/>
      <c r="B893" s="1455">
        <v>643</v>
      </c>
      <c r="C893" s="1087">
        <v>1.0050426334733815</v>
      </c>
      <c r="D893" s="1087">
        <v>0.98238689635375631</v>
      </c>
      <c r="E893" s="1087">
        <v>0.99810058516992328</v>
      </c>
      <c r="F893" s="1087">
        <v>0.99840384880281707</v>
      </c>
      <c r="G893" s="1087">
        <v>1.0293807911201851</v>
      </c>
      <c r="H893" s="1087">
        <v>0.98774516390501876</v>
      </c>
      <c r="I893" s="1087">
        <v>1.022931748219631</v>
      </c>
      <c r="K893">
        <v>1.8524025209358899</v>
      </c>
      <c r="L893">
        <v>0</v>
      </c>
      <c r="M893">
        <v>3.6229702039270477E-3</v>
      </c>
      <c r="N893">
        <v>0.34201305391042075</v>
      </c>
      <c r="O893">
        <v>0.23967746028371992</v>
      </c>
      <c r="P893">
        <v>1.3285927345521521E-2</v>
      </c>
      <c r="Q893">
        <v>1.5837870901147159E-3</v>
      </c>
      <c r="R893">
        <v>3.6166828831136612E-3</v>
      </c>
      <c r="S893">
        <v>0.37304462291032658</v>
      </c>
      <c r="T893">
        <v>0.40203948372592335</v>
      </c>
      <c r="U893">
        <v>0</v>
      </c>
      <c r="V893">
        <v>0.20001742808092027</v>
      </c>
      <c r="W893">
        <v>0.2181134278963153</v>
      </c>
      <c r="X893">
        <v>5.2790198444795558E-2</v>
      </c>
      <c r="Y893">
        <v>9.8434185686433872E-3</v>
      </c>
    </row>
    <row r="894" spans="1:25" x14ac:dyDescent="0.25">
      <c r="A894" s="1083"/>
      <c r="B894" s="1455">
        <v>644</v>
      </c>
      <c r="C894" s="1087">
        <v>1.0037066560280485</v>
      </c>
      <c r="D894" s="1087">
        <v>0.9933545355158242</v>
      </c>
      <c r="E894" s="1087">
        <v>1.0031585375354855</v>
      </c>
      <c r="F894" s="1087">
        <v>1.0441698843228324</v>
      </c>
      <c r="G894" s="1087">
        <v>1.027365867777901</v>
      </c>
      <c r="H894" s="1087">
        <v>0.97007860673616875</v>
      </c>
      <c r="I894" s="1087">
        <v>1.0067913732716756</v>
      </c>
      <c r="K894">
        <v>1.8584109237941011</v>
      </c>
      <c r="L894">
        <v>0</v>
      </c>
      <c r="M894">
        <v>3.5046950605885133E-3</v>
      </c>
      <c r="N894">
        <v>0.33598220451730815</v>
      </c>
      <c r="O894">
        <v>0.24412109794012649</v>
      </c>
      <c r="P894">
        <v>1.3487792427918491E-2</v>
      </c>
      <c r="Q894">
        <v>1.5873975987803629E-3</v>
      </c>
      <c r="R894">
        <v>3.4984917879891013E-3</v>
      </c>
      <c r="S894">
        <v>0.36219934852687763</v>
      </c>
      <c r="T894">
        <v>0.42050066773000244</v>
      </c>
      <c r="U894">
        <v>0</v>
      </c>
      <c r="V894">
        <v>0.20349714429535362</v>
      </c>
      <c r="W894">
        <v>0.21359158285099117</v>
      </c>
      <c r="X894">
        <v>5.3928149809942476E-2</v>
      </c>
      <c r="Y894">
        <v>9.5217413693983732E-3</v>
      </c>
    </row>
    <row r="895" spans="1:25" x14ac:dyDescent="0.25">
      <c r="A895" s="1083"/>
      <c r="B895" s="1455">
        <v>645</v>
      </c>
      <c r="C895" s="1087">
        <v>0.99786776704388347</v>
      </c>
      <c r="D895" s="1087">
        <v>0.99729232510682064</v>
      </c>
      <c r="E895" s="1087">
        <v>0.97787714076039101</v>
      </c>
      <c r="F895" s="1087">
        <v>1.0081517132226105</v>
      </c>
      <c r="G895" s="1087">
        <v>1.0275771103093312</v>
      </c>
      <c r="H895" s="1087">
        <v>1.0147497468400175</v>
      </c>
      <c r="I895" s="1087">
        <v>0.97768618239231342</v>
      </c>
      <c r="K895">
        <v>1.8493925614442734</v>
      </c>
      <c r="L895">
        <v>0</v>
      </c>
      <c r="M895">
        <v>3.8752317409934587E-3</v>
      </c>
      <c r="N895">
        <v>0.34392823521410748</v>
      </c>
      <c r="O895">
        <v>0.23991173206547756</v>
      </c>
      <c r="P895">
        <v>1.2979622812608022E-2</v>
      </c>
      <c r="Q895">
        <v>1.5515829262033518E-3</v>
      </c>
      <c r="R895">
        <v>3.8686719073732995E-3</v>
      </c>
      <c r="S895">
        <v>0.36070339430724785</v>
      </c>
      <c r="T895">
        <v>0.40584230371601482</v>
      </c>
      <c r="U895">
        <v>0</v>
      </c>
      <c r="V895">
        <v>0.20070590789703208</v>
      </c>
      <c r="W895">
        <v>0.22214946506044961</v>
      </c>
      <c r="X895">
        <v>5.1097627654234277E-2</v>
      </c>
      <c r="Y895">
        <v>1.0529249624518604E-2</v>
      </c>
    </row>
    <row r="896" spans="1:25" x14ac:dyDescent="0.25">
      <c r="A896" s="1083"/>
      <c r="B896" s="1455">
        <v>646</v>
      </c>
      <c r="C896" s="1087">
        <v>0.96374733838147753</v>
      </c>
      <c r="D896" s="1087">
        <v>1.0295144006198065</v>
      </c>
      <c r="E896" s="1087">
        <v>1.0090764678770305</v>
      </c>
      <c r="F896" s="1087">
        <v>0.95708372758470728</v>
      </c>
      <c r="G896" s="1087">
        <v>1.0031257653565075</v>
      </c>
      <c r="H896" s="1087">
        <v>0.98665500245894466</v>
      </c>
      <c r="I896" s="1087">
        <v>1.0017503259464011</v>
      </c>
      <c r="K896">
        <v>1.8415519405449605</v>
      </c>
      <c r="L896">
        <v>0</v>
      </c>
      <c r="M896">
        <v>3.5975014034336211E-3</v>
      </c>
      <c r="N896">
        <v>0.35116875910492434</v>
      </c>
      <c r="O896">
        <v>0.23527508293871496</v>
      </c>
      <c r="P896">
        <v>1.3120072724073797E-2</v>
      </c>
      <c r="Q896">
        <v>1.6400160460992095E-3</v>
      </c>
      <c r="R896">
        <v>3.5912093714238558E-3</v>
      </c>
      <c r="S896">
        <v>0.37112497141295858</v>
      </c>
      <c r="T896">
        <v>0.38546441778684842</v>
      </c>
      <c r="U896">
        <v>0</v>
      </c>
      <c r="V896">
        <v>0.19851602378991065</v>
      </c>
      <c r="W896">
        <v>0.22242583299455182</v>
      </c>
      <c r="X896">
        <v>5.3048967711722295E-2</v>
      </c>
      <c r="Y896">
        <v>9.7740880671646074E-3</v>
      </c>
    </row>
    <row r="897" spans="1:25" x14ac:dyDescent="0.25">
      <c r="A897" s="1083"/>
      <c r="B897" s="1455">
        <v>647</v>
      </c>
      <c r="C897" s="1087">
        <v>0.99964834449981177</v>
      </c>
      <c r="D897" s="1087">
        <v>1.0265389521629944</v>
      </c>
      <c r="E897" s="1087">
        <v>0.9994339048622749</v>
      </c>
      <c r="F897" s="1087">
        <v>1.0035794494053456</v>
      </c>
      <c r="G897" s="1087">
        <v>1.0271198613346482</v>
      </c>
      <c r="H897" s="1087">
        <v>0.99595185361233407</v>
      </c>
      <c r="I897" s="1087">
        <v>1.0017368630375691</v>
      </c>
      <c r="K897">
        <v>1.8310502873339798</v>
      </c>
      <c r="L897">
        <v>0</v>
      </c>
      <c r="M897">
        <v>3.5766153425957239E-3</v>
      </c>
      <c r="N897">
        <v>0.3390150323143713</v>
      </c>
      <c r="O897">
        <v>0.23658104342630504</v>
      </c>
      <c r="P897">
        <v>1.3131035319429172E-2</v>
      </c>
      <c r="Q897">
        <v>1.5668026667481022E-3</v>
      </c>
      <c r="R897">
        <v>3.5704211962708887E-3</v>
      </c>
      <c r="S897">
        <v>0.35993395802580119</v>
      </c>
      <c r="T897">
        <v>0.40413170671321519</v>
      </c>
      <c r="U897">
        <v>0</v>
      </c>
      <c r="V897">
        <v>0.1987110684343735</v>
      </c>
      <c r="W897">
        <v>0.21602128004870183</v>
      </c>
      <c r="X897">
        <v>5.224704502413962E-2</v>
      </c>
      <c r="Y897">
        <v>9.7175095072183342E-3</v>
      </c>
    </row>
    <row r="898" spans="1:25" x14ac:dyDescent="0.25">
      <c r="A898" s="1083"/>
      <c r="B898" s="1455">
        <v>648</v>
      </c>
      <c r="C898" s="1087">
        <v>1.0421796648287085</v>
      </c>
      <c r="D898" s="1087">
        <v>0.96508479569837702</v>
      </c>
      <c r="E898" s="1087">
        <v>0.96968552441321099</v>
      </c>
      <c r="F898" s="1087">
        <v>1.0278199676040569</v>
      </c>
      <c r="G898" s="1087">
        <v>1.0100735239365675</v>
      </c>
      <c r="H898" s="1087">
        <v>0.98277165755142026</v>
      </c>
      <c r="I898" s="1087">
        <v>0.9856304184002449</v>
      </c>
      <c r="K898">
        <v>1.8074691389782531</v>
      </c>
      <c r="L898">
        <v>0</v>
      </c>
      <c r="M898">
        <v>3.7188350823259587E-3</v>
      </c>
      <c r="N898">
        <v>0.32186893205527273</v>
      </c>
      <c r="O898">
        <v>0.2400682753228148</v>
      </c>
      <c r="P898">
        <v>1.2829023030858705E-2</v>
      </c>
      <c r="Q898">
        <v>1.4919882769772442E-3</v>
      </c>
      <c r="R898">
        <v>3.712364061641024E-3</v>
      </c>
      <c r="S898">
        <v>0.34887044569732972</v>
      </c>
      <c r="T898">
        <v>0.41370992174092602</v>
      </c>
      <c r="U898">
        <v>0</v>
      </c>
      <c r="V898">
        <v>0.19944798531611166</v>
      </c>
      <c r="W898">
        <v>0.20898916381346652</v>
      </c>
      <c r="X898">
        <v>5.0096043549877081E-2</v>
      </c>
      <c r="Y898">
        <v>1.0103831195302847E-2</v>
      </c>
    </row>
    <row r="899" spans="1:25" x14ac:dyDescent="0.25">
      <c r="A899" s="1083"/>
      <c r="B899" s="1455">
        <v>649</v>
      </c>
      <c r="C899" s="1087">
        <v>1.0148350204177992</v>
      </c>
      <c r="D899" s="1087">
        <v>0.99300582198976006</v>
      </c>
      <c r="E899" s="1087">
        <v>1.0063035563793312</v>
      </c>
      <c r="F899" s="1087">
        <v>0.98019821628348802</v>
      </c>
      <c r="G899" s="1087">
        <v>1.0133914487580713</v>
      </c>
      <c r="H899" s="1087">
        <v>0.99454776036833015</v>
      </c>
      <c r="I899" s="1087">
        <v>0.99711531902491835</v>
      </c>
      <c r="K899">
        <v>1.8219413837065481</v>
      </c>
      <c r="L899">
        <v>0</v>
      </c>
      <c r="M899">
        <v>3.5318761095645412E-3</v>
      </c>
      <c r="N899">
        <v>0.34186710108056434</v>
      </c>
      <c r="O899">
        <v>0.23541274796493125</v>
      </c>
      <c r="P899">
        <v>1.303597883241712E-2</v>
      </c>
      <c r="Q899">
        <v>1.5754693214375523E-3</v>
      </c>
      <c r="R899">
        <v>3.5257793757910486E-3</v>
      </c>
      <c r="S899">
        <v>0.3592826566845278</v>
      </c>
      <c r="T899">
        <v>0.39475719418187166</v>
      </c>
      <c r="U899">
        <v>0</v>
      </c>
      <c r="V899">
        <v>0.19689653527773657</v>
      </c>
      <c r="W899">
        <v>0.21690760299606224</v>
      </c>
      <c r="X899">
        <v>5.2616184912727348E-2</v>
      </c>
      <c r="Y899">
        <v>9.5960091880443743E-3</v>
      </c>
    </row>
    <row r="900" spans="1:25" x14ac:dyDescent="0.25">
      <c r="A900" s="1083"/>
      <c r="B900" s="1455">
        <v>650</v>
      </c>
      <c r="C900" s="1087">
        <v>0.98782906929369529</v>
      </c>
      <c r="D900" s="1087">
        <v>0.9677324828553906</v>
      </c>
      <c r="E900" s="1087">
        <v>0.99248982769847427</v>
      </c>
      <c r="F900" s="1087">
        <v>0.98469156601204522</v>
      </c>
      <c r="G900" s="1087">
        <v>0.97780093620412334</v>
      </c>
      <c r="H900" s="1087">
        <v>0.98147846209476841</v>
      </c>
      <c r="I900" s="1087">
        <v>1.0153217575712998</v>
      </c>
      <c r="K900">
        <v>1.8640144738572324</v>
      </c>
      <c r="L900">
        <v>0</v>
      </c>
      <c r="M900">
        <v>3.7343334570867463E-3</v>
      </c>
      <c r="N900">
        <v>0.34653647056580228</v>
      </c>
      <c r="O900">
        <v>0.2414861704746685</v>
      </c>
      <c r="P900">
        <v>1.3249136282142356E-2</v>
      </c>
      <c r="Q900">
        <v>1.6114155061744723E-3</v>
      </c>
      <c r="R900">
        <v>3.7278237729889293E-3</v>
      </c>
      <c r="S900">
        <v>0.37858260672287997</v>
      </c>
      <c r="T900">
        <v>0.39648442740902379</v>
      </c>
      <c r="U900">
        <v>0</v>
      </c>
      <c r="V900">
        <v>0.20142569947470967</v>
      </c>
      <c r="W900">
        <v>0.22177704316462188</v>
      </c>
      <c r="X900">
        <v>5.2722106508009632E-2</v>
      </c>
      <c r="Y900">
        <v>1.0145907433299368E-2</v>
      </c>
    </row>
    <row r="901" spans="1:25" x14ac:dyDescent="0.25">
      <c r="A901" s="1083"/>
      <c r="B901" s="1455">
        <v>651</v>
      </c>
      <c r="C901" s="1087">
        <v>1.0188107070513011</v>
      </c>
      <c r="D901" s="1087">
        <v>0.98435280236946476</v>
      </c>
      <c r="E901" s="1087">
        <v>0.98947982213774488</v>
      </c>
      <c r="F901" s="1087">
        <v>0.97750022018467175</v>
      </c>
      <c r="G901" s="1087">
        <v>1.0234011703880244</v>
      </c>
      <c r="H901" s="1087">
        <v>1.0428164643243059</v>
      </c>
      <c r="I901" s="1087">
        <v>0.9706750167484598</v>
      </c>
      <c r="K901">
        <v>1.8387788390011179</v>
      </c>
      <c r="L901">
        <v>0</v>
      </c>
      <c r="M901">
        <v>3.8359664184809015E-3</v>
      </c>
      <c r="N901">
        <v>0.3527457410625473</v>
      </c>
      <c r="O901">
        <v>0.2352348859258879</v>
      </c>
      <c r="P901">
        <v>1.283998729969634E-2</v>
      </c>
      <c r="Q901">
        <v>1.5468143350745782E-3</v>
      </c>
      <c r="R901">
        <v>3.8296588755490279E-3</v>
      </c>
      <c r="S901">
        <v>0.35830751817225892</v>
      </c>
      <c r="T901">
        <v>0.39357113104614883</v>
      </c>
      <c r="U901">
        <v>0</v>
      </c>
      <c r="V901">
        <v>0.19660402786528433</v>
      </c>
      <c r="W901">
        <v>0.22617873453876935</v>
      </c>
      <c r="X901">
        <v>5.1333237285846808E-2</v>
      </c>
      <c r="Y901">
        <v>1.0423069012535419E-2</v>
      </c>
    </row>
    <row r="902" spans="1:25" x14ac:dyDescent="0.25">
      <c r="A902" s="1083"/>
      <c r="B902" s="1455">
        <v>652</v>
      </c>
      <c r="C902" s="1087">
        <v>0.97358785456045915</v>
      </c>
      <c r="D902" s="1087">
        <v>0.98177322896682961</v>
      </c>
      <c r="E902" s="1087">
        <v>1.0020843661758652</v>
      </c>
      <c r="F902" s="1087">
        <v>1.0158044638126285</v>
      </c>
      <c r="G902" s="1087">
        <v>1.0145930856570089</v>
      </c>
      <c r="H902" s="1087">
        <v>0.96113319346641735</v>
      </c>
      <c r="I902" s="1087">
        <v>1.0341527426402572</v>
      </c>
      <c r="K902">
        <v>1.8882042279742293</v>
      </c>
      <c r="L902">
        <v>0</v>
      </c>
      <c r="M902">
        <v>3.6110364462694378E-3</v>
      </c>
      <c r="N902">
        <v>0.34503946996169965</v>
      </c>
      <c r="O902">
        <v>0.24576821013939767</v>
      </c>
      <c r="P902">
        <v>1.3644378504520993E-2</v>
      </c>
      <c r="Q902">
        <v>1.6423215354168825E-3</v>
      </c>
      <c r="R902">
        <v>3.6045970610335287E-3</v>
      </c>
      <c r="S902">
        <v>0.38433089231754447</v>
      </c>
      <c r="T902">
        <v>0.40907092361115027</v>
      </c>
      <c r="U902">
        <v>0</v>
      </c>
      <c r="V902">
        <v>0.20503786607388041</v>
      </c>
      <c r="W902">
        <v>0.21949647326937433</v>
      </c>
      <c r="X902">
        <v>5.4369607001447461E-2</v>
      </c>
      <c r="Y902">
        <v>9.8105249450314465E-3</v>
      </c>
    </row>
    <row r="903" spans="1:25" x14ac:dyDescent="0.25">
      <c r="A903" s="1083"/>
      <c r="B903" s="1455">
        <v>653</v>
      </c>
      <c r="C903" s="1087">
        <v>1.0089749495041958</v>
      </c>
      <c r="D903" s="1087">
        <v>0.99745999507890515</v>
      </c>
      <c r="E903" s="1087">
        <v>1.0335737799238132</v>
      </c>
      <c r="F903" s="1087">
        <v>1.0204060230547454</v>
      </c>
      <c r="G903" s="1087">
        <v>1.0195962416419577</v>
      </c>
      <c r="H903" s="1087">
        <v>0.99881482474125272</v>
      </c>
      <c r="I903" s="1087">
        <v>1.0044659337975104</v>
      </c>
      <c r="K903">
        <v>1.8724688537057841</v>
      </c>
      <c r="L903">
        <v>0</v>
      </c>
      <c r="M903">
        <v>3.3652481527903532E-3</v>
      </c>
      <c r="N903">
        <v>0.35396579953388185</v>
      </c>
      <c r="O903">
        <v>0.24077594733804428</v>
      </c>
      <c r="P903">
        <v>1.3652506357331224E-2</v>
      </c>
      <c r="Q903">
        <v>1.6279406761559939E-3</v>
      </c>
      <c r="R903">
        <v>3.3594600753175455E-3</v>
      </c>
      <c r="S903">
        <v>0.36421062330185044</v>
      </c>
      <c r="T903">
        <v>0.41112112931969053</v>
      </c>
      <c r="U903">
        <v>0</v>
      </c>
      <c r="V903">
        <v>0.20088706532174419</v>
      </c>
      <c r="W903">
        <v>0.22084548871698662</v>
      </c>
      <c r="X903">
        <v>5.6244798338274865E-2</v>
      </c>
      <c r="Y903">
        <v>9.1433428792981608E-3</v>
      </c>
    </row>
    <row r="904" spans="1:25" x14ac:dyDescent="0.25">
      <c r="A904" s="1083"/>
      <c r="B904" s="1455">
        <v>654</v>
      </c>
      <c r="C904" s="1087">
        <v>0.98772301455089617</v>
      </c>
      <c r="D904" s="1087">
        <v>0.98399512796722577</v>
      </c>
      <c r="E904" s="1087">
        <v>1.0097163180847157</v>
      </c>
      <c r="F904" s="1087">
        <v>1.002686550949446</v>
      </c>
      <c r="G904" s="1087">
        <v>0.95857727096906431</v>
      </c>
      <c r="H904" s="1087">
        <v>1.0350883363846202</v>
      </c>
      <c r="I904" s="1087">
        <v>0.96853497946600786</v>
      </c>
      <c r="K904">
        <v>1.8981906187036659</v>
      </c>
      <c r="L904">
        <v>0</v>
      </c>
      <c r="M904">
        <v>3.7691019542498436E-3</v>
      </c>
      <c r="N904">
        <v>0.36867229338427954</v>
      </c>
      <c r="O904">
        <v>0.2423055935769077</v>
      </c>
      <c r="P904">
        <v>1.3382928941042373E-2</v>
      </c>
      <c r="Q904">
        <v>1.630521687196021E-3</v>
      </c>
      <c r="R904">
        <v>3.7628587796489032E-3</v>
      </c>
      <c r="S904">
        <v>0.36770284728797431</v>
      </c>
      <c r="T904">
        <v>0.40383481790676135</v>
      </c>
      <c r="U904">
        <v>0</v>
      </c>
      <c r="V904">
        <v>0.20224484226757142</v>
      </c>
      <c r="W904">
        <v>0.23341966797883751</v>
      </c>
      <c r="X904">
        <v>5.4762087675555023E-2</v>
      </c>
      <c r="Y904">
        <v>1.0241261172140971E-2</v>
      </c>
    </row>
    <row r="905" spans="1:25" x14ac:dyDescent="0.25">
      <c r="A905" s="1083"/>
      <c r="B905" s="1455">
        <v>655</v>
      </c>
      <c r="C905" s="1087">
        <v>1.0335359749458446</v>
      </c>
      <c r="D905" s="1087">
        <v>1.0266957974079522</v>
      </c>
      <c r="E905" s="1087">
        <v>1.0254835243221014</v>
      </c>
      <c r="F905" s="1087">
        <v>0.98923941305769192</v>
      </c>
      <c r="G905" s="1087">
        <v>0.99127149069484211</v>
      </c>
      <c r="H905" s="1087">
        <v>1.0037758719759426</v>
      </c>
      <c r="I905" s="1087">
        <v>1.0209448149806155</v>
      </c>
      <c r="K905">
        <v>1.8091507176727639</v>
      </c>
      <c r="L905">
        <v>0</v>
      </c>
      <c r="M905">
        <v>3.3042412700150974E-3</v>
      </c>
      <c r="N905">
        <v>0.33909176313301348</v>
      </c>
      <c r="O905">
        <v>0.23128147543141472</v>
      </c>
      <c r="P905">
        <v>1.319465100393398E-2</v>
      </c>
      <c r="Q905">
        <v>1.5577127358095723E-3</v>
      </c>
      <c r="R905">
        <v>3.2985620286118031E-3</v>
      </c>
      <c r="S905">
        <v>0.35641123622307314</v>
      </c>
      <c r="T905">
        <v>0.39851462316120873</v>
      </c>
      <c r="U905">
        <v>0</v>
      </c>
      <c r="V905">
        <v>0.19411309087564965</v>
      </c>
      <c r="W905">
        <v>0.21261395462166108</v>
      </c>
      <c r="X905">
        <v>5.340029125720288E-2</v>
      </c>
      <c r="Y905">
        <v>8.9775984712008334E-3</v>
      </c>
    </row>
    <row r="906" spans="1:25" x14ac:dyDescent="0.25">
      <c r="A906" s="1083"/>
      <c r="B906" s="1455">
        <v>656</v>
      </c>
      <c r="C906" s="1087">
        <v>0.99654772383097068</v>
      </c>
      <c r="D906" s="1087">
        <v>0.99836475258993196</v>
      </c>
      <c r="E906" s="1087">
        <v>1.0331768863316946</v>
      </c>
      <c r="F906" s="1087">
        <v>1.0088590355747331</v>
      </c>
      <c r="G906" s="1087">
        <v>1.0000458422679686</v>
      </c>
      <c r="H906" s="1087">
        <v>1.013581813298011</v>
      </c>
      <c r="I906" s="1087">
        <v>1.0310674858452653</v>
      </c>
      <c r="K906">
        <v>1.9011847128666111</v>
      </c>
      <c r="L906">
        <v>0</v>
      </c>
      <c r="M906">
        <v>3.4590262488261823E-3</v>
      </c>
      <c r="N906">
        <v>0.36339939553546668</v>
      </c>
      <c r="O906">
        <v>0.24084923134199804</v>
      </c>
      <c r="P906">
        <v>1.3824076295126737E-2</v>
      </c>
      <c r="Q906">
        <v>1.6469590895721747E-3</v>
      </c>
      <c r="R906">
        <v>3.4531633350409624E-3</v>
      </c>
      <c r="S906">
        <v>0.38111717229426834</v>
      </c>
      <c r="T906">
        <v>0.40646637065381608</v>
      </c>
      <c r="U906">
        <v>0</v>
      </c>
      <c r="V906">
        <v>0.20118505250584853</v>
      </c>
      <c r="W906">
        <v>0.22678611996388839</v>
      </c>
      <c r="X906">
        <v>5.6517825837417636E-2</v>
      </c>
      <c r="Y906">
        <v>9.3983722629940383E-3</v>
      </c>
    </row>
    <row r="907" spans="1:25" x14ac:dyDescent="0.25">
      <c r="A907" s="1083"/>
      <c r="B907" s="1455">
        <v>657</v>
      </c>
      <c r="C907" s="1087">
        <v>1.0120104115496753</v>
      </c>
      <c r="D907" s="1087">
        <v>1.0260974041599626</v>
      </c>
      <c r="E907" s="1087">
        <v>0.96349476469934703</v>
      </c>
      <c r="F907" s="1087">
        <v>1.0194333021121165</v>
      </c>
      <c r="G907" s="1087">
        <v>1.0240435373681194</v>
      </c>
      <c r="H907" s="1087">
        <v>1.0168995666491802</v>
      </c>
      <c r="I907" s="1087">
        <v>1.0239329321954571</v>
      </c>
      <c r="K907">
        <v>1.8307190642111477</v>
      </c>
      <c r="L907">
        <v>0</v>
      </c>
      <c r="M907">
        <v>3.8815010306644305E-3</v>
      </c>
      <c r="N907">
        <v>0.3296597548416314</v>
      </c>
      <c r="O907">
        <v>0.23640741873426968</v>
      </c>
      <c r="P907">
        <v>1.2949078172722481E-2</v>
      </c>
      <c r="Q907">
        <v>1.4892195254893035E-3</v>
      </c>
      <c r="R907">
        <v>3.8749160966967296E-3</v>
      </c>
      <c r="S907">
        <v>0.36683372300104317</v>
      </c>
      <c r="T907">
        <v>0.41029687467705417</v>
      </c>
      <c r="U907">
        <v>0</v>
      </c>
      <c r="V907">
        <v>0.19852843266567544</v>
      </c>
      <c r="W907">
        <v>0.21489854304001643</v>
      </c>
      <c r="X907">
        <v>4.9116360237753995E-2</v>
      </c>
      <c r="Y907">
        <v>1.054624424946052E-2</v>
      </c>
    </row>
    <row r="908" spans="1:25" x14ac:dyDescent="0.25">
      <c r="A908" s="1083"/>
      <c r="B908" s="1455">
        <v>658</v>
      </c>
      <c r="C908" s="1087">
        <v>0.98566568762647866</v>
      </c>
      <c r="D908" s="1087">
        <v>1.0462019492411583</v>
      </c>
      <c r="E908" s="1087">
        <v>0.96371441954108616</v>
      </c>
      <c r="F908" s="1087">
        <v>1.0013773459777244</v>
      </c>
      <c r="G908" s="1087">
        <v>1.022110370581198</v>
      </c>
      <c r="H908" s="1087">
        <v>1.0070075479430056</v>
      </c>
      <c r="I908" s="1087">
        <v>1.0256664249561314</v>
      </c>
      <c r="K908">
        <v>1.8312143201917124</v>
      </c>
      <c r="L908">
        <v>0</v>
      </c>
      <c r="M908">
        <v>3.9047643044678375E-3</v>
      </c>
      <c r="N908">
        <v>0.33185157788614239</v>
      </c>
      <c r="O908">
        <v>0.23563898116250753</v>
      </c>
      <c r="P908">
        <v>1.2920740487097552E-2</v>
      </c>
      <c r="Q908">
        <v>1.5175635262646716E-3</v>
      </c>
      <c r="R908">
        <v>3.8980586372603966E-3</v>
      </c>
      <c r="S908">
        <v>0.37150289771748168</v>
      </c>
      <c r="T908">
        <v>0.40303109316404739</v>
      </c>
      <c r="U908">
        <v>0</v>
      </c>
      <c r="V908">
        <v>0.19882353406755046</v>
      </c>
      <c r="W908">
        <v>0.21629683289282636</v>
      </c>
      <c r="X908">
        <v>4.9028574339061742E-2</v>
      </c>
      <c r="Y908">
        <v>1.0609230615938377E-2</v>
      </c>
    </row>
    <row r="909" spans="1:25" x14ac:dyDescent="0.25">
      <c r="A909" s="1083"/>
      <c r="B909" s="1455">
        <v>659</v>
      </c>
      <c r="C909" s="1087">
        <v>0.9811093551609944</v>
      </c>
      <c r="D909" s="1087">
        <v>1.0189195085882925</v>
      </c>
      <c r="E909" s="1087">
        <v>0.98962891436434197</v>
      </c>
      <c r="F909" s="1087">
        <v>0.99632134191657296</v>
      </c>
      <c r="G909" s="1087">
        <v>0.96259092413196778</v>
      </c>
      <c r="H909" s="1087">
        <v>1.0336970935087522</v>
      </c>
      <c r="I909" s="1087">
        <v>0.98916008344173634</v>
      </c>
      <c r="K909">
        <v>1.8729736411512481</v>
      </c>
      <c r="L909">
        <v>0</v>
      </c>
      <c r="M909">
        <v>3.8748678987882124E-3</v>
      </c>
      <c r="N909">
        <v>0.35647731983375863</v>
      </c>
      <c r="O909">
        <v>0.23860831532170479</v>
      </c>
      <c r="P909">
        <v>1.3159289279132963E-2</v>
      </c>
      <c r="Q909">
        <v>1.5844845314850495E-3</v>
      </c>
      <c r="R909">
        <v>3.8684097442888863E-3</v>
      </c>
      <c r="S909">
        <v>0.37036358986328083</v>
      </c>
      <c r="T909">
        <v>0.40114997680007614</v>
      </c>
      <c r="U909">
        <v>0</v>
      </c>
      <c r="V909">
        <v>0.20044618534809</v>
      </c>
      <c r="W909">
        <v>0.22854994343688997</v>
      </c>
      <c r="X909">
        <v>5.2112458788304394E-2</v>
      </c>
      <c r="Y909">
        <v>1.052853610302487E-2</v>
      </c>
    </row>
    <row r="910" spans="1:25" x14ac:dyDescent="0.25">
      <c r="A910" s="1083"/>
      <c r="B910" s="1455">
        <v>660</v>
      </c>
      <c r="C910" s="1087">
        <v>1.0097096980011324</v>
      </c>
      <c r="D910" s="1087">
        <v>0.99650801372223163</v>
      </c>
      <c r="E910" s="1087">
        <v>1.0232775107325416</v>
      </c>
      <c r="F910" s="1087">
        <v>1.0302503794472486</v>
      </c>
      <c r="G910" s="1087">
        <v>1.0174359354866434</v>
      </c>
      <c r="H910" s="1087">
        <v>0.97751439300617227</v>
      </c>
      <c r="I910" s="1087">
        <v>0.96593008843413686</v>
      </c>
      <c r="K910">
        <v>1.8421119548869811</v>
      </c>
      <c r="L910">
        <v>0</v>
      </c>
      <c r="M910">
        <v>3.3630019309720091E-3</v>
      </c>
      <c r="N910">
        <v>0.34279725627775676</v>
      </c>
      <c r="O910">
        <v>0.2417617168136732</v>
      </c>
      <c r="P910">
        <v>1.3367055852780635E-2</v>
      </c>
      <c r="Q910">
        <v>1.6098769985943152E-3</v>
      </c>
      <c r="R910">
        <v>3.3570921564630833E-3</v>
      </c>
      <c r="S910">
        <v>0.3463400169695785</v>
      </c>
      <c r="T910">
        <v>0.41502186507350491</v>
      </c>
      <c r="U910">
        <v>0</v>
      </c>
      <c r="V910">
        <v>0.2016283468332026</v>
      </c>
      <c r="W910">
        <v>0.21522842749371346</v>
      </c>
      <c r="X910">
        <v>5.522640416392316E-2</v>
      </c>
      <c r="Y910">
        <v>9.136898184760555E-3</v>
      </c>
    </row>
    <row r="911" spans="1:25" x14ac:dyDescent="0.25">
      <c r="A911" s="1083"/>
      <c r="B911" s="1455">
        <v>661</v>
      </c>
      <c r="C911" s="1087">
        <v>0.99378157353517493</v>
      </c>
      <c r="D911" s="1087">
        <v>1.012908232660116</v>
      </c>
      <c r="E911" s="1087">
        <v>0.95922106344798042</v>
      </c>
      <c r="F911" s="1087">
        <v>1.0056727721722885</v>
      </c>
      <c r="G911" s="1087">
        <v>1.0061212686422869</v>
      </c>
      <c r="H911" s="1087">
        <v>1.0036880040044069</v>
      </c>
      <c r="I911" s="1087">
        <v>1.0106422121622118</v>
      </c>
      <c r="K911">
        <v>1.8357836440499775</v>
      </c>
      <c r="L911">
        <v>0</v>
      </c>
      <c r="M911">
        <v>3.9642553781213292E-3</v>
      </c>
      <c r="N911">
        <v>0.33230711054979173</v>
      </c>
      <c r="O911">
        <v>0.23830329418350554</v>
      </c>
      <c r="P911">
        <v>1.2880250927476323E-2</v>
      </c>
      <c r="Q911">
        <v>1.5173378393787164E-3</v>
      </c>
      <c r="R911">
        <v>3.9574560511134449E-3</v>
      </c>
      <c r="S911">
        <v>0.36894964107568778</v>
      </c>
      <c r="T911">
        <v>0.40473328939052089</v>
      </c>
      <c r="U911">
        <v>0</v>
      </c>
      <c r="V911">
        <v>0.19999674122685754</v>
      </c>
      <c r="W911">
        <v>0.21722071251092309</v>
      </c>
      <c r="X911">
        <v>4.9111174876750527E-2</v>
      </c>
      <c r="Y911">
        <v>1.0770890796094161E-2</v>
      </c>
    </row>
    <row r="912" spans="1:25" x14ac:dyDescent="0.25">
      <c r="A912" s="1083"/>
      <c r="B912" s="1455">
        <v>662</v>
      </c>
      <c r="C912" s="1087">
        <v>0.97643600162446165</v>
      </c>
      <c r="D912" s="1087">
        <v>0.99596836693341839</v>
      </c>
      <c r="E912" s="1087">
        <v>0.99289731322615493</v>
      </c>
      <c r="F912" s="1087">
        <v>0.96494972626932007</v>
      </c>
      <c r="G912" s="1087">
        <v>1.0327989324531295</v>
      </c>
      <c r="H912" s="1087">
        <v>0.99469452802494207</v>
      </c>
      <c r="I912" s="1087">
        <v>1.0055041140588961</v>
      </c>
      <c r="K912">
        <v>1.8522242630361063</v>
      </c>
      <c r="L912">
        <v>0</v>
      </c>
      <c r="M912">
        <v>3.7663976573943363E-3</v>
      </c>
      <c r="N912">
        <v>0.34995272121765053</v>
      </c>
      <c r="O912">
        <v>0.23764440938238354</v>
      </c>
      <c r="P912">
        <v>1.3079730428648207E-2</v>
      </c>
      <c r="Q912">
        <v>1.6122736432838075E-3</v>
      </c>
      <c r="R912">
        <v>3.7598927628224922E-3</v>
      </c>
      <c r="S912">
        <v>0.3757566227537793</v>
      </c>
      <c r="T912">
        <v>0.38853777840197545</v>
      </c>
      <c r="U912">
        <v>0</v>
      </c>
      <c r="V912">
        <v>0.19941733423543745</v>
      </c>
      <c r="W912">
        <v>0.22390605185538665</v>
      </c>
      <c r="X912">
        <v>5.2090657360045409E-2</v>
      </c>
      <c r="Y912">
        <v>1.0233188652086672E-2</v>
      </c>
    </row>
    <row r="913" spans="1:25" x14ac:dyDescent="0.25">
      <c r="A913" s="1083"/>
      <c r="B913" s="1455">
        <v>663</v>
      </c>
      <c r="C913" s="1087">
        <v>0.99678391175972847</v>
      </c>
      <c r="D913" s="1087">
        <v>1.023139176897236</v>
      </c>
      <c r="E913" s="1087">
        <v>0.96916586124076065</v>
      </c>
      <c r="F913" s="1087">
        <v>0.99119227848496594</v>
      </c>
      <c r="G913" s="1087">
        <v>0.97441510053740144</v>
      </c>
      <c r="H913" s="1087">
        <v>1.027165566773516</v>
      </c>
      <c r="I913" s="1087">
        <v>1.0207641406601611</v>
      </c>
      <c r="K913">
        <v>1.8428965202161574</v>
      </c>
      <c r="L913">
        <v>0</v>
      </c>
      <c r="M913">
        <v>3.9423032487594708E-3</v>
      </c>
      <c r="N913">
        <v>0.34068950933446529</v>
      </c>
      <c r="O913">
        <v>0.2353982796873125</v>
      </c>
      <c r="P913">
        <v>1.2941059421019845E-2</v>
      </c>
      <c r="Q913">
        <v>1.5230527885994065E-3</v>
      </c>
      <c r="R913">
        <v>3.9356867830802403E-3</v>
      </c>
      <c r="S913">
        <v>0.37388339278275179</v>
      </c>
      <c r="T913">
        <v>0.39896378362210205</v>
      </c>
      <c r="U913">
        <v>0</v>
      </c>
      <c r="V913">
        <v>0.19796446374195409</v>
      </c>
      <c r="W913">
        <v>0.22128286048624818</v>
      </c>
      <c r="X913">
        <v>4.954509279263776E-2</v>
      </c>
      <c r="Y913">
        <v>1.0711642024745055E-2</v>
      </c>
    </row>
    <row r="914" spans="1:25" x14ac:dyDescent="0.25">
      <c r="A914" s="1083"/>
      <c r="B914" s="1455">
        <v>664</v>
      </c>
      <c r="C914" s="1087">
        <v>0.98386098519251752</v>
      </c>
      <c r="D914" s="1087">
        <v>0.9791337116832507</v>
      </c>
      <c r="E914" s="1087">
        <v>0.99152290409006405</v>
      </c>
      <c r="F914" s="1087">
        <v>0.98237737691441973</v>
      </c>
      <c r="G914" s="1087">
        <v>0.97904005554727225</v>
      </c>
      <c r="H914" s="1087">
        <v>1.0039639598234054</v>
      </c>
      <c r="I914" s="1087">
        <v>0.9760795465100085</v>
      </c>
      <c r="K914">
        <v>1.8614146066760746</v>
      </c>
      <c r="L914">
        <v>0</v>
      </c>
      <c r="M914">
        <v>3.8187684969428707E-3</v>
      </c>
      <c r="N914">
        <v>0.35333994021030013</v>
      </c>
      <c r="O914">
        <v>0.2405247799854581</v>
      </c>
      <c r="P914">
        <v>1.306621544297823E-2</v>
      </c>
      <c r="Q914">
        <v>1.6086871985148247E-3</v>
      </c>
      <c r="R914">
        <v>3.8122502441007024E-3</v>
      </c>
      <c r="S914">
        <v>0.3671337786572425</v>
      </c>
      <c r="T914">
        <v>0.39554690036479367</v>
      </c>
      <c r="U914">
        <v>0</v>
      </c>
      <c r="V914">
        <v>0.20103078973829169</v>
      </c>
      <c r="W914">
        <v>0.22626862499894124</v>
      </c>
      <c r="X914">
        <v>5.2525719875909579E-2</v>
      </c>
      <c r="Y914">
        <v>1.0375688456486894E-2</v>
      </c>
    </row>
    <row r="915" spans="1:25" x14ac:dyDescent="0.25">
      <c r="A915" s="1083"/>
      <c r="B915" s="1455">
        <v>665</v>
      </c>
      <c r="C915" s="1087">
        <v>1.0302390820068079</v>
      </c>
      <c r="D915" s="1087">
        <v>0.98941978920875795</v>
      </c>
      <c r="E915" s="1087">
        <v>1.0089317531666615</v>
      </c>
      <c r="F915" s="1087">
        <v>0.97612160977312501</v>
      </c>
      <c r="G915" s="1087">
        <v>0.98265027135648075</v>
      </c>
      <c r="H915" s="1087">
        <v>0.97074503912834498</v>
      </c>
      <c r="I915" s="1087">
        <v>1.0313107411741846</v>
      </c>
      <c r="K915">
        <v>1.7997111945713276</v>
      </c>
      <c r="L915">
        <v>0</v>
      </c>
      <c r="M915">
        <v>3.3841049689938125E-3</v>
      </c>
      <c r="N915">
        <v>0.3301862120473667</v>
      </c>
      <c r="O915">
        <v>0.23353487719826962</v>
      </c>
      <c r="P915">
        <v>1.3058946472397399E-2</v>
      </c>
      <c r="Q915">
        <v>1.5585019211689637E-3</v>
      </c>
      <c r="R915">
        <v>3.3781229805824823E-3</v>
      </c>
      <c r="S915">
        <v>0.36246074761177555</v>
      </c>
      <c r="T915">
        <v>0.3931310425182904</v>
      </c>
      <c r="U915">
        <v>0</v>
      </c>
      <c r="V915">
        <v>0.19516777596276291</v>
      </c>
      <c r="W915">
        <v>0.20915453771757073</v>
      </c>
      <c r="X915">
        <v>5.2270397954929632E-2</v>
      </c>
      <c r="Y915">
        <v>9.1941371552042538E-3</v>
      </c>
    </row>
    <row r="916" spans="1:25" x14ac:dyDescent="0.25">
      <c r="A916" s="1083"/>
      <c r="B916" s="1455">
        <v>666</v>
      </c>
      <c r="C916" s="1087">
        <v>0.98890044018862255</v>
      </c>
      <c r="D916" s="1087">
        <v>0.98856084663500565</v>
      </c>
      <c r="E916" s="1087">
        <v>1.017053820705456</v>
      </c>
      <c r="F916" s="1087">
        <v>0.98275775809916965</v>
      </c>
      <c r="G916" s="1087">
        <v>0.99594159679738758</v>
      </c>
      <c r="H916" s="1087">
        <v>0.98092830972646827</v>
      </c>
      <c r="I916" s="1087">
        <v>1.0103064881986012</v>
      </c>
      <c r="K916">
        <v>1.8580941268928246</v>
      </c>
      <c r="L916">
        <v>0</v>
      </c>
      <c r="M916">
        <v>3.5052620502004604E-3</v>
      </c>
      <c r="N916">
        <v>0.35058868962161044</v>
      </c>
      <c r="O916">
        <v>0.23940043213827408</v>
      </c>
      <c r="P916">
        <v>1.3377132394686036E-2</v>
      </c>
      <c r="Q916">
        <v>1.6382388999906334E-3</v>
      </c>
      <c r="R916">
        <v>3.4991307585713113E-3</v>
      </c>
      <c r="S916">
        <v>0.37208822390948471</v>
      </c>
      <c r="T916">
        <v>0.39585254581945034</v>
      </c>
      <c r="U916">
        <v>0</v>
      </c>
      <c r="V916">
        <v>0.20017201223014128</v>
      </c>
      <c r="W916">
        <v>0.22096509564417352</v>
      </c>
      <c r="X916">
        <v>5.4494407089953845E-2</v>
      </c>
      <c r="Y916">
        <v>9.5234804366865506E-3</v>
      </c>
    </row>
    <row r="917" spans="1:25" x14ac:dyDescent="0.25">
      <c r="A917" s="1083"/>
      <c r="B917" s="1455">
        <v>667</v>
      </c>
      <c r="C917" s="1087">
        <v>1.0285034252458696</v>
      </c>
      <c r="D917" s="1087">
        <v>1.0300076032803278</v>
      </c>
      <c r="E917" s="1087">
        <v>0.99209312413965733</v>
      </c>
      <c r="F917" s="1087">
        <v>1.0162410566875066</v>
      </c>
      <c r="G917" s="1087">
        <v>1.0112640605849879</v>
      </c>
      <c r="H917" s="1087">
        <v>1.0061141672092226</v>
      </c>
      <c r="I917" s="1087">
        <v>0.97857720566131234</v>
      </c>
      <c r="K917">
        <v>1.7981109882798683</v>
      </c>
      <c r="L917">
        <v>0</v>
      </c>
      <c r="M917">
        <v>3.5565668503790312E-3</v>
      </c>
      <c r="N917">
        <v>0.32964962874420906</v>
      </c>
      <c r="O917">
        <v>0.23409091771184531</v>
      </c>
      <c r="P917">
        <v>1.2863505892020295E-2</v>
      </c>
      <c r="Q917">
        <v>1.508916597833448E-3</v>
      </c>
      <c r="R917">
        <v>3.5504637021408674E-3</v>
      </c>
      <c r="S917">
        <v>0.34267410781955771</v>
      </c>
      <c r="T917">
        <v>0.40918534826905817</v>
      </c>
      <c r="U917">
        <v>0</v>
      </c>
      <c r="V917">
        <v>0.19649967253699621</v>
      </c>
      <c r="W917">
        <v>0.21102237516673911</v>
      </c>
      <c r="X917">
        <v>5.0959426902663064E-2</v>
      </c>
      <c r="Y917">
        <v>9.6631917871825845E-3</v>
      </c>
    </row>
    <row r="918" spans="1:25" x14ac:dyDescent="0.25">
      <c r="A918" s="1083"/>
      <c r="B918" s="1455">
        <v>668</v>
      </c>
      <c r="C918" s="1087">
        <v>0.99525443813869807</v>
      </c>
      <c r="D918" s="1087">
        <v>0.99424570851296068</v>
      </c>
      <c r="E918" s="1087">
        <v>1.0407866473264915</v>
      </c>
      <c r="F918" s="1087">
        <v>0.98856458593984453</v>
      </c>
      <c r="G918" s="1087">
        <v>0.98889353719275686</v>
      </c>
      <c r="H918" s="1087">
        <v>1.0295567445904936</v>
      </c>
      <c r="I918" s="1087">
        <v>0.98080930903727459</v>
      </c>
      <c r="K918">
        <v>1.8907897920382013</v>
      </c>
      <c r="L918">
        <v>0</v>
      </c>
      <c r="M918">
        <v>3.4710629790327542E-3</v>
      </c>
      <c r="N918">
        <v>0.37321835628961614</v>
      </c>
      <c r="O918">
        <v>0.23911177419147261</v>
      </c>
      <c r="P918">
        <v>1.3565482497822154E-2</v>
      </c>
      <c r="Q918">
        <v>1.6650230266118536E-3</v>
      </c>
      <c r="R918">
        <v>3.4652740638163372E-3</v>
      </c>
      <c r="S918">
        <v>0.36679109427187823</v>
      </c>
      <c r="T918">
        <v>0.39833654969443771</v>
      </c>
      <c r="U918">
        <v>0</v>
      </c>
      <c r="V918">
        <v>0.1998331087327464</v>
      </c>
      <c r="W918">
        <v>0.23183911225602763</v>
      </c>
      <c r="X918">
        <v>5.7003746318383827E-2</v>
      </c>
      <c r="Y918">
        <v>9.4313336744199384E-3</v>
      </c>
    </row>
    <row r="919" spans="1:25" x14ac:dyDescent="0.25">
      <c r="A919" s="1083"/>
      <c r="B919" s="1455">
        <v>669</v>
      </c>
      <c r="C919" s="1087">
        <v>1.0076961695780602</v>
      </c>
      <c r="D919" s="1087">
        <v>0.99548174626915575</v>
      </c>
      <c r="E919" s="1087">
        <v>1.0340603679168059</v>
      </c>
      <c r="F919" s="1087">
        <v>0.99323123082406328</v>
      </c>
      <c r="G919" s="1087">
        <v>1.0376811840369993</v>
      </c>
      <c r="H919" s="1087">
        <v>0.99540703779181883</v>
      </c>
      <c r="I919" s="1087">
        <v>1.0090385493679794</v>
      </c>
      <c r="K919">
        <v>1.8574943971833431</v>
      </c>
      <c r="L919">
        <v>0</v>
      </c>
      <c r="M919">
        <v>3.3584635829213461E-3</v>
      </c>
      <c r="N919">
        <v>0.35377394690404895</v>
      </c>
      <c r="O919">
        <v>0.23795965758907869</v>
      </c>
      <c r="P919">
        <v>1.3501987890227265E-2</v>
      </c>
      <c r="Q919">
        <v>1.6321329053355516E-3</v>
      </c>
      <c r="R919">
        <v>3.3526693563087993E-3</v>
      </c>
      <c r="S919">
        <v>0.36613123402689013</v>
      </c>
      <c r="T919">
        <v>0.40017541507383325</v>
      </c>
      <c r="U919">
        <v>0</v>
      </c>
      <c r="V919">
        <v>0.19880815890663783</v>
      </c>
      <c r="W919">
        <v>0.22066036946177628</v>
      </c>
      <c r="X919">
        <v>5.5732427871412207E-2</v>
      </c>
      <c r="Y919">
        <v>9.1248607807162749E-3</v>
      </c>
    </row>
    <row r="920" spans="1:25" x14ac:dyDescent="0.25">
      <c r="A920" s="1083"/>
      <c r="B920" s="1455">
        <v>670</v>
      </c>
      <c r="C920" s="1087">
        <v>0.997722039059732</v>
      </c>
      <c r="D920" s="1087">
        <v>0.98766257582442341</v>
      </c>
      <c r="E920" s="1087">
        <v>0.99107340640712527</v>
      </c>
      <c r="F920" s="1087">
        <v>1.016046188604236</v>
      </c>
      <c r="G920" s="1087">
        <v>0.98652645633946312</v>
      </c>
      <c r="H920" s="1087">
        <v>0.97986802626210223</v>
      </c>
      <c r="I920" s="1087">
        <v>0.99952038372488683</v>
      </c>
      <c r="K920">
        <v>1.8501326143467685</v>
      </c>
      <c r="L920">
        <v>0</v>
      </c>
      <c r="M920">
        <v>3.6623334414813569E-3</v>
      </c>
      <c r="N920">
        <v>0.33838581810480073</v>
      </c>
      <c r="O920">
        <v>0.24202324050518234</v>
      </c>
      <c r="P920">
        <v>1.3223964332922616E-2</v>
      </c>
      <c r="Q920">
        <v>1.580084041627658E-3</v>
      </c>
      <c r="R920">
        <v>3.6559221206665187E-3</v>
      </c>
      <c r="S920">
        <v>0.36457674353188818</v>
      </c>
      <c r="T920">
        <v>0.40910064539643898</v>
      </c>
      <c r="U920">
        <v>0</v>
      </c>
      <c r="V920">
        <v>0.20200056557546431</v>
      </c>
      <c r="W920">
        <v>0.21675370813717945</v>
      </c>
      <c r="X920">
        <v>5.2544041204028148E-2</v>
      </c>
      <c r="Y920">
        <v>9.9502148380510805E-3</v>
      </c>
    </row>
    <row r="921" spans="1:25" x14ac:dyDescent="0.25">
      <c r="A921" s="1083"/>
      <c r="B921" s="1455">
        <v>671</v>
      </c>
      <c r="C921" s="1087">
        <v>1.0299616964772111</v>
      </c>
      <c r="D921" s="1087">
        <v>1.0101254436999256</v>
      </c>
      <c r="E921" s="1087">
        <v>0.98249061459228582</v>
      </c>
      <c r="F921" s="1087">
        <v>1.0333082390001163</v>
      </c>
      <c r="G921" s="1087">
        <v>1.0306872983500741</v>
      </c>
      <c r="H921" s="1087">
        <v>1.002539672585171</v>
      </c>
      <c r="I921" s="1087">
        <v>1.0304091261930759</v>
      </c>
      <c r="K921">
        <v>1.8310423627012677</v>
      </c>
      <c r="L921">
        <v>0</v>
      </c>
      <c r="M921">
        <v>3.6471836672691705E-3</v>
      </c>
      <c r="N921">
        <v>0.32827687925873833</v>
      </c>
      <c r="O921">
        <v>0.23765403395915013</v>
      </c>
      <c r="P921">
        <v>1.3172696566253297E-2</v>
      </c>
      <c r="Q921">
        <v>1.5030132739298197E-3</v>
      </c>
      <c r="R921">
        <v>3.6409198649458067E-3</v>
      </c>
      <c r="S921">
        <v>0.36345914746471147</v>
      </c>
      <c r="T921">
        <v>0.41599780651555679</v>
      </c>
      <c r="U921">
        <v>0</v>
      </c>
      <c r="V921">
        <v>0.19875307901631284</v>
      </c>
      <c r="W921">
        <v>0.2114204500939986</v>
      </c>
      <c r="X921">
        <v>5.0902136711468794E-2</v>
      </c>
      <c r="Y921">
        <v>9.9093836434715754E-3</v>
      </c>
    </row>
    <row r="922" spans="1:25" x14ac:dyDescent="0.25">
      <c r="A922" s="1083"/>
      <c r="B922" s="1455">
        <v>672</v>
      </c>
      <c r="C922" s="1087">
        <v>1.0327510550007348</v>
      </c>
      <c r="D922" s="1087">
        <v>1.0337173951696697</v>
      </c>
      <c r="E922" s="1087">
        <v>0.97607678195837944</v>
      </c>
      <c r="F922" s="1087">
        <v>0.99892513708984676</v>
      </c>
      <c r="G922" s="1087">
        <v>0.97231844801849976</v>
      </c>
      <c r="H922" s="1087">
        <v>0.98249154567020769</v>
      </c>
      <c r="I922" s="1087">
        <v>0.99780693742581772</v>
      </c>
      <c r="K922">
        <v>1.7616634499688539</v>
      </c>
      <c r="L922">
        <v>0</v>
      </c>
      <c r="M922">
        <v>3.5671612760899839E-3</v>
      </c>
      <c r="N922">
        <v>0.31482879052123436</v>
      </c>
      <c r="O922">
        <v>0.23109150221017069</v>
      </c>
      <c r="P922">
        <v>1.2590392126523896E-2</v>
      </c>
      <c r="Q922">
        <v>1.47495046402E-3</v>
      </c>
      <c r="R922">
        <v>3.5608903460358473E-3</v>
      </c>
      <c r="S922">
        <v>0.34306626107831278</v>
      </c>
      <c r="T922">
        <v>0.40211733025989449</v>
      </c>
      <c r="U922">
        <v>0</v>
      </c>
      <c r="V922">
        <v>0.19435081769509283</v>
      </c>
      <c r="W922">
        <v>0.20358650135209119</v>
      </c>
      <c r="X922">
        <v>4.8871605516843025E-2</v>
      </c>
      <c r="Y922">
        <v>9.6915696747224833E-3</v>
      </c>
    </row>
    <row r="923" spans="1:25" x14ac:dyDescent="0.25">
      <c r="A923" s="1083"/>
      <c r="B923" s="1455">
        <v>673</v>
      </c>
      <c r="C923" s="1087">
        <v>0.99633178364184016</v>
      </c>
      <c r="D923" s="1087">
        <v>0.99266872879703638</v>
      </c>
      <c r="E923" s="1087">
        <v>0.95596534258629784</v>
      </c>
      <c r="F923" s="1087">
        <v>1.0221634455296491</v>
      </c>
      <c r="G923" s="1087">
        <v>0.97997596484986194</v>
      </c>
      <c r="H923" s="1087">
        <v>0.98138403456623746</v>
      </c>
      <c r="I923" s="1087">
        <v>0.9852884612100139</v>
      </c>
      <c r="K923">
        <v>1.8290350572982186</v>
      </c>
      <c r="L923">
        <v>0</v>
      </c>
      <c r="M923">
        <v>3.9346029041136127E-3</v>
      </c>
      <c r="N923">
        <v>0.32653956903013615</v>
      </c>
      <c r="O923">
        <v>0.24188700847422417</v>
      </c>
      <c r="P923">
        <v>1.2829515604950267E-2</v>
      </c>
      <c r="Q923">
        <v>1.5203210239882719E-3</v>
      </c>
      <c r="R923">
        <v>3.9277206336993655E-3</v>
      </c>
      <c r="S923">
        <v>0.35875663093141225</v>
      </c>
      <c r="T923">
        <v>0.41135042481941098</v>
      </c>
      <c r="U923">
        <v>0</v>
      </c>
      <c r="V923">
        <v>0.20218878992153444</v>
      </c>
      <c r="W923">
        <v>0.21389944504353653</v>
      </c>
      <c r="X923">
        <v>4.9380273927267855E-2</v>
      </c>
      <c r="Y923">
        <v>1.0689960792170751E-2</v>
      </c>
    </row>
    <row r="924" spans="1:25" x14ac:dyDescent="0.25">
      <c r="A924" s="1083"/>
      <c r="B924" s="1455">
        <v>674</v>
      </c>
      <c r="C924" s="1087">
        <v>1.0072848397288081</v>
      </c>
      <c r="D924" s="1087">
        <v>1.0208567176483685</v>
      </c>
      <c r="E924" s="1087">
        <v>0.99417299593120223</v>
      </c>
      <c r="F924" s="1087">
        <v>0.98634861717015632</v>
      </c>
      <c r="G924" s="1087">
        <v>1.0232408395017849</v>
      </c>
      <c r="H924" s="1087">
        <v>1.0071902391670853</v>
      </c>
      <c r="I924" s="1087">
        <v>0.97398602169396331</v>
      </c>
      <c r="K924">
        <v>1.8103423898418025</v>
      </c>
      <c r="L924">
        <v>0</v>
      </c>
      <c r="M924">
        <v>3.6393767055221925E-3</v>
      </c>
      <c r="N924">
        <v>0.33947567146892993</v>
      </c>
      <c r="O924">
        <v>0.23414767870024625</v>
      </c>
      <c r="P924">
        <v>1.2826181793089801E-2</v>
      </c>
      <c r="Q924">
        <v>1.5496544672784619E-3</v>
      </c>
      <c r="R924">
        <v>3.6331492314130862E-3</v>
      </c>
      <c r="S924">
        <v>0.35027209650367669</v>
      </c>
      <c r="T924">
        <v>0.39716164780179819</v>
      </c>
      <c r="U924">
        <v>0</v>
      </c>
      <c r="V924">
        <v>0.19669713012492421</v>
      </c>
      <c r="W924">
        <v>0.21702874497881841</v>
      </c>
      <c r="X924">
        <v>5.1301576936566173E-2</v>
      </c>
      <c r="Y924">
        <v>9.8882345405841669E-3</v>
      </c>
    </row>
    <row r="925" spans="1:25" x14ac:dyDescent="0.25">
      <c r="A925" s="1083"/>
      <c r="B925" s="1455">
        <v>675</v>
      </c>
      <c r="C925" s="1087">
        <v>0.97571937220852623</v>
      </c>
      <c r="D925" s="1087">
        <v>0.99788139121859487</v>
      </c>
      <c r="E925" s="1087">
        <v>0.99911233025691049</v>
      </c>
      <c r="F925" s="1087">
        <v>0.98759156723948671</v>
      </c>
      <c r="G925" s="1087">
        <v>1.0022478940675128</v>
      </c>
      <c r="H925" s="1087">
        <v>0.95898459923398216</v>
      </c>
      <c r="I925" s="1087">
        <v>1.0177810399661273</v>
      </c>
      <c r="K925">
        <v>1.8465038924177644</v>
      </c>
      <c r="L925">
        <v>0</v>
      </c>
      <c r="M925">
        <v>3.5850298598576313E-3</v>
      </c>
      <c r="N925">
        <v>0.33945900293462589</v>
      </c>
      <c r="O925">
        <v>0.24041778752726986</v>
      </c>
      <c r="P925">
        <v>1.326322834427439E-2</v>
      </c>
      <c r="Q925">
        <v>1.6229545472184073E-3</v>
      </c>
      <c r="R925">
        <v>3.5786073019200199E-3</v>
      </c>
      <c r="S925">
        <v>0.37357034702778058</v>
      </c>
      <c r="T925">
        <v>0.39769161838937483</v>
      </c>
      <c r="U925">
        <v>0</v>
      </c>
      <c r="V925">
        <v>0.20143798581103003</v>
      </c>
      <c r="W925">
        <v>0.21634766881325895</v>
      </c>
      <c r="X925">
        <v>5.2959932192619824E-2</v>
      </c>
      <c r="Y925">
        <v>9.7397893882462637E-3</v>
      </c>
    </row>
    <row r="926" spans="1:25" x14ac:dyDescent="0.25">
      <c r="A926" s="1083"/>
      <c r="B926" s="1455">
        <v>676</v>
      </c>
      <c r="C926" s="1087">
        <v>0.9827746926575962</v>
      </c>
      <c r="D926" s="1087">
        <v>1.0152331245765995</v>
      </c>
      <c r="E926" s="1087">
        <v>0.99758221875750219</v>
      </c>
      <c r="F926" s="1087">
        <v>0.97682228715654384</v>
      </c>
      <c r="G926" s="1087">
        <v>0.99029206382322321</v>
      </c>
      <c r="H926" s="1087">
        <v>0.98848964981747967</v>
      </c>
      <c r="I926" s="1087">
        <v>0.99723476291019875</v>
      </c>
      <c r="K926">
        <v>1.8336485246951082</v>
      </c>
      <c r="L926">
        <v>0</v>
      </c>
      <c r="M926">
        <v>3.6463732213225853E-3</v>
      </c>
      <c r="N926">
        <v>0.34367583280821401</v>
      </c>
      <c r="O926">
        <v>0.23654857316734901</v>
      </c>
      <c r="P926">
        <v>1.3040848019944925E-2</v>
      </c>
      <c r="Q926">
        <v>1.5976214293758355E-3</v>
      </c>
      <c r="R926">
        <v>3.6400207429317776E-3</v>
      </c>
      <c r="S926">
        <v>0.36532847513546102</v>
      </c>
      <c r="T926">
        <v>0.39334590909585421</v>
      </c>
      <c r="U926">
        <v>0</v>
      </c>
      <c r="V926">
        <v>0.19881019187830407</v>
      </c>
      <c r="W926">
        <v>0.21924495337863728</v>
      </c>
      <c r="X926">
        <v>5.215553573061274E-2</v>
      </c>
      <c r="Y926">
        <v>9.9069365297448798E-3</v>
      </c>
    </row>
    <row r="927" spans="1:25" x14ac:dyDescent="0.25">
      <c r="A927" s="1083"/>
      <c r="B927" s="1455">
        <v>677</v>
      </c>
      <c r="C927" s="1087">
        <v>0.99208737247178114</v>
      </c>
      <c r="D927" s="1087">
        <v>0.98061396194827499</v>
      </c>
      <c r="E927" s="1087">
        <v>0.99023848722220831</v>
      </c>
      <c r="F927" s="1087">
        <v>1.0050888492855119</v>
      </c>
      <c r="G927" s="1087">
        <v>1.0010161018211785</v>
      </c>
      <c r="H927" s="1087">
        <v>1.0006006764873667</v>
      </c>
      <c r="I927" s="1087">
        <v>0.99432410875803068</v>
      </c>
      <c r="K927">
        <v>1.868549281012134</v>
      </c>
      <c r="L927">
        <v>0</v>
      </c>
      <c r="M927">
        <v>3.7820019302767312E-3</v>
      </c>
      <c r="N927">
        <v>0.34856616454809985</v>
      </c>
      <c r="O927">
        <v>0.24211753266376895</v>
      </c>
      <c r="P927">
        <v>1.3229741890409569E-2</v>
      </c>
      <c r="Q927">
        <v>1.5921932883153165E-3</v>
      </c>
      <c r="R927">
        <v>3.775524660529145E-3</v>
      </c>
      <c r="S927">
        <v>0.36998831958672818</v>
      </c>
      <c r="T927">
        <v>0.40468373367339394</v>
      </c>
      <c r="U927">
        <v>0</v>
      </c>
      <c r="V927">
        <v>0.20204382523159475</v>
      </c>
      <c r="W927">
        <v>0.22339207971769681</v>
      </c>
      <c r="X927">
        <v>5.2666434157282283E-2</v>
      </c>
      <c r="Y927">
        <v>1.0275733524590484E-2</v>
      </c>
    </row>
    <row r="928" spans="1:25" x14ac:dyDescent="0.25">
      <c r="A928" s="1083"/>
      <c r="B928" s="1455">
        <v>678</v>
      </c>
      <c r="C928" s="1087">
        <v>1.0318030330100203</v>
      </c>
      <c r="D928" s="1087">
        <v>0.97737114998744834</v>
      </c>
      <c r="E928" s="1087">
        <v>1.0071245284110042</v>
      </c>
      <c r="F928" s="1087">
        <v>0.98144671289260277</v>
      </c>
      <c r="G928" s="1087">
        <v>0.98614650306145868</v>
      </c>
      <c r="H928" s="1087">
        <v>1.0012811900549108</v>
      </c>
      <c r="I928" s="1087">
        <v>1.0052431827462684</v>
      </c>
      <c r="K928">
        <v>1.8223599005400524</v>
      </c>
      <c r="L928">
        <v>0</v>
      </c>
      <c r="M928">
        <v>3.5214594037086622E-3</v>
      </c>
      <c r="N928">
        <v>0.34171871342965077</v>
      </c>
      <c r="O928">
        <v>0.2351476057019814</v>
      </c>
      <c r="P928">
        <v>1.3058152856734008E-2</v>
      </c>
      <c r="Q928">
        <v>1.5607887178975203E-3</v>
      </c>
      <c r="R928">
        <v>3.5154348802191818E-3</v>
      </c>
      <c r="S928">
        <v>0.36061709604592457</v>
      </c>
      <c r="T928">
        <v>0.39526490906022843</v>
      </c>
      <c r="U928">
        <v>0</v>
      </c>
      <c r="V928">
        <v>0.19609263984439196</v>
      </c>
      <c r="W928">
        <v>0.2167028251341114</v>
      </c>
      <c r="X928">
        <v>5.263533939146299E-2</v>
      </c>
      <c r="Y928">
        <v>9.5678548811598003E-3</v>
      </c>
    </row>
    <row r="929" spans="1:25" x14ac:dyDescent="0.25">
      <c r="A929" s="1083"/>
      <c r="B929" s="1455">
        <v>679</v>
      </c>
      <c r="C929" s="1087">
        <v>0.98273591280638706</v>
      </c>
      <c r="D929" s="1087">
        <v>1.0129356225454214</v>
      </c>
      <c r="E929" s="1087">
        <v>1.0049739583729733</v>
      </c>
      <c r="F929" s="1087">
        <v>1.0185346229169625</v>
      </c>
      <c r="G929" s="1087">
        <v>0.95945671775701258</v>
      </c>
      <c r="H929" s="1087">
        <v>0.99308548989254408</v>
      </c>
      <c r="I929" s="1087">
        <v>1.0157190562444309</v>
      </c>
      <c r="K929">
        <v>1.876472768420647</v>
      </c>
      <c r="L929">
        <v>0</v>
      </c>
      <c r="M929">
        <v>3.6131040914678383E-3</v>
      </c>
      <c r="N929">
        <v>0.3483114434480763</v>
      </c>
      <c r="O929">
        <v>0.2418262201885619</v>
      </c>
      <c r="P929">
        <v>1.3507466301026321E-2</v>
      </c>
      <c r="Q929">
        <v>1.6117698811775754E-3</v>
      </c>
      <c r="R929">
        <v>3.6068410391848545E-3</v>
      </c>
      <c r="S929">
        <v>0.37353344634753138</v>
      </c>
      <c r="T929">
        <v>0.41018825376518886</v>
      </c>
      <c r="U929">
        <v>0</v>
      </c>
      <c r="V929">
        <v>0.20258066393479915</v>
      </c>
      <c r="W929">
        <v>0.22117929958670371</v>
      </c>
      <c r="X929">
        <v>5.392383570603046E-2</v>
      </c>
      <c r="Y929">
        <v>9.8166323138321535E-3</v>
      </c>
    </row>
    <row r="930" spans="1:25" x14ac:dyDescent="0.25">
      <c r="A930" s="1083"/>
      <c r="B930" s="1455">
        <v>680</v>
      </c>
      <c r="C930" s="1087">
        <v>1.0142029147120299</v>
      </c>
      <c r="D930" s="1087">
        <v>0.99972284969901382</v>
      </c>
      <c r="E930" s="1087">
        <v>1.0146558911235954</v>
      </c>
      <c r="F930" s="1087">
        <v>0.99846291393997466</v>
      </c>
      <c r="G930" s="1087">
        <v>1.0191078787757897</v>
      </c>
      <c r="H930" s="1087">
        <v>1.0066226642861917</v>
      </c>
      <c r="I930" s="1087">
        <v>0.96075250814448143</v>
      </c>
      <c r="K930">
        <v>1.8301021103191084</v>
      </c>
      <c r="L930">
        <v>0</v>
      </c>
      <c r="M930">
        <v>3.5035162061242452E-3</v>
      </c>
      <c r="N930">
        <v>0.34787679170549196</v>
      </c>
      <c r="O930">
        <v>0.23709438196471208</v>
      </c>
      <c r="P930">
        <v>1.3071457512684004E-2</v>
      </c>
      <c r="Q930">
        <v>1.5861848757795644E-3</v>
      </c>
      <c r="R930">
        <v>3.4975353317813697E-3</v>
      </c>
      <c r="S930">
        <v>0.34727182523302191</v>
      </c>
      <c r="T930">
        <v>0.40216387702930367</v>
      </c>
      <c r="U930">
        <v>0</v>
      </c>
      <c r="V930">
        <v>0.19822733879185606</v>
      </c>
      <c r="W930">
        <v>0.21958073114483051</v>
      </c>
      <c r="X930">
        <v>5.3716364724874802E-2</v>
      </c>
      <c r="Y930">
        <v>9.5191382108966334E-3</v>
      </c>
    </row>
    <row r="931" spans="1:25" x14ac:dyDescent="0.25">
      <c r="A931" s="1083"/>
      <c r="B931" s="1455">
        <v>681</v>
      </c>
      <c r="C931" s="1087">
        <v>1.0127464993135227</v>
      </c>
      <c r="D931" s="1087">
        <v>1.0128788377289251</v>
      </c>
      <c r="E931" s="1087">
        <v>0.99206494585914495</v>
      </c>
      <c r="F931" s="1087">
        <v>1.0199474135001541</v>
      </c>
      <c r="G931" s="1087">
        <v>1.0353101966110354</v>
      </c>
      <c r="H931" s="1087">
        <v>1.0328080020262971</v>
      </c>
      <c r="I931" s="1087">
        <v>0.97913011001960082</v>
      </c>
      <c r="K931">
        <v>1.850135105665847</v>
      </c>
      <c r="L931">
        <v>0</v>
      </c>
      <c r="M931">
        <v>3.743008218336443E-3</v>
      </c>
      <c r="N931">
        <v>0.34691756259917012</v>
      </c>
      <c r="O931">
        <v>0.23810055336096506</v>
      </c>
      <c r="P931">
        <v>1.3105108308297829E-2</v>
      </c>
      <c r="Q931">
        <v>1.5426603133845878E-3</v>
      </c>
      <c r="R931">
        <v>3.7367680388006174E-3</v>
      </c>
      <c r="S931">
        <v>0.35614951372081122</v>
      </c>
      <c r="T931">
        <v>0.41067752468096919</v>
      </c>
      <c r="U931">
        <v>0</v>
      </c>
      <c r="V931">
        <v>0.19936309579192352</v>
      </c>
      <c r="W931">
        <v>0.22208022792828416</v>
      </c>
      <c r="X931">
        <v>5.2034848365214305E-2</v>
      </c>
      <c r="Y931">
        <v>1.017025077636235E-2</v>
      </c>
    </row>
    <row r="932" spans="1:25" x14ac:dyDescent="0.25">
      <c r="A932" s="1083"/>
      <c r="B932" s="1455">
        <v>682</v>
      </c>
      <c r="C932" s="1087">
        <v>0.99307745973994543</v>
      </c>
      <c r="D932" s="1087">
        <v>0.97164112025991189</v>
      </c>
      <c r="E932" s="1087">
        <v>1.002162349390878</v>
      </c>
      <c r="F932" s="1087">
        <v>0.99141301381842439</v>
      </c>
      <c r="G932" s="1087">
        <v>1.0153942452628817</v>
      </c>
      <c r="H932" s="1087">
        <v>1.0161080129421496</v>
      </c>
      <c r="I932" s="1087">
        <v>0.99580843515606088</v>
      </c>
      <c r="K932">
        <v>1.8843851117768853</v>
      </c>
      <c r="L932">
        <v>0</v>
      </c>
      <c r="M932">
        <v>3.7626059791783365E-3</v>
      </c>
      <c r="N932">
        <v>0.35964326425577464</v>
      </c>
      <c r="O932">
        <v>0.24142577828140527</v>
      </c>
      <c r="P932">
        <v>1.3333001587373121E-2</v>
      </c>
      <c r="Q932">
        <v>1.6169194281723833E-3</v>
      </c>
      <c r="R932">
        <v>3.756267730864057E-3</v>
      </c>
      <c r="S932">
        <v>0.37504870647500088</v>
      </c>
      <c r="T932">
        <v>0.39924880059906492</v>
      </c>
      <c r="U932">
        <v>0</v>
      </c>
      <c r="V932">
        <v>0.2013001694936134</v>
      </c>
      <c r="W932">
        <v>0.22877553096556841</v>
      </c>
      <c r="X932">
        <v>5.3775956429138821E-2</v>
      </c>
      <c r="Y932">
        <v>1.0223322510087271E-2</v>
      </c>
    </row>
    <row r="933" spans="1:25" x14ac:dyDescent="0.25">
      <c r="A933" s="1083"/>
      <c r="B933" s="1455">
        <v>683</v>
      </c>
      <c r="C933" s="1087">
        <v>0.98943502583727927</v>
      </c>
      <c r="D933" s="1087">
        <v>1.0101008213239802</v>
      </c>
      <c r="E933" s="1087">
        <v>0.99319619282347771</v>
      </c>
      <c r="F933" s="1087">
        <v>0.97073799128287042</v>
      </c>
      <c r="G933" s="1087">
        <v>0.95443867064796029</v>
      </c>
      <c r="H933" s="1087">
        <v>0.99095584104504519</v>
      </c>
      <c r="I933" s="1087">
        <v>1.0065497526090008</v>
      </c>
      <c r="K933">
        <v>1.8280394669776332</v>
      </c>
      <c r="L933">
        <v>0</v>
      </c>
      <c r="M933">
        <v>3.6734537018059325E-3</v>
      </c>
      <c r="N933">
        <v>0.34162522857552363</v>
      </c>
      <c r="O933">
        <v>0.23544249088665867</v>
      </c>
      <c r="P933">
        <v>1.2982652263325933E-2</v>
      </c>
      <c r="Q933">
        <v>1.582655525231332E-3</v>
      </c>
      <c r="R933">
        <v>3.667074242518388E-3</v>
      </c>
      <c r="S933">
        <v>0.36768085742357837</v>
      </c>
      <c r="T933">
        <v>0.39087017717775852</v>
      </c>
      <c r="U933">
        <v>0</v>
      </c>
      <c r="V933">
        <v>0.19779486663885021</v>
      </c>
      <c r="W933">
        <v>0.2185369430350951</v>
      </c>
      <c r="X933">
        <v>5.1549407673460994E-2</v>
      </c>
      <c r="Y933">
        <v>9.9805672374358931E-3</v>
      </c>
    </row>
    <row r="934" spans="1:25" x14ac:dyDescent="0.25">
      <c r="A934" s="1083"/>
      <c r="B934" s="1455">
        <v>684</v>
      </c>
      <c r="C934" s="1087">
        <v>1.0313523468182095</v>
      </c>
      <c r="D934" s="1087">
        <v>0.97106071876741318</v>
      </c>
      <c r="E934" s="1087">
        <v>0.97335074540778732</v>
      </c>
      <c r="F934" s="1087">
        <v>1.0330970249395577</v>
      </c>
      <c r="G934" s="1087">
        <v>1.0138293583329212</v>
      </c>
      <c r="H934" s="1087">
        <v>0.96345342175832616</v>
      </c>
      <c r="I934" s="1087">
        <v>1.0168957680031363</v>
      </c>
      <c r="K934">
        <v>1.8176360082388865</v>
      </c>
      <c r="L934">
        <v>0</v>
      </c>
      <c r="M934">
        <v>3.6444652679352395E-3</v>
      </c>
      <c r="N934">
        <v>0.31897589775891044</v>
      </c>
      <c r="O934">
        <v>0.24137886643087741</v>
      </c>
      <c r="P934">
        <v>1.3045919895108711E-2</v>
      </c>
      <c r="Q934">
        <v>1.509906319342255E-3</v>
      </c>
      <c r="R934">
        <v>3.6379909400630316E-3</v>
      </c>
      <c r="S934">
        <v>0.35900505006057687</v>
      </c>
      <c r="T934">
        <v>0.415856471536795</v>
      </c>
      <c r="U934">
        <v>0</v>
      </c>
      <c r="V934">
        <v>0.20069163304319729</v>
      </c>
      <c r="W934">
        <v>0.20662667304292301</v>
      </c>
      <c r="X934">
        <v>5.0650652403565137E-2</v>
      </c>
      <c r="Y934">
        <v>9.9014120754604869E-3</v>
      </c>
    </row>
    <row r="935" spans="1:25" x14ac:dyDescent="0.25">
      <c r="A935" s="1083"/>
      <c r="B935" s="1455">
        <v>685</v>
      </c>
      <c r="C935" s="1087">
        <v>0.98642742450018794</v>
      </c>
      <c r="D935" s="1087">
        <v>1.0374284472998072</v>
      </c>
      <c r="E935" s="1087">
        <v>0.99039429900968923</v>
      </c>
      <c r="F935" s="1087">
        <v>0.97663602185363718</v>
      </c>
      <c r="G935" s="1087">
        <v>0.98800457141496412</v>
      </c>
      <c r="H935" s="1087">
        <v>1.0117916819529895</v>
      </c>
      <c r="I935" s="1087">
        <v>0.99824614110079435</v>
      </c>
      <c r="K935">
        <v>1.8285249582834147</v>
      </c>
      <c r="L935">
        <v>0</v>
      </c>
      <c r="M935">
        <v>3.7299764014830841E-3</v>
      </c>
      <c r="N935">
        <v>0.34393680254458314</v>
      </c>
      <c r="O935">
        <v>0.23388176121162868</v>
      </c>
      <c r="P935">
        <v>1.2931815307573969E-2</v>
      </c>
      <c r="Q935">
        <v>1.565917972512433E-3</v>
      </c>
      <c r="R935">
        <v>3.7236091129675629E-3</v>
      </c>
      <c r="S935">
        <v>0.36414651601798986</v>
      </c>
      <c r="T935">
        <v>0.39322855123830974</v>
      </c>
      <c r="U935">
        <v>0</v>
      </c>
      <c r="V935">
        <v>0.19723328247686014</v>
      </c>
      <c r="W935">
        <v>0.220403558971556</v>
      </c>
      <c r="X935">
        <v>5.1068683312830085E-2</v>
      </c>
      <c r="Y935">
        <v>1.0134436518083514E-2</v>
      </c>
    </row>
    <row r="936" spans="1:25" x14ac:dyDescent="0.25">
      <c r="A936" s="1083"/>
      <c r="B936" s="1455">
        <v>686</v>
      </c>
      <c r="C936" s="1087">
        <v>0.97801515327244248</v>
      </c>
      <c r="D936" s="1087">
        <v>1.0013451129255426</v>
      </c>
      <c r="E936" s="1087">
        <v>0.98747440552019006</v>
      </c>
      <c r="F936" s="1087">
        <v>1.0001501667335022</v>
      </c>
      <c r="G936" s="1087">
        <v>0.96413188693257734</v>
      </c>
      <c r="H936" s="1087">
        <v>1.0128079012627038</v>
      </c>
      <c r="I936" s="1087">
        <v>1.00196704849308</v>
      </c>
      <c r="K936">
        <v>1.8790680729019491</v>
      </c>
      <c r="L936">
        <v>0</v>
      </c>
      <c r="M936">
        <v>3.8613774805036655E-3</v>
      </c>
      <c r="N936">
        <v>0.35289561331839248</v>
      </c>
      <c r="O936">
        <v>0.24114109479919388</v>
      </c>
      <c r="P936">
        <v>1.325719912805178E-2</v>
      </c>
      <c r="Q936">
        <v>1.5969057959343519E-3</v>
      </c>
      <c r="R936">
        <v>3.8548248868895706E-3</v>
      </c>
      <c r="S936">
        <v>0.37607326584390249</v>
      </c>
      <c r="T936">
        <v>0.40267863133823228</v>
      </c>
      <c r="U936">
        <v>0</v>
      </c>
      <c r="V936">
        <v>0.20202931117993791</v>
      </c>
      <c r="W936">
        <v>0.22656101330413014</v>
      </c>
      <c r="X936">
        <v>5.235002818835667E-2</v>
      </c>
      <c r="Y936">
        <v>1.0491562599430966E-2</v>
      </c>
    </row>
    <row r="937" spans="1:25" x14ac:dyDescent="0.25">
      <c r="A937" s="1083"/>
      <c r="B937" s="1455">
        <v>687</v>
      </c>
      <c r="C937" s="1087">
        <v>1.0168838116311298</v>
      </c>
      <c r="D937" s="1087">
        <v>0.98449327323144731</v>
      </c>
      <c r="E937" s="1087">
        <v>1.0170154760483501</v>
      </c>
      <c r="F937" s="1087">
        <v>0.97216156710057633</v>
      </c>
      <c r="G937" s="1087">
        <v>1.013616923130563</v>
      </c>
      <c r="H937" s="1087">
        <v>1.0147932088553433</v>
      </c>
      <c r="I937" s="1087">
        <v>1.0126740413700805</v>
      </c>
      <c r="K937">
        <v>1.8474700004850491</v>
      </c>
      <c r="L937">
        <v>0</v>
      </c>
      <c r="M937">
        <v>3.5346595114767302E-3</v>
      </c>
      <c r="N937">
        <v>0.35350866653003193</v>
      </c>
      <c r="O937">
        <v>0.23519287978772321</v>
      </c>
      <c r="P937">
        <v>1.3233946118598152E-2</v>
      </c>
      <c r="Q937">
        <v>1.5957216669143699E-3</v>
      </c>
      <c r="R937">
        <v>3.5286866337389381E-3</v>
      </c>
      <c r="S937">
        <v>0.36970066182643674</v>
      </c>
      <c r="T937">
        <v>0.39158419608201223</v>
      </c>
      <c r="U937">
        <v>0</v>
      </c>
      <c r="V937">
        <v>0.19649238339821667</v>
      </c>
      <c r="W937">
        <v>0.22281073618768743</v>
      </c>
      <c r="X937">
        <v>5.3752859979363209E-2</v>
      </c>
      <c r="Y937">
        <v>9.6039217858012033E-3</v>
      </c>
    </row>
    <row r="938" spans="1:25" x14ac:dyDescent="0.25">
      <c r="A938" s="1083"/>
      <c r="B938" s="1455">
        <v>688</v>
      </c>
      <c r="C938" s="1087">
        <v>1.0461688258529536</v>
      </c>
      <c r="D938" s="1087">
        <v>1.0105867583362222</v>
      </c>
      <c r="E938" s="1087">
        <v>0.98985294692040238</v>
      </c>
      <c r="F938" s="1087">
        <v>0.98780573812480299</v>
      </c>
      <c r="G938" s="1087">
        <v>0.99025581961483555</v>
      </c>
      <c r="H938" s="1087">
        <v>0.99616169722636938</v>
      </c>
      <c r="I938" s="1087">
        <v>0.96212498469059093</v>
      </c>
      <c r="K938">
        <v>1.7593758815847984</v>
      </c>
      <c r="L938">
        <v>0</v>
      </c>
      <c r="M938">
        <v>3.5147172321141847E-3</v>
      </c>
      <c r="N938">
        <v>0.32354584393795038</v>
      </c>
      <c r="O938">
        <v>0.2307330441451107</v>
      </c>
      <c r="P938">
        <v>1.251424106691186E-2</v>
      </c>
      <c r="Q938">
        <v>1.4911948120661317E-3</v>
      </c>
      <c r="R938">
        <v>3.5086435524661124E-3</v>
      </c>
      <c r="S938">
        <v>0.33309625441919566</v>
      </c>
      <c r="T938">
        <v>0.39772266077314433</v>
      </c>
      <c r="U938">
        <v>0</v>
      </c>
      <c r="V938">
        <v>0.19334508318990581</v>
      </c>
      <c r="W938">
        <v>0.20740717462264455</v>
      </c>
      <c r="X938">
        <v>4.9977087171737038E-2</v>
      </c>
      <c r="Y938">
        <v>9.5493711257765342E-3</v>
      </c>
    </row>
    <row r="939" spans="1:25" x14ac:dyDescent="0.25">
      <c r="A939" s="1083"/>
      <c r="B939" s="1455">
        <v>689</v>
      </c>
      <c r="C939" s="1087">
        <v>0.97015112614248045</v>
      </c>
      <c r="D939" s="1087">
        <v>0.99415382558543075</v>
      </c>
      <c r="E939" s="1087">
        <v>1.0026171036875571</v>
      </c>
      <c r="F939" s="1087">
        <v>1.0223332787458863</v>
      </c>
      <c r="G939" s="1087">
        <v>1.0111108263613202</v>
      </c>
      <c r="H939" s="1087">
        <v>1.0166192232563211</v>
      </c>
      <c r="I939" s="1087">
        <v>1.0012245693072164</v>
      </c>
      <c r="K939">
        <v>1.9199173296852725</v>
      </c>
      <c r="L939">
        <v>0</v>
      </c>
      <c r="M939">
        <v>3.8032248727727204E-3</v>
      </c>
      <c r="N939">
        <v>0.36402896113170552</v>
      </c>
      <c r="O939">
        <v>0.24572816527785951</v>
      </c>
      <c r="P939">
        <v>1.3647655570469418E-2</v>
      </c>
      <c r="Q939">
        <v>1.6408286091212398E-3</v>
      </c>
      <c r="R939">
        <v>3.7968019934440309E-3</v>
      </c>
      <c r="S939">
        <v>0.38126231707676644</v>
      </c>
      <c r="T939">
        <v>0.41170342449101588</v>
      </c>
      <c r="U939">
        <v>0</v>
      </c>
      <c r="V939">
        <v>0.20531870040445882</v>
      </c>
      <c r="W939">
        <v>0.23149968171181745</v>
      </c>
      <c r="X939">
        <v>5.4760374880671231E-2</v>
      </c>
      <c r="Y939">
        <v>1.0333643410713893E-2</v>
      </c>
    </row>
    <row r="940" spans="1:25" x14ac:dyDescent="0.25">
      <c r="A940" s="1083"/>
      <c r="B940" s="1455">
        <v>690</v>
      </c>
      <c r="C940" s="1087">
        <v>0.990133526211469</v>
      </c>
      <c r="D940" s="1087">
        <v>1.039099328812398</v>
      </c>
      <c r="E940" s="1087">
        <v>1.0165496021228271</v>
      </c>
      <c r="F940" s="1087">
        <v>1.0180761541999417</v>
      </c>
      <c r="G940" s="1087">
        <v>0.98862501258179303</v>
      </c>
      <c r="H940" s="1087">
        <v>0.97289407340573264</v>
      </c>
      <c r="I940" s="1087">
        <v>1.0270867045096186</v>
      </c>
      <c r="K940">
        <v>1.8441536694267948</v>
      </c>
      <c r="L940">
        <v>0</v>
      </c>
      <c r="M940">
        <v>3.383336183906664E-3</v>
      </c>
      <c r="N940">
        <v>0.33786517694143581</v>
      </c>
      <c r="O940">
        <v>0.23842862761145373</v>
      </c>
      <c r="P940">
        <v>1.3488390444874928E-2</v>
      </c>
      <c r="Q940">
        <v>1.6030359015601486E-3</v>
      </c>
      <c r="R940">
        <v>3.3773272363937026E-3</v>
      </c>
      <c r="S940">
        <v>0.36603345701405765</v>
      </c>
      <c r="T940">
        <v>0.41007556669991757</v>
      </c>
      <c r="U940">
        <v>0</v>
      </c>
      <c r="V940">
        <v>0.2004196349933817</v>
      </c>
      <c r="W940">
        <v>0.21301212060939562</v>
      </c>
      <c r="X940">
        <v>5.4041696756388813E-2</v>
      </c>
      <c r="Y940">
        <v>9.1919714018393935E-3</v>
      </c>
    </row>
    <row r="941" spans="1:25" x14ac:dyDescent="0.25">
      <c r="A941" s="1083"/>
      <c r="B941" s="1455">
        <v>691</v>
      </c>
      <c r="C941" s="1087">
        <v>1.0235439105585171</v>
      </c>
      <c r="D941" s="1087">
        <v>1.0111837866069298</v>
      </c>
      <c r="E941" s="1087">
        <v>0.99460326561967638</v>
      </c>
      <c r="F941" s="1087">
        <v>1.0153143828669193</v>
      </c>
      <c r="G941" s="1087">
        <v>0.99758639392039417</v>
      </c>
      <c r="H941" s="1087">
        <v>1.0409395326811239</v>
      </c>
      <c r="I941" s="1087">
        <v>1.0240380968959333</v>
      </c>
      <c r="K941">
        <v>1.8595747808746104</v>
      </c>
      <c r="L941">
        <v>0</v>
      </c>
      <c r="M941">
        <v>3.7164787001063974E-3</v>
      </c>
      <c r="N941">
        <v>0.34714322663614688</v>
      </c>
      <c r="O941">
        <v>0.23648354495310786</v>
      </c>
      <c r="P941">
        <v>1.3279063053601721E-2</v>
      </c>
      <c r="Q941">
        <v>1.5315608811758373E-3</v>
      </c>
      <c r="R941">
        <v>3.7103321740426165E-3</v>
      </c>
      <c r="S941">
        <v>0.37037915849362252</v>
      </c>
      <c r="T941">
        <v>0.40882759577273736</v>
      </c>
      <c r="U941">
        <v>0</v>
      </c>
      <c r="V941">
        <v>0.19794495994903216</v>
      </c>
      <c r="W941">
        <v>0.22187074820345815</v>
      </c>
      <c r="X941">
        <v>5.202276839072021E-2</v>
      </c>
      <c r="Y941">
        <v>1.0098301067071547E-2</v>
      </c>
    </row>
    <row r="942" spans="1:25" x14ac:dyDescent="0.25">
      <c r="A942" s="1083"/>
      <c r="B942" s="1455">
        <v>692</v>
      </c>
      <c r="C942" s="1087">
        <v>1.0028567638811234</v>
      </c>
      <c r="D942" s="1087">
        <v>0.98499784379088651</v>
      </c>
      <c r="E942" s="1087">
        <v>1.0114410102204339</v>
      </c>
      <c r="F942" s="1087">
        <v>1.0028361017513303</v>
      </c>
      <c r="G942" s="1087">
        <v>1.0264400492163284</v>
      </c>
      <c r="H942" s="1087">
        <v>1.0109568794992689</v>
      </c>
      <c r="I942" s="1087">
        <v>0.97958406595875269</v>
      </c>
      <c r="K942">
        <v>1.8652477708187294</v>
      </c>
      <c r="L942">
        <v>0</v>
      </c>
      <c r="M942">
        <v>3.6109455106177924E-3</v>
      </c>
      <c r="N942">
        <v>0.35505062578823682</v>
      </c>
      <c r="O942">
        <v>0.24039980828956983</v>
      </c>
      <c r="P942">
        <v>1.3296578791415879E-2</v>
      </c>
      <c r="Q942">
        <v>1.6081987041242293E-3</v>
      </c>
      <c r="R942">
        <v>3.6048207356621288E-3</v>
      </c>
      <c r="S942">
        <v>0.36178828791705309</v>
      </c>
      <c r="T942">
        <v>0.40390560808958909</v>
      </c>
      <c r="U942">
        <v>0</v>
      </c>
      <c r="V942">
        <v>0.2005748655203827</v>
      </c>
      <c r="W942">
        <v>0.22455510167568274</v>
      </c>
      <c r="X942">
        <v>5.4263687103994811E-2</v>
      </c>
      <c r="Y942">
        <v>9.8111337136361707E-3</v>
      </c>
    </row>
    <row r="943" spans="1:25" x14ac:dyDescent="0.25">
      <c r="A943" s="1083"/>
      <c r="B943" s="1455">
        <v>693</v>
      </c>
      <c r="C943" s="1087">
        <v>1.0124883127333273</v>
      </c>
      <c r="D943" s="1087">
        <v>1.0284257438986262</v>
      </c>
      <c r="E943" s="1087">
        <v>1.0039091375415075</v>
      </c>
      <c r="F943" s="1087">
        <v>1.0134790563644589</v>
      </c>
      <c r="G943" s="1087">
        <v>1.025309848827868</v>
      </c>
      <c r="H943" s="1087">
        <v>0.9732780833907303</v>
      </c>
      <c r="I943" s="1087">
        <v>1.0055049387554109</v>
      </c>
      <c r="K943">
        <v>1.8075298186983306</v>
      </c>
      <c r="L943">
        <v>0</v>
      </c>
      <c r="M943">
        <v>3.4152806293329188E-3</v>
      </c>
      <c r="N943">
        <v>0.32816000424146596</v>
      </c>
      <c r="O943">
        <v>0.23602951684863724</v>
      </c>
      <c r="P943">
        <v>1.3117424293003027E-2</v>
      </c>
      <c r="Q943">
        <v>1.5531799103149289E-3</v>
      </c>
      <c r="R943">
        <v>3.4092252268745271E-3</v>
      </c>
      <c r="S943">
        <v>0.35233412237011863</v>
      </c>
      <c r="T943">
        <v>0.40814569670074957</v>
      </c>
      <c r="U943">
        <v>0</v>
      </c>
      <c r="V943">
        <v>0.19810189672872117</v>
      </c>
      <c r="W943">
        <v>0.20852127289521588</v>
      </c>
      <c r="X943">
        <v>5.2293972895805479E-2</v>
      </c>
      <c r="Y943">
        <v>9.2787872167584603E-3</v>
      </c>
    </row>
    <row r="944" spans="1:25" x14ac:dyDescent="0.25">
      <c r="A944" s="1083"/>
      <c r="B944" s="1455">
        <v>694</v>
      </c>
      <c r="C944" s="1087">
        <v>1.003015851357496</v>
      </c>
      <c r="D944" s="1087">
        <v>0.98647953581661851</v>
      </c>
      <c r="E944" s="1087">
        <v>0.99241839574676416</v>
      </c>
      <c r="F944" s="1087">
        <v>0.9860514934343888</v>
      </c>
      <c r="G944" s="1087">
        <v>0.96119325987023108</v>
      </c>
      <c r="H944" s="1087">
        <v>1.0018629218144564</v>
      </c>
      <c r="I944" s="1087">
        <v>0.95344496692079139</v>
      </c>
      <c r="K944">
        <v>1.8258296573766146</v>
      </c>
      <c r="L944">
        <v>0</v>
      </c>
      <c r="M944">
        <v>3.7166865889214883E-3</v>
      </c>
      <c r="N944">
        <v>0.3448344403656014</v>
      </c>
      <c r="O944">
        <v>0.23795198940133755</v>
      </c>
      <c r="P944">
        <v>1.2833661381532468E-2</v>
      </c>
      <c r="Q944">
        <v>1.5747631850901863E-3</v>
      </c>
      <c r="R944">
        <v>3.7103235556090221E-3</v>
      </c>
      <c r="S944">
        <v>0.34998665589341887</v>
      </c>
      <c r="T944">
        <v>0.3970315754511976</v>
      </c>
      <c r="U944">
        <v>0</v>
      </c>
      <c r="V944">
        <v>0.19890690185017804</v>
      </c>
      <c r="W944">
        <v>0.22069768091013678</v>
      </c>
      <c r="X944">
        <v>5.1920074360898585E-2</v>
      </c>
      <c r="Y944">
        <v>1.0098277610536367E-2</v>
      </c>
    </row>
    <row r="945" spans="1:25" x14ac:dyDescent="0.25">
      <c r="A945" s="1083"/>
      <c r="B945" s="1455">
        <v>695</v>
      </c>
      <c r="C945" s="1087">
        <v>0.97968160405454185</v>
      </c>
      <c r="D945" s="1087">
        <v>1.0260477001230168</v>
      </c>
      <c r="E945" s="1087">
        <v>1.0092339549813978</v>
      </c>
      <c r="F945" s="1087">
        <v>0.99777787737550283</v>
      </c>
      <c r="G945" s="1087">
        <v>0.99344570596468551</v>
      </c>
      <c r="H945" s="1087">
        <v>1.0014483040992399</v>
      </c>
      <c r="I945" s="1087">
        <v>0.97388245488832381</v>
      </c>
      <c r="K945">
        <v>1.8513444149307239</v>
      </c>
      <c r="L945">
        <v>0</v>
      </c>
      <c r="M945">
        <v>3.5981481619262014E-3</v>
      </c>
      <c r="N945">
        <v>0.35141012356532014</v>
      </c>
      <c r="O945">
        <v>0.2385459531439999</v>
      </c>
      <c r="P945">
        <v>1.3196958139704437E-2</v>
      </c>
      <c r="Q945">
        <v>1.6157896531826808E-3</v>
      </c>
      <c r="R945">
        <v>3.5919521106064214E-3</v>
      </c>
      <c r="S945">
        <v>0.35826137154215593</v>
      </c>
      <c r="T945">
        <v>0.40185490010710939</v>
      </c>
      <c r="U945">
        <v>0</v>
      </c>
      <c r="V945">
        <v>0.20047769919791705</v>
      </c>
      <c r="W945">
        <v>0.22255695931539354</v>
      </c>
      <c r="X945">
        <v>5.3654746758881315E-2</v>
      </c>
      <c r="Y945">
        <v>9.7761095583756459E-3</v>
      </c>
    </row>
    <row r="946" spans="1:25" x14ac:dyDescent="0.25">
      <c r="A946" s="1083"/>
      <c r="B946" s="1455">
        <v>696</v>
      </c>
      <c r="C946" s="1087">
        <v>1.0119235691795248</v>
      </c>
      <c r="D946" s="1087">
        <v>1.0314692315967948</v>
      </c>
      <c r="E946" s="1087">
        <v>0.98077745143231287</v>
      </c>
      <c r="F946" s="1087">
        <v>0.99159325128642051</v>
      </c>
      <c r="G946" s="1087">
        <v>0.9651978362948338</v>
      </c>
      <c r="H946" s="1087">
        <v>1.0070135569652412</v>
      </c>
      <c r="I946" s="1087">
        <v>0.96652487318610403</v>
      </c>
      <c r="K946">
        <v>1.7911850693572011</v>
      </c>
      <c r="L946">
        <v>0</v>
      </c>
      <c r="M946">
        <v>3.7014127555706731E-3</v>
      </c>
      <c r="N946">
        <v>0.33141951956264004</v>
      </c>
      <c r="O946">
        <v>0.2329992536616145</v>
      </c>
      <c r="P946">
        <v>1.2629188602111324E-2</v>
      </c>
      <c r="Q946">
        <v>1.5142702953521402E-3</v>
      </c>
      <c r="R946">
        <v>3.6950682686792162E-3</v>
      </c>
      <c r="S946">
        <v>0.34383732027747321</v>
      </c>
      <c r="T946">
        <v>0.39919368337577882</v>
      </c>
      <c r="U946">
        <v>0</v>
      </c>
      <c r="V946">
        <v>0.1960363922570712</v>
      </c>
      <c r="W946">
        <v>0.21367619431156376</v>
      </c>
      <c r="X946">
        <v>4.98288337520695E-2</v>
      </c>
      <c r="Y946">
        <v>1.0056757748417421E-2</v>
      </c>
    </row>
    <row r="947" spans="1:25" x14ac:dyDescent="0.25">
      <c r="A947" s="1083"/>
      <c r="B947" s="1455">
        <v>697</v>
      </c>
      <c r="C947" s="1087">
        <v>1.0107786892673276</v>
      </c>
      <c r="D947" s="1087">
        <v>1.0323325468760713</v>
      </c>
      <c r="E947" s="1087">
        <v>0.99055136346769312</v>
      </c>
      <c r="F947" s="1087">
        <v>1.032755431542971</v>
      </c>
      <c r="G947" s="1087">
        <v>1.0093335218171706</v>
      </c>
      <c r="H947" s="1087">
        <v>1.0067850657446014</v>
      </c>
      <c r="I947" s="1087">
        <v>1.015673234850631</v>
      </c>
      <c r="K947">
        <v>1.8403236716553764</v>
      </c>
      <c r="L947">
        <v>0</v>
      </c>
      <c r="M947">
        <v>3.6284907003649139E-3</v>
      </c>
      <c r="N947">
        <v>0.33473666011822906</v>
      </c>
      <c r="O947">
        <v>0.23780076803939484</v>
      </c>
      <c r="P947">
        <v>1.323638586073375E-2</v>
      </c>
      <c r="Q947">
        <v>1.5314630659865793E-3</v>
      </c>
      <c r="R947">
        <v>3.6222665556422009E-3</v>
      </c>
      <c r="S947">
        <v>0.36156113603025059</v>
      </c>
      <c r="T947">
        <v>0.41582520651699784</v>
      </c>
      <c r="U947">
        <v>0</v>
      </c>
      <c r="V947">
        <v>0.19959288363266731</v>
      </c>
      <c r="W947">
        <v>0.21448666904019964</v>
      </c>
      <c r="X947">
        <v>5.1700108011031143E-2</v>
      </c>
      <c r="Y947">
        <v>9.8586154846089201E-3</v>
      </c>
    </row>
    <row r="948" spans="1:25" x14ac:dyDescent="0.25">
      <c r="A948" s="1083"/>
      <c r="B948" s="1455">
        <v>698</v>
      </c>
      <c r="C948" s="1087">
        <v>1.0200340766669638</v>
      </c>
      <c r="D948" s="1087">
        <v>1.0198381726206671</v>
      </c>
      <c r="E948" s="1087">
        <v>0.99988903082737779</v>
      </c>
      <c r="F948" s="1087">
        <v>0.99979845515475207</v>
      </c>
      <c r="G948" s="1087">
        <v>1.0249743883644928</v>
      </c>
      <c r="H948" s="1087">
        <v>1.0003000542857508</v>
      </c>
      <c r="I948" s="1087">
        <v>0.95580822740921945</v>
      </c>
      <c r="K948">
        <v>1.796074638946197</v>
      </c>
      <c r="L948">
        <v>0</v>
      </c>
      <c r="M948">
        <v>3.5292000469029253E-3</v>
      </c>
      <c r="N948">
        <v>0.33498863880522206</v>
      </c>
      <c r="O948">
        <v>0.23436877064422229</v>
      </c>
      <c r="P948">
        <v>1.279340823612277E-2</v>
      </c>
      <c r="Q948">
        <v>1.5402641159941164E-3</v>
      </c>
      <c r="R948">
        <v>3.5231194333589289E-3</v>
      </c>
      <c r="S948">
        <v>0.33850238069994992</v>
      </c>
      <c r="T948">
        <v>0.40261189348186455</v>
      </c>
      <c r="U948">
        <v>0</v>
      </c>
      <c r="V948">
        <v>0.19659129039108977</v>
      </c>
      <c r="W948">
        <v>0.21339494355898339</v>
      </c>
      <c r="X948">
        <v>5.1700359924698069E-2</v>
      </c>
      <c r="Y948">
        <v>9.5887697015939275E-3</v>
      </c>
    </row>
    <row r="949" spans="1:25" x14ac:dyDescent="0.25">
      <c r="A949" s="1083"/>
      <c r="B949" s="1455">
        <v>699</v>
      </c>
      <c r="C949" s="1087">
        <v>1.0119235170147389</v>
      </c>
      <c r="D949" s="1087">
        <v>0.97867049739323608</v>
      </c>
      <c r="E949" s="1087">
        <v>0.99068224166388474</v>
      </c>
      <c r="F949" s="1087">
        <v>1.0072850971286209</v>
      </c>
      <c r="G949" s="1087">
        <v>0.99220598763301038</v>
      </c>
      <c r="H949" s="1087">
        <v>0.97616421299146938</v>
      </c>
      <c r="I949" s="1087">
        <v>0.97469297920906106</v>
      </c>
      <c r="K949">
        <v>1.8218026774878304</v>
      </c>
      <c r="L949">
        <v>0</v>
      </c>
      <c r="M949">
        <v>3.6179106537366991E-3</v>
      </c>
      <c r="N949">
        <v>0.33388077403649546</v>
      </c>
      <c r="O949">
        <v>0.24017789827528535</v>
      </c>
      <c r="P949">
        <v>1.2972916752005964E-2</v>
      </c>
      <c r="Q949">
        <v>1.562964185793735E-3</v>
      </c>
      <c r="R949">
        <v>3.6115610704551024E-3</v>
      </c>
      <c r="S949">
        <v>0.3516524377633431</v>
      </c>
      <c r="T949">
        <v>0.40557070934940137</v>
      </c>
      <c r="U949">
        <v>0</v>
      </c>
      <c r="V949">
        <v>0.20021470858880225</v>
      </c>
      <c r="W949">
        <v>0.21392063114349177</v>
      </c>
      <c r="X949">
        <v>5.202650829350066E-2</v>
      </c>
      <c r="Y949">
        <v>9.8294786829918809E-3</v>
      </c>
    </row>
    <row r="950" spans="1:25" x14ac:dyDescent="0.25">
      <c r="A950" s="1083"/>
      <c r="B950" s="1455">
        <v>700</v>
      </c>
      <c r="C950" s="1087">
        <v>0.98105433861986802</v>
      </c>
      <c r="D950" s="1087">
        <v>0.97158423988842757</v>
      </c>
      <c r="E950" s="1087">
        <v>1.0164624901111075</v>
      </c>
      <c r="F950" s="1087">
        <v>1.0124037313448839</v>
      </c>
      <c r="G950" s="1087">
        <v>0.99836909003298524</v>
      </c>
      <c r="H950" s="1087">
        <v>0.98581074241155631</v>
      </c>
      <c r="I950" s="1087">
        <v>1.001969831562703</v>
      </c>
      <c r="K950">
        <v>1.8996304123322949</v>
      </c>
      <c r="L950">
        <v>0</v>
      </c>
      <c r="M950">
        <v>3.5889363251413683E-3</v>
      </c>
      <c r="N950">
        <v>0.35831590293580551</v>
      </c>
      <c r="O950">
        <v>0.2456807568434092</v>
      </c>
      <c r="P950">
        <v>1.3657583638958927E-2</v>
      </c>
      <c r="Q950">
        <v>1.6617841868432454E-3</v>
      </c>
      <c r="R950">
        <v>3.5827054745099234E-3</v>
      </c>
      <c r="S950">
        <v>0.37649247729332908</v>
      </c>
      <c r="T950">
        <v>0.40779020488006607</v>
      </c>
      <c r="U950">
        <v>0</v>
      </c>
      <c r="V950">
        <v>0.20455670170610818</v>
      </c>
      <c r="W950">
        <v>0.22591772949668076</v>
      </c>
      <c r="X950">
        <v>5.5812558938651356E-2</v>
      </c>
      <c r="Y950">
        <v>9.75094326307375E-3</v>
      </c>
    </row>
    <row r="951" spans="1:25" x14ac:dyDescent="0.25">
      <c r="A951" s="1083"/>
      <c r="B951" s="1455">
        <v>701</v>
      </c>
      <c r="C951" s="1087">
        <v>0.99241751150244284</v>
      </c>
      <c r="D951" s="1087">
        <v>0.98923587594240914</v>
      </c>
      <c r="E951" s="1087">
        <v>0.98599509905471938</v>
      </c>
      <c r="F951" s="1087">
        <v>1.0065029665238747</v>
      </c>
      <c r="G951" s="1087">
        <v>0.97234886996407077</v>
      </c>
      <c r="H951" s="1087">
        <v>1.0134671021347725</v>
      </c>
      <c r="I951" s="1087">
        <v>1.0002055925916704</v>
      </c>
      <c r="K951">
        <v>1.8727153963407512</v>
      </c>
      <c r="L951">
        <v>0</v>
      </c>
      <c r="M951">
        <v>3.844525620613336E-3</v>
      </c>
      <c r="N951">
        <v>0.34977279337511286</v>
      </c>
      <c r="O951">
        <v>0.24131086665055004</v>
      </c>
      <c r="P951">
        <v>1.3224212934084663E-2</v>
      </c>
      <c r="Q951">
        <v>1.578900376896398E-3</v>
      </c>
      <c r="R951">
        <v>3.8380169936777309E-3</v>
      </c>
      <c r="S951">
        <v>0.37256989165274285</v>
      </c>
      <c r="T951">
        <v>0.40522744808603511</v>
      </c>
      <c r="U951">
        <v>0</v>
      </c>
      <c r="V951">
        <v>0.20163673253094561</v>
      </c>
      <c r="W951">
        <v>0.22476588568555064</v>
      </c>
      <c r="X951">
        <v>5.218935662093957E-2</v>
      </c>
      <c r="Y951">
        <v>1.0445817054828846E-2</v>
      </c>
    </row>
    <row r="952" spans="1:25" x14ac:dyDescent="0.25">
      <c r="A952" s="1083"/>
      <c r="B952" s="1455">
        <v>702</v>
      </c>
      <c r="C952" s="1087">
        <v>1.0198713238180437</v>
      </c>
      <c r="D952" s="1087">
        <v>1.0000248188392997</v>
      </c>
      <c r="E952" s="1087">
        <v>1.0206567047802457</v>
      </c>
      <c r="F952" s="1087">
        <v>1.0470137576595206</v>
      </c>
      <c r="G952" s="1087">
        <v>0.98740086482822786</v>
      </c>
      <c r="H952" s="1087">
        <v>1.0109167160442247</v>
      </c>
      <c r="I952" s="1087">
        <v>0.98999944333333978</v>
      </c>
      <c r="K952">
        <v>1.8708270864896352</v>
      </c>
      <c r="L952">
        <v>0</v>
      </c>
      <c r="M952">
        <v>3.4541733255903824E-3</v>
      </c>
      <c r="N952">
        <v>0.34931008736905567</v>
      </c>
      <c r="O952">
        <v>0.24199788310621539</v>
      </c>
      <c r="P952">
        <v>1.3577658075291793E-2</v>
      </c>
      <c r="Q952">
        <v>1.5872036852051423E-3</v>
      </c>
      <c r="R952">
        <v>3.4482991598353643E-3</v>
      </c>
      <c r="S952">
        <v>0.35654822915085549</v>
      </c>
      <c r="T952">
        <v>0.42175787325302155</v>
      </c>
      <c r="U952">
        <v>0</v>
      </c>
      <c r="V952">
        <v>0.20173204474305328</v>
      </c>
      <c r="W952">
        <v>0.21967112410778331</v>
      </c>
      <c r="X952">
        <v>5.5265723583350926E-2</v>
      </c>
      <c r="Y952">
        <v>9.3851335815593236E-3</v>
      </c>
    </row>
    <row r="953" spans="1:25" x14ac:dyDescent="0.25">
      <c r="A953" s="1083"/>
      <c r="B953" s="1455">
        <v>703</v>
      </c>
      <c r="C953" s="1087">
        <v>0.9998379979368508</v>
      </c>
      <c r="D953" s="1087">
        <v>0.98923692555494125</v>
      </c>
      <c r="E953" s="1087">
        <v>1.0291224397917742</v>
      </c>
      <c r="F953" s="1087">
        <v>0.99825586236084685</v>
      </c>
      <c r="G953" s="1087">
        <v>0.97987420500522759</v>
      </c>
      <c r="H953" s="1087">
        <v>0.99470940322782153</v>
      </c>
      <c r="I953" s="1087">
        <v>0.98769180465735384</v>
      </c>
      <c r="K953">
        <v>1.8633845835785645</v>
      </c>
      <c r="L953">
        <v>0</v>
      </c>
      <c r="M953">
        <v>3.4286775952870429E-3</v>
      </c>
      <c r="N953">
        <v>0.35578091682013324</v>
      </c>
      <c r="O953">
        <v>0.24005269057189055</v>
      </c>
      <c r="P953">
        <v>1.3449858479295553E-2</v>
      </c>
      <c r="Q953">
        <v>1.6405912745212086E-3</v>
      </c>
      <c r="R953">
        <v>3.4227633871935698E-3</v>
      </c>
      <c r="S953">
        <v>0.36228452457093746</v>
      </c>
      <c r="T953">
        <v>0.40216932616025769</v>
      </c>
      <c r="U953">
        <v>0</v>
      </c>
      <c r="V953">
        <v>0.20038253201387549</v>
      </c>
      <c r="W953">
        <v>0.22258184476061146</v>
      </c>
      <c r="X953">
        <v>5.5732579508842923E-2</v>
      </c>
      <c r="Y953">
        <v>9.315633626293552E-3</v>
      </c>
    </row>
    <row r="954" spans="1:25" x14ac:dyDescent="0.25">
      <c r="A954" s="1083"/>
      <c r="B954" s="1455">
        <v>704</v>
      </c>
      <c r="C954" s="1087">
        <v>0.99200164565796256</v>
      </c>
      <c r="D954" s="1087">
        <v>0.95436333345272439</v>
      </c>
      <c r="E954" s="1087">
        <v>0.99619152390383992</v>
      </c>
      <c r="F954" s="1087">
        <v>0.9637566561488371</v>
      </c>
      <c r="G954" s="1087">
        <v>1.0440018107845432</v>
      </c>
      <c r="H954" s="1087">
        <v>1.0031937089417702</v>
      </c>
      <c r="I954" s="1087">
        <v>0.98432676988803292</v>
      </c>
      <c r="K954">
        <v>1.8620948967493971</v>
      </c>
      <c r="L954">
        <v>0</v>
      </c>
      <c r="M954">
        <v>3.7993404991974742E-3</v>
      </c>
      <c r="N954">
        <v>0.35659042031313676</v>
      </c>
      <c r="O954">
        <v>0.2397562135574709</v>
      </c>
      <c r="P954">
        <v>1.3064603064736001E-2</v>
      </c>
      <c r="Q954">
        <v>1.6199874440762018E-3</v>
      </c>
      <c r="R954">
        <v>3.7928711525548062E-3</v>
      </c>
      <c r="S954">
        <v>0.37230562006440426</v>
      </c>
      <c r="T954">
        <v>0.38807654965394522</v>
      </c>
      <c r="U954">
        <v>0</v>
      </c>
      <c r="V954">
        <v>0.19984271880685547</v>
      </c>
      <c r="W954">
        <v>0.22768191911209604</v>
      </c>
      <c r="X954">
        <v>5.2840389121703205E-2</v>
      </c>
      <c r="Y954">
        <v>1.0322944957614774E-2</v>
      </c>
    </row>
    <row r="955" spans="1:25" x14ac:dyDescent="0.25">
      <c r="A955" s="1083"/>
      <c r="B955" s="1455">
        <v>705</v>
      </c>
      <c r="C955" s="1087">
        <v>0.99728792371713582</v>
      </c>
      <c r="D955" s="1087">
        <v>1.0313761958488934</v>
      </c>
      <c r="E955" s="1087">
        <v>1.0053701445371344</v>
      </c>
      <c r="F955" s="1087">
        <v>1.0051909872561042</v>
      </c>
      <c r="G955" s="1087">
        <v>0.98207985727556546</v>
      </c>
      <c r="H955" s="1087">
        <v>1.0176874764499135</v>
      </c>
      <c r="I955" s="1087">
        <v>1.0297685801160577</v>
      </c>
      <c r="K955">
        <v>1.8617902651911944</v>
      </c>
      <c r="L955">
        <v>0</v>
      </c>
      <c r="M955">
        <v>3.6098747790822149E-3</v>
      </c>
      <c r="N955">
        <v>0.3484340372251209</v>
      </c>
      <c r="O955">
        <v>0.23667115347781068</v>
      </c>
      <c r="P955">
        <v>1.3393581454907892E-2</v>
      </c>
      <c r="Q955">
        <v>1.5774952294118729E-3</v>
      </c>
      <c r="R955">
        <v>3.6037524600273274E-3</v>
      </c>
      <c r="S955">
        <v>0.37399244955379601</v>
      </c>
      <c r="T955">
        <v>0.40481687440262143</v>
      </c>
      <c r="U955">
        <v>0</v>
      </c>
      <c r="V955">
        <v>0.19888938837247469</v>
      </c>
      <c r="W955">
        <v>0.22120259511177462</v>
      </c>
      <c r="X955">
        <v>5.3010586462813418E-2</v>
      </c>
      <c r="Y955">
        <v>9.808226219515213E-3</v>
      </c>
    </row>
    <row r="956" spans="1:25" x14ac:dyDescent="0.25">
      <c r="A956" s="1083"/>
      <c r="B956" s="1455">
        <v>706</v>
      </c>
      <c r="C956" s="1087">
        <v>1.0311123824182404</v>
      </c>
      <c r="D956" s="1087">
        <v>1.0351767483534493</v>
      </c>
      <c r="E956" s="1087">
        <v>1.0023271729161283</v>
      </c>
      <c r="F956" s="1087">
        <v>1.0049781001860989</v>
      </c>
      <c r="G956" s="1087">
        <v>1.0190196254539368</v>
      </c>
      <c r="H956" s="1087">
        <v>0.99540612626397851</v>
      </c>
      <c r="I956" s="1087">
        <v>0.97363187401805273</v>
      </c>
      <c r="K956">
        <v>1.7807858225085182</v>
      </c>
      <c r="L956">
        <v>0</v>
      </c>
      <c r="M956">
        <v>3.4280172945849339E-3</v>
      </c>
      <c r="N956">
        <v>0.32781013987440566</v>
      </c>
      <c r="O956">
        <v>0.2321833250916131</v>
      </c>
      <c r="P956">
        <v>1.2810731901879563E-2</v>
      </c>
      <c r="Q956">
        <v>1.5185819739066649E-3</v>
      </c>
      <c r="R956">
        <v>3.4220675756760407E-3</v>
      </c>
      <c r="S956">
        <v>0.33746018922607757</v>
      </c>
      <c r="T956">
        <v>0.40471255891196783</v>
      </c>
      <c r="U956">
        <v>0</v>
      </c>
      <c r="V956">
        <v>0.19509974863747526</v>
      </c>
      <c r="W956">
        <v>0.2085044717751629</v>
      </c>
      <c r="X956">
        <v>5.1378284978222291E-2</v>
      </c>
      <c r="Y956">
        <v>9.3137398567170408E-3</v>
      </c>
    </row>
    <row r="957" spans="1:25" x14ac:dyDescent="0.25">
      <c r="A957" s="1083"/>
      <c r="B957" s="1455">
        <v>707</v>
      </c>
      <c r="C957" s="1087">
        <v>0.98786053123107709</v>
      </c>
      <c r="D957" s="1087">
        <v>1.0334770197912724</v>
      </c>
      <c r="E957" s="1087">
        <v>1.0198275679220332</v>
      </c>
      <c r="F957" s="1087">
        <v>1.044508441645063</v>
      </c>
      <c r="G957" s="1087">
        <v>1.0321531556137316</v>
      </c>
      <c r="H957" s="1087">
        <v>0.98945639967124577</v>
      </c>
      <c r="I957" s="1087">
        <v>0.96428229098652796</v>
      </c>
      <c r="K957">
        <v>1.8586421822080823</v>
      </c>
      <c r="L957">
        <v>0</v>
      </c>
      <c r="M957">
        <v>3.4351661790303009E-3</v>
      </c>
      <c r="N957">
        <v>0.34649585382208675</v>
      </c>
      <c r="O957">
        <v>0.24228338397928254</v>
      </c>
      <c r="P957">
        <v>1.3462103573266658E-2</v>
      </c>
      <c r="Q957">
        <v>1.6157965335506057E-3</v>
      </c>
      <c r="R957">
        <v>3.429170770142099E-3</v>
      </c>
      <c r="S957">
        <v>0.3483600907318179</v>
      </c>
      <c r="T957">
        <v>0.4207433602473416</v>
      </c>
      <c r="U957">
        <v>0</v>
      </c>
      <c r="V957">
        <v>0.20318453418085528</v>
      </c>
      <c r="W957">
        <v>0.21801254644429893</v>
      </c>
      <c r="X957">
        <v>5.5157435693982439E-2</v>
      </c>
      <c r="Y957">
        <v>9.3330724104862244E-3</v>
      </c>
    </row>
    <row r="958" spans="1:25" x14ac:dyDescent="0.25">
      <c r="A958" s="1083"/>
      <c r="B958" s="1455">
        <v>708</v>
      </c>
      <c r="C958" s="1087">
        <v>0.99611174279823356</v>
      </c>
      <c r="D958" s="1087">
        <v>0.97851898103998947</v>
      </c>
      <c r="E958" s="1087">
        <v>0.99576742344348812</v>
      </c>
      <c r="F958" s="1087">
        <v>1.002965034600332</v>
      </c>
      <c r="G958" s="1087">
        <v>1.00621972077566</v>
      </c>
      <c r="H958" s="1087">
        <v>1.0074744208878175</v>
      </c>
      <c r="I958" s="1087">
        <v>0.99813022231637982</v>
      </c>
      <c r="K958">
        <v>1.8736275656361416</v>
      </c>
      <c r="L958">
        <v>0</v>
      </c>
      <c r="M958">
        <v>3.7543008782122064E-3</v>
      </c>
      <c r="N958">
        <v>0.35190811582138387</v>
      </c>
      <c r="O958">
        <v>0.24166242293845325</v>
      </c>
      <c r="P958">
        <v>1.3289966256669136E-2</v>
      </c>
      <c r="Q958">
        <v>1.596530084031617E-3</v>
      </c>
      <c r="R958">
        <v>3.7479167872045112E-3</v>
      </c>
      <c r="S958">
        <v>0.37167025414029503</v>
      </c>
      <c r="T958">
        <v>0.4038620441995065</v>
      </c>
      <c r="U958">
        <v>0</v>
      </c>
      <c r="V958">
        <v>0.20156853489941076</v>
      </c>
      <c r="W958">
        <v>0.22475201068133782</v>
      </c>
      <c r="X958">
        <v>5.312347671172539E-2</v>
      </c>
      <c r="Y958">
        <v>1.0200593994333826E-2</v>
      </c>
    </row>
    <row r="959" spans="1:25" x14ac:dyDescent="0.25">
      <c r="A959" s="1083"/>
      <c r="B959" s="1455">
        <v>709</v>
      </c>
      <c r="C959" s="1087">
        <v>1.0007566159482946</v>
      </c>
      <c r="D959" s="1087">
        <v>0.9824404508360266</v>
      </c>
      <c r="E959" s="1087">
        <v>0.99385861088642258</v>
      </c>
      <c r="F959" s="1087">
        <v>0.96309838081745991</v>
      </c>
      <c r="G959" s="1087">
        <v>1.0122672401048183</v>
      </c>
      <c r="H959" s="1087">
        <v>0.98136577647808931</v>
      </c>
      <c r="I959" s="1087">
        <v>1.0033099221042456</v>
      </c>
      <c r="K959">
        <v>1.8201165491592817</v>
      </c>
      <c r="L959">
        <v>0</v>
      </c>
      <c r="M959">
        <v>3.6455016953639958E-3</v>
      </c>
      <c r="N959">
        <v>0.3397085297754508</v>
      </c>
      <c r="O959">
        <v>0.23583991773947946</v>
      </c>
      <c r="P959">
        <v>1.2920946476492752E-2</v>
      </c>
      <c r="Q959">
        <v>1.5833472863543837E-3</v>
      </c>
      <c r="R959">
        <v>3.6391325933328462E-3</v>
      </c>
      <c r="S959">
        <v>0.36618225742299848</v>
      </c>
      <c r="T959">
        <v>0.38779791588506984</v>
      </c>
      <c r="U959">
        <v>0</v>
      </c>
      <c r="V959">
        <v>0.19734739968603618</v>
      </c>
      <c r="W959">
        <v>0.21722047071438527</v>
      </c>
      <c r="X959">
        <v>5.161761399572725E-2</v>
      </c>
      <c r="Y959">
        <v>9.9045192793150265E-3</v>
      </c>
    </row>
    <row r="960" spans="1:25" x14ac:dyDescent="0.25">
      <c r="A960" s="1083"/>
      <c r="B960" s="1455">
        <v>710</v>
      </c>
      <c r="C960" s="1087">
        <v>1.0074468034428203</v>
      </c>
      <c r="D960" s="1087">
        <v>1.0339486695518529</v>
      </c>
      <c r="E960" s="1087">
        <v>1.0173706239452793</v>
      </c>
      <c r="F960" s="1087">
        <v>0.97253860450027174</v>
      </c>
      <c r="G960" s="1087">
        <v>1.0146769685861563</v>
      </c>
      <c r="H960" s="1087">
        <v>1.0102600636083554</v>
      </c>
      <c r="I960" s="1087">
        <v>0.98707679269058135</v>
      </c>
      <c r="K960">
        <v>1.812586979899669</v>
      </c>
      <c r="L960">
        <v>0</v>
      </c>
      <c r="M960">
        <v>3.4567539908404725E-3</v>
      </c>
      <c r="N960">
        <v>0.34608495161029629</v>
      </c>
      <c r="O960">
        <v>0.23160553992205946</v>
      </c>
      <c r="P960">
        <v>1.2990961320221693E-2</v>
      </c>
      <c r="Q960">
        <v>1.5799915500540815E-3</v>
      </c>
      <c r="R960">
        <v>3.4508465143261555E-3</v>
      </c>
      <c r="S960">
        <v>0.35323168374515196</v>
      </c>
      <c r="T960">
        <v>0.39173818391520315</v>
      </c>
      <c r="U960">
        <v>0</v>
      </c>
      <c r="V960">
        <v>0.19497854267330192</v>
      </c>
      <c r="W960">
        <v>0.21808391153393034</v>
      </c>
      <c r="X960">
        <v>5.2907054465213384E-2</v>
      </c>
      <c r="Y960">
        <v>9.3920666407480771E-3</v>
      </c>
    </row>
    <row r="961" spans="1:25" x14ac:dyDescent="0.25">
      <c r="A961" s="1083"/>
      <c r="B961" s="1455">
        <v>711</v>
      </c>
      <c r="C961" s="1087">
        <v>0.99007221985284066</v>
      </c>
      <c r="D961" s="1087">
        <v>0.9751646159784414</v>
      </c>
      <c r="E961" s="1087">
        <v>1.0036528125982787</v>
      </c>
      <c r="F961" s="1087">
        <v>0.99864867647079036</v>
      </c>
      <c r="G961" s="1087">
        <v>0.97759254996696909</v>
      </c>
      <c r="H961" s="1087">
        <v>1.0016924279498669</v>
      </c>
      <c r="I961" s="1087">
        <v>0.97802568574817583</v>
      </c>
      <c r="K961">
        <v>1.8730017996839829</v>
      </c>
      <c r="L961">
        <v>0</v>
      </c>
      <c r="M961">
        <v>3.7021122700549858E-3</v>
      </c>
      <c r="N961">
        <v>0.35546499020468786</v>
      </c>
      <c r="O961">
        <v>0.24233247498256255</v>
      </c>
      <c r="P961">
        <v>1.3276435721264364E-2</v>
      </c>
      <c r="Q961">
        <v>1.6220510612985361E-3</v>
      </c>
      <c r="R961">
        <v>3.6957833151207127E-3</v>
      </c>
      <c r="S961">
        <v>0.36613609967682925</v>
      </c>
      <c r="T961">
        <v>0.40217168881452842</v>
      </c>
      <c r="U961">
        <v>0</v>
      </c>
      <c r="V961">
        <v>0.20207613737809377</v>
      </c>
      <c r="W961">
        <v>0.22590763565969638</v>
      </c>
      <c r="X961">
        <v>5.3961911270839602E-2</v>
      </c>
      <c r="Y961">
        <v>1.0058703869116179E-2</v>
      </c>
    </row>
    <row r="962" spans="1:25" x14ac:dyDescent="0.25">
      <c r="A962" s="1083"/>
      <c r="B962" s="1455">
        <v>712</v>
      </c>
      <c r="C962" s="1087">
        <v>0.96412989047813191</v>
      </c>
      <c r="D962" s="1087">
        <v>0.99830531137579515</v>
      </c>
      <c r="E962" s="1087">
        <v>0.98157018214016545</v>
      </c>
      <c r="F962" s="1087">
        <v>1.01702846130918</v>
      </c>
      <c r="G962" s="1087">
        <v>1.0149306524519686</v>
      </c>
      <c r="H962" s="1087">
        <v>1.0010497816112343</v>
      </c>
      <c r="I962" s="1087">
        <v>1.014485524385019</v>
      </c>
      <c r="K962">
        <v>1.9019918487386487</v>
      </c>
      <c r="L962">
        <v>0</v>
      </c>
      <c r="M962">
        <v>3.925039864974127E-3</v>
      </c>
      <c r="N962">
        <v>0.35229448012347764</v>
      </c>
      <c r="O962">
        <v>0.24513146957914875</v>
      </c>
      <c r="P962">
        <v>1.3446352435177798E-2</v>
      </c>
      <c r="Q962">
        <v>1.6116219632646741E-3</v>
      </c>
      <c r="R962">
        <v>3.9183041501154123E-3</v>
      </c>
      <c r="S962">
        <v>0.38459749070694021</v>
      </c>
      <c r="T962">
        <v>0.4094381597308332</v>
      </c>
      <c r="U962">
        <v>0</v>
      </c>
      <c r="V962">
        <v>0.20518889758603856</v>
      </c>
      <c r="W962">
        <v>0.22702083014313237</v>
      </c>
      <c r="X962">
        <v>5.2604949957494485E-2</v>
      </c>
      <c r="Y962">
        <v>1.0664332227998211E-2</v>
      </c>
    </row>
    <row r="963" spans="1:25" x14ac:dyDescent="0.25">
      <c r="A963" s="1083"/>
      <c r="B963" s="1455">
        <v>713</v>
      </c>
      <c r="C963" s="1087">
        <v>1.0075861648849489</v>
      </c>
      <c r="D963" s="1087">
        <v>0.99026151549167574</v>
      </c>
      <c r="E963" s="1087">
        <v>1.003225568304809</v>
      </c>
      <c r="F963" s="1087">
        <v>1.0093492448957657</v>
      </c>
      <c r="G963" s="1087">
        <v>1.0003975056278496</v>
      </c>
      <c r="H963" s="1087">
        <v>1.020447985975403</v>
      </c>
      <c r="I963" s="1087">
        <v>1.0022842955047653</v>
      </c>
      <c r="K963">
        <v>1.8710954837886375</v>
      </c>
      <c r="L963">
        <v>0</v>
      </c>
      <c r="M963">
        <v>3.6786326280035656E-3</v>
      </c>
      <c r="N963">
        <v>0.35276029485995236</v>
      </c>
      <c r="O963">
        <v>0.23994784680921252</v>
      </c>
      <c r="P963">
        <v>1.334559282411449E-2</v>
      </c>
      <c r="Q963">
        <v>1.5833723168396528E-3</v>
      </c>
      <c r="R963">
        <v>3.6724463754146887E-3</v>
      </c>
      <c r="S963">
        <v>0.36897218325311482</v>
      </c>
      <c r="T963">
        <v>0.40647835840621011</v>
      </c>
      <c r="U963">
        <v>0</v>
      </c>
      <c r="V963">
        <v>0.2002983856764593</v>
      </c>
      <c r="W963">
        <v>0.22424842944448689</v>
      </c>
      <c r="X963">
        <v>5.3472018038580593E-2</v>
      </c>
      <c r="Y963">
        <v>9.9951884122564897E-3</v>
      </c>
    </row>
    <row r="964" spans="1:25" x14ac:dyDescent="0.25">
      <c r="A964" s="1083"/>
      <c r="B964" s="1455">
        <v>714</v>
      </c>
      <c r="C964" s="1087">
        <v>0.99260497086156108</v>
      </c>
      <c r="D964" s="1087">
        <v>0.98348139714531391</v>
      </c>
      <c r="E964" s="1087">
        <v>1.0002316551912807</v>
      </c>
      <c r="F964" s="1087">
        <v>1.0180308096677166</v>
      </c>
      <c r="G964" s="1087">
        <v>1.0191433134944903</v>
      </c>
      <c r="H964" s="1087">
        <v>1.0095699901925095</v>
      </c>
      <c r="I964" s="1087">
        <v>0.99130897976852728</v>
      </c>
      <c r="K964">
        <v>1.8856332804388785</v>
      </c>
      <c r="L964">
        <v>0</v>
      </c>
      <c r="M964">
        <v>3.7310575382515304E-3</v>
      </c>
      <c r="N964">
        <v>0.35452809681257513</v>
      </c>
      <c r="O964">
        <v>0.24345364398749289</v>
      </c>
      <c r="P964">
        <v>1.3412263140950946E-2</v>
      </c>
      <c r="Q964">
        <v>1.6065639990617E-3</v>
      </c>
      <c r="R964">
        <v>3.7247219447482903E-3</v>
      </c>
      <c r="S964">
        <v>0.36983934109393402</v>
      </c>
      <c r="T964">
        <v>0.40995604954886117</v>
      </c>
      <c r="U964">
        <v>0</v>
      </c>
      <c r="V964">
        <v>0.20301581506055935</v>
      </c>
      <c r="W964">
        <v>0.22579365639265755</v>
      </c>
      <c r="X964">
        <v>5.389672071693969E-2</v>
      </c>
      <c r="Y964">
        <v>1.0137465279345755E-2</v>
      </c>
    </row>
    <row r="965" spans="1:25" x14ac:dyDescent="0.25">
      <c r="A965" s="1083"/>
      <c r="B965" s="1455">
        <v>715</v>
      </c>
      <c r="C965" s="1087">
        <v>0.99808692310780089</v>
      </c>
      <c r="D965" s="1087">
        <v>0.99627337711400799</v>
      </c>
      <c r="E965" s="1087">
        <v>0.99189789280449792</v>
      </c>
      <c r="F965" s="1087">
        <v>1.0021757514146454</v>
      </c>
      <c r="G965" s="1087">
        <v>0.98551287723966363</v>
      </c>
      <c r="H965" s="1087">
        <v>1.0034788466765743</v>
      </c>
      <c r="I965" s="1087">
        <v>1.0095429462850845</v>
      </c>
      <c r="K965">
        <v>1.8571985047886266</v>
      </c>
      <c r="L965">
        <v>0</v>
      </c>
      <c r="M965">
        <v>3.7253302926981012E-3</v>
      </c>
      <c r="N965">
        <v>0.34508768035005594</v>
      </c>
      <c r="O965">
        <v>0.23948623220497708</v>
      </c>
      <c r="P965">
        <v>1.3216274044212535E-2</v>
      </c>
      <c r="Q965">
        <v>1.5754210783810775E-3</v>
      </c>
      <c r="R965">
        <v>3.7189542784964225E-3</v>
      </c>
      <c r="S965">
        <v>0.3706771709902501</v>
      </c>
      <c r="T965">
        <v>0.40352083129578775</v>
      </c>
      <c r="U965">
        <v>0</v>
      </c>
      <c r="V965">
        <v>0.20030756799834662</v>
      </c>
      <c r="W965">
        <v>0.22093202277725052</v>
      </c>
      <c r="X965">
        <v>5.2279912470444501E-2</v>
      </c>
      <c r="Y965">
        <v>1.0121767593118837E-2</v>
      </c>
    </row>
    <row r="966" spans="1:25" x14ac:dyDescent="0.25">
      <c r="A966" s="1083"/>
      <c r="B966" s="1455">
        <v>716</v>
      </c>
      <c r="C966" s="1087">
        <v>1.0219511379244755</v>
      </c>
      <c r="D966" s="1087">
        <v>0.98400850990687194</v>
      </c>
      <c r="E966" s="1087">
        <v>1.0154905266639869</v>
      </c>
      <c r="F966" s="1087">
        <v>0.97130954368718125</v>
      </c>
      <c r="G966" s="1087">
        <v>0.98297494190349299</v>
      </c>
      <c r="H966" s="1087">
        <v>1.0351160053406674</v>
      </c>
      <c r="I966" s="1087">
        <v>0.99279434977691416</v>
      </c>
      <c r="K966">
        <v>1.8485448460925515</v>
      </c>
      <c r="L966">
        <v>0</v>
      </c>
      <c r="M966">
        <v>3.5997796310234288E-3</v>
      </c>
      <c r="N966">
        <v>0.35836386240796342</v>
      </c>
      <c r="O966">
        <v>0.23453607701812915</v>
      </c>
      <c r="P966">
        <v>1.3132365620564723E-2</v>
      </c>
      <c r="Q966">
        <v>1.5855651385758797E-3</v>
      </c>
      <c r="R966">
        <v>3.5938165801900667E-3</v>
      </c>
      <c r="S966">
        <v>0.36434206784740841</v>
      </c>
      <c r="T966">
        <v>0.39123192567642373</v>
      </c>
      <c r="U966">
        <v>0</v>
      </c>
      <c r="V966">
        <v>0.19591757623316333</v>
      </c>
      <c r="W966">
        <v>0.22608359174081427</v>
      </c>
      <c r="X966">
        <v>5.3576593430381111E-2</v>
      </c>
      <c r="Y966">
        <v>9.781184029960097E-3</v>
      </c>
    </row>
    <row r="967" spans="1:25" x14ac:dyDescent="0.25">
      <c r="A967" s="1083"/>
      <c r="B967" s="1455">
        <v>717</v>
      </c>
      <c r="C967" s="1087">
        <v>0.97577246630230086</v>
      </c>
      <c r="D967" s="1087">
        <v>1.0400810236576796</v>
      </c>
      <c r="E967" s="1087">
        <v>1.0170965726349914</v>
      </c>
      <c r="F967" s="1087">
        <v>1.0125396900126791</v>
      </c>
      <c r="G967" s="1087">
        <v>0.98791418377311935</v>
      </c>
      <c r="H967" s="1087">
        <v>0.99721106111103297</v>
      </c>
      <c r="I967" s="1087">
        <v>0.99741161148416957</v>
      </c>
      <c r="K967">
        <v>1.8660203614599256</v>
      </c>
      <c r="L967">
        <v>0</v>
      </c>
      <c r="M967">
        <v>3.5137868398753616E-3</v>
      </c>
      <c r="N967">
        <v>0.35149292488495065</v>
      </c>
      <c r="O967">
        <v>0.23950651776949064</v>
      </c>
      <c r="P967">
        <v>1.3463012719940822E-2</v>
      </c>
      <c r="Q967">
        <v>1.6269542813128948E-3</v>
      </c>
      <c r="R967">
        <v>3.5076985909934725E-3</v>
      </c>
      <c r="S967">
        <v>0.36495392649963226</v>
      </c>
      <c r="T967">
        <v>0.40784890436789767</v>
      </c>
      <c r="U967">
        <v>0</v>
      </c>
      <c r="V967">
        <v>0.20149680896847172</v>
      </c>
      <c r="W967">
        <v>0.22152916459611294</v>
      </c>
      <c r="X967">
        <v>5.4561436368840262E-2</v>
      </c>
      <c r="Y967">
        <v>9.5467992521544795E-3</v>
      </c>
    </row>
    <row r="968" spans="1:25" x14ac:dyDescent="0.25">
      <c r="A968" s="1083"/>
      <c r="B968" s="1455">
        <v>718</v>
      </c>
      <c r="C968" s="1087">
        <v>1.0062243801408284</v>
      </c>
      <c r="D968" s="1087">
        <v>0.98883328548080185</v>
      </c>
      <c r="E968" s="1087">
        <v>1.0086641130156679</v>
      </c>
      <c r="F968" s="1087">
        <v>1.0074832160240397</v>
      </c>
      <c r="G968" s="1087">
        <v>1.0347931588061408</v>
      </c>
      <c r="H968" s="1087">
        <v>1.0057689225436943</v>
      </c>
      <c r="I968" s="1087">
        <v>1.0156232340938907</v>
      </c>
      <c r="K968">
        <v>1.8693132684471039</v>
      </c>
      <c r="L968">
        <v>0</v>
      </c>
      <c r="M968">
        <v>3.5932507833688222E-3</v>
      </c>
      <c r="N968">
        <v>0.3503281580760248</v>
      </c>
      <c r="O968">
        <v>0.24011373079853213</v>
      </c>
      <c r="P968">
        <v>1.3433193955925063E-2</v>
      </c>
      <c r="Q968">
        <v>1.5956228158074026E-3</v>
      </c>
      <c r="R968">
        <v>3.5871212156645916E-3</v>
      </c>
      <c r="S968">
        <v>0.3720491553656245</v>
      </c>
      <c r="T968">
        <v>0.40576022325967254</v>
      </c>
      <c r="U968">
        <v>0</v>
      </c>
      <c r="V968">
        <v>0.20039128023791039</v>
      </c>
      <c r="W968">
        <v>0.22195020498151105</v>
      </c>
      <c r="X968">
        <v>5.3934867068950454E-2</v>
      </c>
      <c r="Y968">
        <v>9.7629614548480764E-3</v>
      </c>
    </row>
    <row r="969" spans="1:25" x14ac:dyDescent="0.25">
      <c r="A969" s="1083"/>
      <c r="B969" s="1455">
        <v>719</v>
      </c>
      <c r="C969" s="1087">
        <v>0.97215408863572272</v>
      </c>
      <c r="D969" s="1087">
        <v>0.97351445118330837</v>
      </c>
      <c r="E969" s="1087">
        <v>1.0188383321168546</v>
      </c>
      <c r="F969" s="1087">
        <v>0.98921360234081468</v>
      </c>
      <c r="G969" s="1087">
        <v>1.0297300019351998</v>
      </c>
      <c r="H969" s="1087">
        <v>1.0092421554331696</v>
      </c>
      <c r="I969" s="1087">
        <v>0.97260058949597639</v>
      </c>
      <c r="K969">
        <v>1.9033006128820746</v>
      </c>
      <c r="L969">
        <v>0</v>
      </c>
      <c r="M969">
        <v>3.6849835819707673E-3</v>
      </c>
      <c r="N969">
        <v>0.37059347350750055</v>
      </c>
      <c r="O969">
        <v>0.24377387580064605</v>
      </c>
      <c r="P969">
        <v>1.3483871508506893E-2</v>
      </c>
      <c r="Q969">
        <v>1.6798763499061157E-3</v>
      </c>
      <c r="R969">
        <v>3.6787312196903377E-3</v>
      </c>
      <c r="S969">
        <v>0.37269443202092906</v>
      </c>
      <c r="T969">
        <v>0.39846377597182248</v>
      </c>
      <c r="U969">
        <v>0</v>
      </c>
      <c r="V969">
        <v>0.20340266618129346</v>
      </c>
      <c r="W969">
        <v>0.23331667656953661</v>
      </c>
      <c r="X969">
        <v>5.5885923647637344E-2</v>
      </c>
      <c r="Y969">
        <v>1.0012293686576449E-2</v>
      </c>
    </row>
    <row r="970" spans="1:25" x14ac:dyDescent="0.25">
      <c r="A970" s="1083"/>
      <c r="B970" s="1455">
        <v>720</v>
      </c>
      <c r="C970" s="1087">
        <v>0.96481805542318078</v>
      </c>
      <c r="D970" s="1087">
        <v>1.0440548470213507</v>
      </c>
      <c r="E970" s="1087">
        <v>0.98364267354472756</v>
      </c>
      <c r="F970" s="1087">
        <v>1.0458035111435426</v>
      </c>
      <c r="G970" s="1087">
        <v>0.98846711037161294</v>
      </c>
      <c r="H970" s="1087">
        <v>1.0352531328589052</v>
      </c>
      <c r="I970" s="1087">
        <v>0.97346365687690983</v>
      </c>
      <c r="K970">
        <v>1.899316992443695</v>
      </c>
      <c r="L970">
        <v>0</v>
      </c>
      <c r="M970">
        <v>3.9419106507493041E-3</v>
      </c>
      <c r="N970">
        <v>0.35607277873739096</v>
      </c>
      <c r="O970">
        <v>0.24381723315906559</v>
      </c>
      <c r="P970">
        <v>1.3370556290550091E-2</v>
      </c>
      <c r="Q970">
        <v>1.5853936241320235E-3</v>
      </c>
      <c r="R970">
        <v>3.9353271970017306E-3</v>
      </c>
      <c r="S970">
        <v>0.36587725852139275</v>
      </c>
      <c r="T970">
        <v>0.42103546833974598</v>
      </c>
      <c r="U970">
        <v>0</v>
      </c>
      <c r="V970">
        <v>0.20512477560189407</v>
      </c>
      <c r="W970">
        <v>0.2291547352424797</v>
      </c>
      <c r="X970">
        <v>5.2574713030811869E-2</v>
      </c>
      <c r="Y970">
        <v>1.0710663349976871E-2</v>
      </c>
    </row>
    <row r="971" spans="1:25" x14ac:dyDescent="0.25">
      <c r="A971" s="1083"/>
      <c r="B971" s="1455">
        <v>721</v>
      </c>
      <c r="C971" s="1087">
        <v>0.98021776540740935</v>
      </c>
      <c r="D971" s="1087">
        <v>1.0117650285776885</v>
      </c>
      <c r="E971" s="1087">
        <v>0.99735825443665305</v>
      </c>
      <c r="F971" s="1087">
        <v>1.0034018465278494</v>
      </c>
      <c r="G971" s="1087">
        <v>0.98949805176058903</v>
      </c>
      <c r="H971" s="1087">
        <v>1.0303235592182298</v>
      </c>
      <c r="I971" s="1087">
        <v>0.99185966540858495</v>
      </c>
      <c r="K971">
        <v>1.8864574064369872</v>
      </c>
      <c r="L971">
        <v>0</v>
      </c>
      <c r="M971">
        <v>3.8196736460371253E-3</v>
      </c>
      <c r="N971">
        <v>0.35978944941282454</v>
      </c>
      <c r="O971">
        <v>0.24036889545985662</v>
      </c>
      <c r="P971">
        <v>1.3321587759735177E-2</v>
      </c>
      <c r="Q971">
        <v>1.603599595125619E-3</v>
      </c>
      <c r="R971">
        <v>3.8132929519928958E-3</v>
      </c>
      <c r="S971">
        <v>0.37263705123810653</v>
      </c>
      <c r="T971">
        <v>0.40404758265836627</v>
      </c>
      <c r="U971">
        <v>0</v>
      </c>
      <c r="V971">
        <v>0.20157661105336711</v>
      </c>
      <c r="W971">
        <v>0.22955667500213631</v>
      </c>
      <c r="X971">
        <v>5.3183808587868545E-2</v>
      </c>
      <c r="Y971">
        <v>1.0378526363640877E-2</v>
      </c>
    </row>
    <row r="972" spans="1:25" x14ac:dyDescent="0.25">
      <c r="A972" s="1083"/>
      <c r="B972" s="1455">
        <v>722</v>
      </c>
      <c r="C972" s="1087">
        <v>1.0247612122087446</v>
      </c>
      <c r="D972" s="1087">
        <v>0.98785059027023514</v>
      </c>
      <c r="E972" s="1087">
        <v>1.0119993151150803</v>
      </c>
      <c r="F972" s="1087">
        <v>0.99707847704914232</v>
      </c>
      <c r="G972" s="1087">
        <v>1.0376430879208014</v>
      </c>
      <c r="H972" s="1087">
        <v>1.0291296509275853</v>
      </c>
      <c r="I972" s="1087">
        <v>1.0292460024785386</v>
      </c>
      <c r="K972">
        <v>1.8659344704085037</v>
      </c>
      <c r="L972">
        <v>0</v>
      </c>
      <c r="M972">
        <v>3.5873488005815839E-3</v>
      </c>
      <c r="N972">
        <v>0.35334174846721894</v>
      </c>
      <c r="O972">
        <v>0.23683588382442555</v>
      </c>
      <c r="P972">
        <v>1.3407927721800168E-2</v>
      </c>
      <c r="Q972">
        <v>1.5729334715065201E-3</v>
      </c>
      <c r="R972">
        <v>3.5813687192664035E-3</v>
      </c>
      <c r="S972">
        <v>0.37473788640991101</v>
      </c>
      <c r="T972">
        <v>0.40159004888610339</v>
      </c>
      <c r="U972">
        <v>0</v>
      </c>
      <c r="V972">
        <v>0.19763008566803003</v>
      </c>
      <c r="W972">
        <v>0.2233970457219103</v>
      </c>
      <c r="X972">
        <v>5.3679585262948755E-2</v>
      </c>
      <c r="Y972">
        <v>9.7473050559621355E-3</v>
      </c>
    </row>
    <row r="973" spans="1:25" x14ac:dyDescent="0.25">
      <c r="A973" s="1083"/>
      <c r="B973" s="1455">
        <v>723</v>
      </c>
      <c r="C973" s="1087">
        <v>1.0259666022548324</v>
      </c>
      <c r="D973" s="1087">
        <v>0.98642785341788053</v>
      </c>
      <c r="E973" s="1087">
        <v>0.99818864929661932</v>
      </c>
      <c r="F973" s="1087">
        <v>0.98463006999696334</v>
      </c>
      <c r="G973" s="1087">
        <v>0.953562833986206</v>
      </c>
      <c r="H973" s="1087">
        <v>1.0223394948975173</v>
      </c>
      <c r="I973" s="1087">
        <v>1.0168971987215096</v>
      </c>
      <c r="K973">
        <v>1.8401317858649897</v>
      </c>
      <c r="L973">
        <v>0</v>
      </c>
      <c r="M973">
        <v>3.6644256713897622E-3</v>
      </c>
      <c r="N973">
        <v>0.34603948904846987</v>
      </c>
      <c r="O973">
        <v>0.2351727727867953</v>
      </c>
      <c r="P973">
        <v>1.3103298958125481E-2</v>
      </c>
      <c r="Q973">
        <v>1.5490867748933583E-3</v>
      </c>
      <c r="R973">
        <v>3.658277788792116E-3</v>
      </c>
      <c r="S973">
        <v>0.368712700056196</v>
      </c>
      <c r="T973">
        <v>0.39649355252409396</v>
      </c>
      <c r="U973">
        <v>0</v>
      </c>
      <c r="V973">
        <v>0.1964282998589027</v>
      </c>
      <c r="W973">
        <v>0.22066906387499888</v>
      </c>
      <c r="X973">
        <v>5.2013043674967847E-2</v>
      </c>
      <c r="Y973">
        <v>9.9566261901431717E-3</v>
      </c>
    </row>
    <row r="974" spans="1:25" x14ac:dyDescent="0.25">
      <c r="A974" s="1083"/>
      <c r="B974" s="1455">
        <v>724</v>
      </c>
      <c r="C974" s="1087">
        <v>0.98119678662788257</v>
      </c>
      <c r="D974" s="1087">
        <v>1.0083440848691443</v>
      </c>
      <c r="E974" s="1087">
        <v>1.0086228280950356</v>
      </c>
      <c r="F974" s="1087">
        <v>1.0130089519962624</v>
      </c>
      <c r="G974" s="1087">
        <v>0.98659161425033159</v>
      </c>
      <c r="H974" s="1087">
        <v>0.97654530926336658</v>
      </c>
      <c r="I974" s="1087">
        <v>1.0071898726102069</v>
      </c>
      <c r="K974">
        <v>1.8639627120166122</v>
      </c>
      <c r="L974">
        <v>0</v>
      </c>
      <c r="M974">
        <v>3.5407518125453916E-3</v>
      </c>
      <c r="N974">
        <v>0.34514696207016177</v>
      </c>
      <c r="O974">
        <v>0.24188316866477519</v>
      </c>
      <c r="P974">
        <v>1.3449517923802048E-2</v>
      </c>
      <c r="Q974">
        <v>1.6235126036027705E-3</v>
      </c>
      <c r="R974">
        <v>3.5345143059308088E-3</v>
      </c>
      <c r="S974">
        <v>0.36888975833782972</v>
      </c>
      <c r="T974">
        <v>0.40798543849114149</v>
      </c>
      <c r="U974">
        <v>0</v>
      </c>
      <c r="V974">
        <v>0.20254448696299332</v>
      </c>
      <c r="W974">
        <v>0.2186732654535947</v>
      </c>
      <c r="X974">
        <v>5.4153056226911286E-2</v>
      </c>
      <c r="Y974">
        <v>9.6197827884158503E-3</v>
      </c>
    </row>
    <row r="975" spans="1:25" x14ac:dyDescent="0.25">
      <c r="A975" s="1083"/>
      <c r="B975" s="1455">
        <v>725</v>
      </c>
      <c r="C975" s="1087">
        <v>1.016877241911589</v>
      </c>
      <c r="D975" s="1087">
        <v>0.99252096524598976</v>
      </c>
      <c r="E975" s="1087">
        <v>1.0061811169832506</v>
      </c>
      <c r="F975" s="1087">
        <v>1.0077055150960537</v>
      </c>
      <c r="G975" s="1087">
        <v>0.98323443487847539</v>
      </c>
      <c r="H975" s="1087">
        <v>1.0250673424640795</v>
      </c>
      <c r="I975" s="1087">
        <v>0.98669821424882809</v>
      </c>
      <c r="K975">
        <v>1.8566103557119222</v>
      </c>
      <c r="L975">
        <v>0</v>
      </c>
      <c r="M975">
        <v>3.634786131987889E-3</v>
      </c>
      <c r="N975">
        <v>0.35171501862649063</v>
      </c>
      <c r="O975">
        <v>0.23845156402071871</v>
      </c>
      <c r="P975">
        <v>1.3230390556976635E-2</v>
      </c>
      <c r="Q975">
        <v>1.5724079520309602E-3</v>
      </c>
      <c r="R975">
        <v>3.6286989278273307E-3</v>
      </c>
      <c r="S975">
        <v>0.36030270943040271</v>
      </c>
      <c r="T975">
        <v>0.40583451291554967</v>
      </c>
      <c r="U975">
        <v>0</v>
      </c>
      <c r="V975">
        <v>0.19906976163449391</v>
      </c>
      <c r="W975">
        <v>0.22317289574601118</v>
      </c>
      <c r="X975">
        <v>5.3391059752143415E-2</v>
      </c>
      <c r="Y975">
        <v>9.8761222812659231E-3</v>
      </c>
    </row>
    <row r="976" spans="1:25" x14ac:dyDescent="0.25">
      <c r="A976" s="1083"/>
      <c r="B976" s="1455">
        <v>726</v>
      </c>
      <c r="C976" s="1087">
        <v>1.0146526001452403</v>
      </c>
      <c r="D976" s="1087">
        <v>0.99253600950995091</v>
      </c>
      <c r="E976" s="1087">
        <v>1.0163913276685053</v>
      </c>
      <c r="F976" s="1087">
        <v>1.0297254863473762</v>
      </c>
      <c r="G976" s="1087">
        <v>0.97216698441545524</v>
      </c>
      <c r="H976" s="1087">
        <v>0.97680861824047738</v>
      </c>
      <c r="I976" s="1087">
        <v>1.0172274809903521</v>
      </c>
      <c r="K976">
        <v>1.8530950782858029</v>
      </c>
      <c r="L976">
        <v>0</v>
      </c>
      <c r="M976">
        <v>3.3990750807156422E-3</v>
      </c>
      <c r="N976">
        <v>0.33927944309342739</v>
      </c>
      <c r="O976">
        <v>0.24140298139371913</v>
      </c>
      <c r="P976">
        <v>1.3528513318608666E-2</v>
      </c>
      <c r="Q976">
        <v>1.5929837061310766E-3</v>
      </c>
      <c r="R976">
        <v>3.3931008762055669E-3</v>
      </c>
      <c r="S976">
        <v>0.36355068443546074</v>
      </c>
      <c r="T976">
        <v>0.41476685568987126</v>
      </c>
      <c r="U976">
        <v>0</v>
      </c>
      <c r="V976">
        <v>0.201230607684592</v>
      </c>
      <c r="W976">
        <v>0.21392466046449837</v>
      </c>
      <c r="X976">
        <v>5.4589420654375546E-2</v>
      </c>
      <c r="Y976">
        <v>9.2349020496283254E-3</v>
      </c>
    </row>
    <row r="977" spans="1:25" x14ac:dyDescent="0.25">
      <c r="A977" s="1083"/>
      <c r="B977" s="1455">
        <v>727</v>
      </c>
      <c r="C977" s="1087">
        <v>1.004332592424809</v>
      </c>
      <c r="D977" s="1087">
        <v>0.97190612436269952</v>
      </c>
      <c r="E977" s="1087">
        <v>0.9803894582871796</v>
      </c>
      <c r="F977" s="1087">
        <v>1.0277178677679242</v>
      </c>
      <c r="G977" s="1087">
        <v>1.0417011840874222</v>
      </c>
      <c r="H977" s="1087">
        <v>0.98797556526728803</v>
      </c>
      <c r="I977" s="1087">
        <v>1.00876209166107</v>
      </c>
      <c r="K977">
        <v>1.8645441106868308</v>
      </c>
      <c r="L977">
        <v>0</v>
      </c>
      <c r="M977">
        <v>3.7819753226516358E-3</v>
      </c>
      <c r="N977">
        <v>0.33822552126875272</v>
      </c>
      <c r="O977">
        <v>0.24405296770332263</v>
      </c>
      <c r="P977">
        <v>1.3270080019787821E-2</v>
      </c>
      <c r="Q977">
        <v>1.5617983956005817E-3</v>
      </c>
      <c r="R977">
        <v>3.7754237877167525E-3</v>
      </c>
      <c r="S977">
        <v>0.37018318332194994</v>
      </c>
      <c r="T977">
        <v>0.41373427891590592</v>
      </c>
      <c r="U977">
        <v>0</v>
      </c>
      <c r="V977">
        <v>0.20309365950294461</v>
      </c>
      <c r="W977">
        <v>0.21811788037114735</v>
      </c>
      <c r="X977">
        <v>5.2035833740307395E-2</v>
      </c>
      <c r="Y977">
        <v>1.0275458982047866E-2</v>
      </c>
    </row>
    <row r="978" spans="1:25" x14ac:dyDescent="0.25">
      <c r="A978" s="1083"/>
      <c r="B978" s="1455">
        <v>728</v>
      </c>
      <c r="C978" s="1087">
        <v>0.99732706511062719</v>
      </c>
      <c r="D978" s="1087">
        <v>1.0044606408211325</v>
      </c>
      <c r="E978" s="1087">
        <v>0.96540665036632467</v>
      </c>
      <c r="F978" s="1087">
        <v>0.97540994039241313</v>
      </c>
      <c r="G978" s="1087">
        <v>1.033870159116359</v>
      </c>
      <c r="H978" s="1087">
        <v>0.98011458797843609</v>
      </c>
      <c r="I978" s="1087">
        <v>1.0380894228691311</v>
      </c>
      <c r="K978">
        <v>1.8136982047853165</v>
      </c>
      <c r="L978">
        <v>0</v>
      </c>
      <c r="M978">
        <v>3.8262493264318584E-3</v>
      </c>
      <c r="N978">
        <v>0.32685471656000109</v>
      </c>
      <c r="O978">
        <v>0.2352117951661912</v>
      </c>
      <c r="P978">
        <v>1.2827541997516319E-2</v>
      </c>
      <c r="Q978">
        <v>1.5272482006089168E-3</v>
      </c>
      <c r="R978">
        <v>3.8195363939009198E-3</v>
      </c>
      <c r="S978">
        <v>0.37500351471400983</v>
      </c>
      <c r="T978">
        <v>0.39258956032429865</v>
      </c>
      <c r="U978">
        <v>0</v>
      </c>
      <c r="V978">
        <v>0.19748364017818595</v>
      </c>
      <c r="W978">
        <v>0.21280869714609821</v>
      </c>
      <c r="X978">
        <v>4.9002684476572377E-2</v>
      </c>
      <c r="Y978">
        <v>1.0395518954364446E-2</v>
      </c>
    </row>
    <row r="979" spans="1:25" x14ac:dyDescent="0.25">
      <c r="A979" s="1083"/>
      <c r="B979" s="1455">
        <v>729</v>
      </c>
      <c r="C979" s="1087">
        <v>1.0140893361485837</v>
      </c>
      <c r="D979" s="1087">
        <v>1.0091207387615742</v>
      </c>
      <c r="E979" s="1087">
        <v>1.0307034361284506</v>
      </c>
      <c r="F979" s="1087">
        <v>1.001225932441228</v>
      </c>
      <c r="G979" s="1087">
        <v>1.0248190238176604</v>
      </c>
      <c r="H979" s="1087">
        <v>1.0050584092291102</v>
      </c>
      <c r="I979" s="1087">
        <v>0.99554157932224718</v>
      </c>
      <c r="K979">
        <v>1.8460285502999947</v>
      </c>
      <c r="L979">
        <v>0</v>
      </c>
      <c r="M979">
        <v>3.3678926289785172E-3</v>
      </c>
      <c r="N979">
        <v>0.35116450326401022</v>
      </c>
      <c r="O979">
        <v>0.23672969349800932</v>
      </c>
      <c r="P979">
        <v>1.3389088978593916E-2</v>
      </c>
      <c r="Q979">
        <v>1.6073748041734281E-3</v>
      </c>
      <c r="R979">
        <v>3.3621265320563781E-3</v>
      </c>
      <c r="S979">
        <v>0.35792457982642989</v>
      </c>
      <c r="T979">
        <v>0.40337567585367928</v>
      </c>
      <c r="U979">
        <v>0</v>
      </c>
      <c r="V979">
        <v>0.19807587666948642</v>
      </c>
      <c r="W979">
        <v>0.21948163892900424</v>
      </c>
      <c r="X979">
        <v>5.5135284477986476E-2</v>
      </c>
      <c r="Y979">
        <v>9.1506000955440363E-3</v>
      </c>
    </row>
    <row r="980" spans="1:25" x14ac:dyDescent="0.25">
      <c r="A980" s="1083"/>
      <c r="B980" s="1455">
        <v>730</v>
      </c>
      <c r="C980" s="1087">
        <v>1.0044700527922374</v>
      </c>
      <c r="D980" s="1087">
        <v>1.0120373023251825</v>
      </c>
      <c r="E980" s="1087">
        <v>0.99887984740492852</v>
      </c>
      <c r="F980" s="1087">
        <v>1.0204498491449767</v>
      </c>
      <c r="G980" s="1087">
        <v>0.99536285075645969</v>
      </c>
      <c r="H980" s="1087">
        <v>0.97219587543845365</v>
      </c>
      <c r="I980" s="1087">
        <v>1.0111006395680084</v>
      </c>
      <c r="K980">
        <v>1.8307160644800671</v>
      </c>
      <c r="L980">
        <v>0</v>
      </c>
      <c r="M980">
        <v>3.5051084554463085E-3</v>
      </c>
      <c r="N980">
        <v>0.33166290883581873</v>
      </c>
      <c r="O980">
        <v>0.23934939598012078</v>
      </c>
      <c r="P980">
        <v>1.3242855608421535E-2</v>
      </c>
      <c r="Q980">
        <v>1.5672548053081638E-3</v>
      </c>
      <c r="R980">
        <v>3.498901831629667E-3</v>
      </c>
      <c r="S980">
        <v>0.36008035853020542</v>
      </c>
      <c r="T980">
        <v>0.41092182927021348</v>
      </c>
      <c r="U980">
        <v>0</v>
      </c>
      <c r="V980">
        <v>0.20037547922386728</v>
      </c>
      <c r="W980">
        <v>0.21140970858568706</v>
      </c>
      <c r="X980">
        <v>5.2589622891221398E-2</v>
      </c>
      <c r="Y980">
        <v>9.5228573730171424E-3</v>
      </c>
    </row>
    <row r="981" spans="1:25" x14ac:dyDescent="0.25">
      <c r="A981" s="1083"/>
      <c r="B981" s="1455">
        <v>731</v>
      </c>
      <c r="C981" s="1087">
        <v>0.99972303983762401</v>
      </c>
      <c r="D981" s="1087">
        <v>0.97224989507447501</v>
      </c>
      <c r="E981" s="1087">
        <v>1.0421963368597205</v>
      </c>
      <c r="F981" s="1087">
        <v>0.98833735173192527</v>
      </c>
      <c r="G981" s="1087">
        <v>1.0100203702328476</v>
      </c>
      <c r="H981" s="1087">
        <v>0.98837937019969213</v>
      </c>
      <c r="I981" s="1087">
        <v>0.9913247301655036</v>
      </c>
      <c r="K981">
        <v>1.8729925051261631</v>
      </c>
      <c r="L981">
        <v>0</v>
      </c>
      <c r="M981">
        <v>3.3477096363944752E-3</v>
      </c>
      <c r="N981">
        <v>0.36147897361786607</v>
      </c>
      <c r="O981">
        <v>0.24076764764473144</v>
      </c>
      <c r="P981">
        <v>1.357871844887823E-2</v>
      </c>
      <c r="Q981">
        <v>1.6749413143459357E-3</v>
      </c>
      <c r="R981">
        <v>3.341911643344513E-3</v>
      </c>
      <c r="S981">
        <v>0.36614808609281307</v>
      </c>
      <c r="T981">
        <v>0.39825367180118049</v>
      </c>
      <c r="U981">
        <v>0</v>
      </c>
      <c r="V981">
        <v>0.20052250855167966</v>
      </c>
      <c r="W981">
        <v>0.22435508520100877</v>
      </c>
      <c r="X981">
        <v>5.7123088614401372E-2</v>
      </c>
      <c r="Y981">
        <v>9.0955818323066127E-3</v>
      </c>
    </row>
    <row r="982" spans="1:25" x14ac:dyDescent="0.25">
      <c r="A982" s="1083"/>
      <c r="B982" s="1455">
        <v>732</v>
      </c>
      <c r="C982" s="1087">
        <v>1.0036848245518266</v>
      </c>
      <c r="D982" s="1087">
        <v>1.0106276557207658</v>
      </c>
      <c r="E982" s="1087">
        <v>1.0109588461455583</v>
      </c>
      <c r="F982" s="1087">
        <v>1.0019046259485789</v>
      </c>
      <c r="G982" s="1087">
        <v>1.0041426114133782</v>
      </c>
      <c r="H982" s="1087">
        <v>1.0069628451028143</v>
      </c>
      <c r="I982" s="1087">
        <v>1.007728139180406</v>
      </c>
      <c r="K982">
        <v>1.8528852319765088</v>
      </c>
      <c r="L982">
        <v>0</v>
      </c>
      <c r="M982">
        <v>3.5475647194291157E-3</v>
      </c>
      <c r="N982">
        <v>0.34830165818143616</v>
      </c>
      <c r="O982">
        <v>0.23762617153812771</v>
      </c>
      <c r="P982">
        <v>1.3321907415959521E-2</v>
      </c>
      <c r="Q982">
        <v>1.5896336660825789E-3</v>
      </c>
      <c r="R982">
        <v>3.5415015680647817E-3</v>
      </c>
      <c r="S982">
        <v>0.36588802488721484</v>
      </c>
      <c r="T982">
        <v>0.40352749355796358</v>
      </c>
      <c r="U982">
        <v>0</v>
      </c>
      <c r="V982">
        <v>0.19903814544499343</v>
      </c>
      <c r="W982">
        <v>0.22035247265722743</v>
      </c>
      <c r="X982">
        <v>5.3606987966273799E-2</v>
      </c>
      <c r="Y982">
        <v>9.6387998125941846E-3</v>
      </c>
    </row>
    <row r="983" spans="1:25" x14ac:dyDescent="0.25">
      <c r="A983" s="1083"/>
      <c r="B983" s="1455">
        <v>733</v>
      </c>
      <c r="C983" s="1087">
        <v>1.0138833689513671</v>
      </c>
      <c r="D983" s="1087">
        <v>0.98825612698495302</v>
      </c>
      <c r="E983" s="1087">
        <v>1.0108344064713279</v>
      </c>
      <c r="F983" s="1087">
        <v>1.0023645431304624</v>
      </c>
      <c r="G983" s="1087">
        <v>1.0090781969145983</v>
      </c>
      <c r="H983" s="1087">
        <v>0.96236063042706887</v>
      </c>
      <c r="I983" s="1087">
        <v>1.0151287645652254</v>
      </c>
      <c r="K983">
        <v>1.8248431013032671</v>
      </c>
      <c r="L983">
        <v>0</v>
      </c>
      <c r="M983">
        <v>3.3980599304268039E-3</v>
      </c>
      <c r="N983">
        <v>0.33347205113183304</v>
      </c>
      <c r="O983">
        <v>0.23868482500954233</v>
      </c>
      <c r="P983">
        <v>1.326164835857618E-2</v>
      </c>
      <c r="Q983">
        <v>1.5875880132950888E-3</v>
      </c>
      <c r="R983">
        <v>3.3920022386891243E-3</v>
      </c>
      <c r="S983">
        <v>0.36126293727053727</v>
      </c>
      <c r="T983">
        <v>0.40371196837719286</v>
      </c>
      <c r="U983">
        <v>0</v>
      </c>
      <c r="V983">
        <v>0.19918718258734822</v>
      </c>
      <c r="W983">
        <v>0.21098681651488202</v>
      </c>
      <c r="X983">
        <v>5.3462229811323821E-2</v>
      </c>
      <c r="Y983">
        <v>9.2319119204743276E-3</v>
      </c>
    </row>
    <row r="984" spans="1:25" x14ac:dyDescent="0.25">
      <c r="A984" s="1083"/>
      <c r="B984" s="1455">
        <v>734</v>
      </c>
      <c r="C984" s="1087">
        <v>0.99491123034560769</v>
      </c>
      <c r="D984" s="1087">
        <v>1.0167640945234442</v>
      </c>
      <c r="E984" s="1087">
        <v>1.0130387025045744</v>
      </c>
      <c r="F984" s="1087">
        <v>1.0054451647233367</v>
      </c>
      <c r="G984" s="1087">
        <v>0.98628341228447602</v>
      </c>
      <c r="H984" s="1087">
        <v>1.0023675707422928</v>
      </c>
      <c r="I984" s="1087">
        <v>0.98761163373027627</v>
      </c>
      <c r="K984">
        <v>1.8517515748627851</v>
      </c>
      <c r="L984">
        <v>0</v>
      </c>
      <c r="M984">
        <v>3.5358627737081985E-3</v>
      </c>
      <c r="N984">
        <v>0.34935799163701464</v>
      </c>
      <c r="O984">
        <v>0.23852926595091622</v>
      </c>
      <c r="P984">
        <v>1.3290427545204741E-2</v>
      </c>
      <c r="Q984">
        <v>1.6033008703977079E-3</v>
      </c>
      <c r="R984">
        <v>3.5297869004148105E-3</v>
      </c>
      <c r="S984">
        <v>0.35974534547381443</v>
      </c>
      <c r="T984">
        <v>0.40496626048240764</v>
      </c>
      <c r="U984">
        <v>0</v>
      </c>
      <c r="V984">
        <v>0.19997342544244645</v>
      </c>
      <c r="W984">
        <v>0.22073629495062289</v>
      </c>
      <c r="X984">
        <v>5.3948422034261125E-2</v>
      </c>
      <c r="Y984">
        <v>9.6069163489901147E-3</v>
      </c>
    </row>
    <row r="985" spans="1:25" x14ac:dyDescent="0.25">
      <c r="A985" s="1083"/>
      <c r="B985" s="1455">
        <v>735</v>
      </c>
      <c r="C985" s="1087">
        <v>0.99188025394214896</v>
      </c>
      <c r="D985" s="1087">
        <v>0.99355827901947791</v>
      </c>
      <c r="E985" s="1087">
        <v>0.96722152277625695</v>
      </c>
      <c r="F985" s="1087">
        <v>0.98781523939171423</v>
      </c>
      <c r="G985" s="1087">
        <v>0.98321082475498922</v>
      </c>
      <c r="H985" s="1087">
        <v>0.96418269432513892</v>
      </c>
      <c r="I985" s="1087">
        <v>0.96705653554059812</v>
      </c>
      <c r="K985">
        <v>1.798132956505869</v>
      </c>
      <c r="L985">
        <v>0</v>
      </c>
      <c r="M985">
        <v>3.7930996967028003E-3</v>
      </c>
      <c r="N985">
        <v>0.32581836905205652</v>
      </c>
      <c r="O985">
        <v>0.23843989407059307</v>
      </c>
      <c r="P985">
        <v>1.2616895516088701E-2</v>
      </c>
      <c r="Q985">
        <v>1.5453914641411842E-3</v>
      </c>
      <c r="R985">
        <v>3.7863453571211078E-3</v>
      </c>
      <c r="S985">
        <v>0.35058811802169737</v>
      </c>
      <c r="T985">
        <v>0.3975931257786387</v>
      </c>
      <c r="U985">
        <v>0</v>
      </c>
      <c r="V985">
        <v>0.19972743179107794</v>
      </c>
      <c r="W985">
        <v>0.21188734288450325</v>
      </c>
      <c r="X985">
        <v>4.9617958372981226E-2</v>
      </c>
      <c r="Y985">
        <v>1.0305183893672132E-2</v>
      </c>
    </row>
    <row r="986" spans="1:25" x14ac:dyDescent="0.25">
      <c r="A986" s="1083"/>
      <c r="B986" s="1455">
        <v>736</v>
      </c>
      <c r="C986" s="1087">
        <v>1.0212866277251393</v>
      </c>
      <c r="D986" s="1087">
        <v>0.97687934544262101</v>
      </c>
      <c r="E986" s="1087">
        <v>1.0118247089462822</v>
      </c>
      <c r="F986" s="1087">
        <v>0.98210863810284521</v>
      </c>
      <c r="G986" s="1087">
        <v>0.99672504717158672</v>
      </c>
      <c r="H986" s="1087">
        <v>0.99155242705152302</v>
      </c>
      <c r="I986" s="1087">
        <v>1.0114994943767586</v>
      </c>
      <c r="K986">
        <v>1.8328048347961132</v>
      </c>
      <c r="L986">
        <v>0</v>
      </c>
      <c r="M986">
        <v>3.4903378072578236E-3</v>
      </c>
      <c r="N986">
        <v>0.34358270140401792</v>
      </c>
      <c r="O986">
        <v>0.23655753991229855</v>
      </c>
      <c r="P986">
        <v>1.3184093642724694E-2</v>
      </c>
      <c r="Q986">
        <v>1.5850582033009432E-3</v>
      </c>
      <c r="R986">
        <v>3.4843083578072697E-3</v>
      </c>
      <c r="S986">
        <v>0.36498370708251149</v>
      </c>
      <c r="T986">
        <v>0.39555964785905218</v>
      </c>
      <c r="U986">
        <v>0</v>
      </c>
      <c r="V986">
        <v>0.19727874605983059</v>
      </c>
      <c r="W986">
        <v>0.21725046782843097</v>
      </c>
      <c r="X986">
        <v>5.3345763505387438E-2</v>
      </c>
      <c r="Y986">
        <v>9.4831387480099286E-3</v>
      </c>
    </row>
    <row r="987" spans="1:25" x14ac:dyDescent="0.25">
      <c r="A987" s="1083"/>
      <c r="B987" s="1455">
        <v>737</v>
      </c>
      <c r="C987" s="1087">
        <v>1.0039930907175503</v>
      </c>
      <c r="D987" s="1087">
        <v>0.95456078086433482</v>
      </c>
      <c r="E987" s="1087">
        <v>0.97518397730659612</v>
      </c>
      <c r="F987" s="1087">
        <v>1.0041310874015135</v>
      </c>
      <c r="G987" s="1087">
        <v>1.0230408791885983</v>
      </c>
      <c r="H987" s="1087">
        <v>1.0250068231898637</v>
      </c>
      <c r="I987" s="1087">
        <v>1.0019040827841237</v>
      </c>
      <c r="K987">
        <v>1.8854481197958441</v>
      </c>
      <c r="L987">
        <v>0</v>
      </c>
      <c r="M987">
        <v>4.0053798320658172E-3</v>
      </c>
      <c r="N987">
        <v>0.3525739264400321</v>
      </c>
      <c r="O987">
        <v>0.24300755065088619</v>
      </c>
      <c r="P987">
        <v>1.3184255461499315E-2</v>
      </c>
      <c r="Q987">
        <v>1.5648158319459197E-3</v>
      </c>
      <c r="R987">
        <v>3.9987082898664756E-3</v>
      </c>
      <c r="S987">
        <v>0.37828713858261925</v>
      </c>
      <c r="T987">
        <v>0.40420764914051216</v>
      </c>
      <c r="U987">
        <v>0</v>
      </c>
      <c r="V987">
        <v>0.20202085468600667</v>
      </c>
      <c r="W987">
        <v>0.22812427103204647</v>
      </c>
      <c r="X987">
        <v>5.1601163721312869E-2</v>
      </c>
      <c r="Y987">
        <v>1.088316579118306E-2</v>
      </c>
    </row>
    <row r="988" spans="1:25" x14ac:dyDescent="0.25">
      <c r="A988" s="1083"/>
      <c r="B988" s="1455">
        <v>738</v>
      </c>
      <c r="C988" s="1087">
        <v>1.0144128579509692</v>
      </c>
      <c r="D988" s="1087">
        <v>1.0170296149058571</v>
      </c>
      <c r="E988" s="1087">
        <v>1.020132575528345</v>
      </c>
      <c r="F988" s="1087">
        <v>1.0175413929051489</v>
      </c>
      <c r="G988" s="1087">
        <v>1.0489098053610229</v>
      </c>
      <c r="H988" s="1087">
        <v>1.0309843260639575</v>
      </c>
      <c r="I988" s="1087">
        <v>0.99936191844195466</v>
      </c>
      <c r="K988">
        <v>1.8656280348299743</v>
      </c>
      <c r="L988">
        <v>0</v>
      </c>
      <c r="M988">
        <v>3.5140468076827213E-3</v>
      </c>
      <c r="N988">
        <v>0.35480828693979843</v>
      </c>
      <c r="O988">
        <v>0.23761770768892249</v>
      </c>
      <c r="P988">
        <v>1.3445925882056948E-2</v>
      </c>
      <c r="Q988">
        <v>1.5841421651375239E-3</v>
      </c>
      <c r="R988">
        <v>3.5081744190324383E-3</v>
      </c>
      <c r="S988">
        <v>0.36208267969386959</v>
      </c>
      <c r="T988">
        <v>0.40988254336344992</v>
      </c>
      <c r="U988">
        <v>0</v>
      </c>
      <c r="V988">
        <v>0.19893506615507933</v>
      </c>
      <c r="W988">
        <v>0.2232007583678228</v>
      </c>
      <c r="X988">
        <v>5.452870266326449E-2</v>
      </c>
      <c r="Y988">
        <v>9.5480942992198729E-3</v>
      </c>
    </row>
    <row r="989" spans="1:25" x14ac:dyDescent="0.25">
      <c r="A989" s="1083"/>
      <c r="B989" s="1455">
        <v>739</v>
      </c>
      <c r="C989" s="1087">
        <v>0.98705100356657838</v>
      </c>
      <c r="D989" s="1087">
        <v>0.99128833658581661</v>
      </c>
      <c r="E989" s="1087">
        <v>1.02370280589109</v>
      </c>
      <c r="F989" s="1087">
        <v>1.0169236977893039</v>
      </c>
      <c r="G989" s="1087">
        <v>1.0262616220798262</v>
      </c>
      <c r="H989" s="1087">
        <v>0.99589639918715944</v>
      </c>
      <c r="I989" s="1087">
        <v>0.97544128636106797</v>
      </c>
      <c r="K989">
        <v>1.8828901959886741</v>
      </c>
      <c r="L989">
        <v>0</v>
      </c>
      <c r="M989">
        <v>3.5123965259012155E-3</v>
      </c>
      <c r="N989">
        <v>0.35850172261754598</v>
      </c>
      <c r="O989">
        <v>0.24355820066433082</v>
      </c>
      <c r="P989">
        <v>1.353901472026952E-2</v>
      </c>
      <c r="Q989">
        <v>1.6510354400370525E-3</v>
      </c>
      <c r="R989">
        <v>3.5063436610618089E-3</v>
      </c>
      <c r="S989">
        <v>0.36217094605295491</v>
      </c>
      <c r="T989">
        <v>0.40965606264150023</v>
      </c>
      <c r="U989">
        <v>0</v>
      </c>
      <c r="V989">
        <v>0.20324624908085917</v>
      </c>
      <c r="W989">
        <v>0.22502986057741162</v>
      </c>
      <c r="X989">
        <v>5.6000045479072003E-2</v>
      </c>
      <c r="Y989">
        <v>9.5431115795330205E-3</v>
      </c>
    </row>
    <row r="990" spans="1:25" x14ac:dyDescent="0.25">
      <c r="A990" s="1083"/>
      <c r="B990" s="1455">
        <v>740</v>
      </c>
      <c r="C990" s="1087">
        <v>1.0050774083608141</v>
      </c>
      <c r="D990" s="1087">
        <v>0.99471770231150869</v>
      </c>
      <c r="E990" s="1087">
        <v>1.0356451735403618</v>
      </c>
      <c r="F990" s="1087">
        <v>1.0123940922258354</v>
      </c>
      <c r="G990" s="1087">
        <v>1.0023476272085088</v>
      </c>
      <c r="H990" s="1087">
        <v>1.0005624932580783</v>
      </c>
      <c r="I990" s="1087">
        <v>1.0132873252631558</v>
      </c>
      <c r="K990">
        <v>1.8799226269460063</v>
      </c>
      <c r="L990">
        <v>0</v>
      </c>
      <c r="M990">
        <v>3.3750450312487173E-3</v>
      </c>
      <c r="N990">
        <v>0.3572430525093851</v>
      </c>
      <c r="O990">
        <v>0.24063047843688437</v>
      </c>
      <c r="P990">
        <v>1.3704130987914126E-2</v>
      </c>
      <c r="Q990">
        <v>1.6396055180066969E-3</v>
      </c>
      <c r="R990">
        <v>3.3692528312490935E-3</v>
      </c>
      <c r="S990">
        <v>0.36975295540210062</v>
      </c>
      <c r="T990">
        <v>0.40790613873118908</v>
      </c>
      <c r="U990">
        <v>0</v>
      </c>
      <c r="V990">
        <v>0.20078385832444406</v>
      </c>
      <c r="W990">
        <v>0.22260930808178073</v>
      </c>
      <c r="X990">
        <v>5.6488895621535348E-2</v>
      </c>
      <c r="Y990">
        <v>9.1699955327627109E-3</v>
      </c>
    </row>
    <row r="991" spans="1:25" x14ac:dyDescent="0.25">
      <c r="A991" s="1083"/>
      <c r="B991" s="1455">
        <v>741</v>
      </c>
      <c r="C991" s="1087">
        <v>0.98720566690830147</v>
      </c>
      <c r="D991" s="1087">
        <v>1.0266510004407272</v>
      </c>
      <c r="E991" s="1087">
        <v>0.97104608226495526</v>
      </c>
      <c r="F991" s="1087">
        <v>0.97043171880826473</v>
      </c>
      <c r="G991" s="1087">
        <v>1.0070907823279842</v>
      </c>
      <c r="H991" s="1087">
        <v>0.98152259593308533</v>
      </c>
      <c r="I991" s="1087">
        <v>0.98289290288213282</v>
      </c>
      <c r="K991">
        <v>1.7916517983293589</v>
      </c>
      <c r="L991">
        <v>0</v>
      </c>
      <c r="M991">
        <v>3.7821564151984239E-3</v>
      </c>
      <c r="N991">
        <v>0.32870875353762968</v>
      </c>
      <c r="O991">
        <v>0.23378775041403843</v>
      </c>
      <c r="P991">
        <v>1.2580086110114408E-2</v>
      </c>
      <c r="Q991">
        <v>1.5388518483969175E-3</v>
      </c>
      <c r="R991">
        <v>3.7755103921710007E-3</v>
      </c>
      <c r="S991">
        <v>0.35472108085545873</v>
      </c>
      <c r="T991">
        <v>0.39061828862395248</v>
      </c>
      <c r="U991">
        <v>0</v>
      </c>
      <c r="V991">
        <v>0.19703552766916868</v>
      </c>
      <c r="W991">
        <v>0.21324479056596962</v>
      </c>
      <c r="X991">
        <v>4.9147620036833255E-2</v>
      </c>
      <c r="Y991">
        <v>1.0275694690823175E-2</v>
      </c>
    </row>
    <row r="992" spans="1:25" x14ac:dyDescent="0.25">
      <c r="A992" s="1083"/>
      <c r="B992" s="1455">
        <v>742</v>
      </c>
      <c r="C992" s="1087">
        <v>0.99106665395341975</v>
      </c>
      <c r="D992" s="1087">
        <v>0.99125664405656966</v>
      </c>
      <c r="E992" s="1087">
        <v>0.99502397516076124</v>
      </c>
      <c r="F992" s="1087">
        <v>0.99496727250972894</v>
      </c>
      <c r="G992" s="1087">
        <v>1.0085073801527369</v>
      </c>
      <c r="H992" s="1087">
        <v>0.97944323931091071</v>
      </c>
      <c r="I992" s="1087">
        <v>0.99710326022107387</v>
      </c>
      <c r="K992">
        <v>1.8431360545761115</v>
      </c>
      <c r="L992">
        <v>0</v>
      </c>
      <c r="M992">
        <v>3.648384674265889E-3</v>
      </c>
      <c r="N992">
        <v>0.34118711465040669</v>
      </c>
      <c r="O992">
        <v>0.24002946286432744</v>
      </c>
      <c r="P992">
        <v>1.3141565718049857E-2</v>
      </c>
      <c r="Q992">
        <v>1.5951101959584028E-3</v>
      </c>
      <c r="R992">
        <v>3.6419914859337843E-3</v>
      </c>
      <c r="S992">
        <v>0.36536072236119232</v>
      </c>
      <c r="T992">
        <v>0.40063713308413818</v>
      </c>
      <c r="U992">
        <v>0</v>
      </c>
      <c r="V992">
        <v>0.20073041267532915</v>
      </c>
      <c r="W992">
        <v>0.21800646068513568</v>
      </c>
      <c r="X992">
        <v>5.2542165287362969E-2</v>
      </c>
      <c r="Y992">
        <v>9.9123002425410851E-3</v>
      </c>
    </row>
    <row r="993" spans="1:25" x14ac:dyDescent="0.25">
      <c r="A993" s="1083"/>
      <c r="B993" s="1455">
        <v>743</v>
      </c>
      <c r="C993" s="1087">
        <v>1.0214831101312265</v>
      </c>
      <c r="D993" s="1087">
        <v>0.9736034753377566</v>
      </c>
      <c r="E993" s="1087">
        <v>1.0226440391997884</v>
      </c>
      <c r="F993" s="1087">
        <v>0.96938092711898394</v>
      </c>
      <c r="G993" s="1087">
        <v>1.0089530686814512</v>
      </c>
      <c r="H993" s="1087">
        <v>1.0419014549433869</v>
      </c>
      <c r="I993" s="1087">
        <v>1.0050120324427398</v>
      </c>
      <c r="K993">
        <v>1.8692036397051752</v>
      </c>
      <c r="L993">
        <v>0</v>
      </c>
      <c r="M993">
        <v>3.592630600130247E-3</v>
      </c>
      <c r="N993">
        <v>0.3655394049198763</v>
      </c>
      <c r="O993">
        <v>0.23547618690009689</v>
      </c>
      <c r="P993">
        <v>1.3310628993595388E-2</v>
      </c>
      <c r="Q993">
        <v>1.6051210831184151E-3</v>
      </c>
      <c r="R993">
        <v>3.5867266800665674E-3</v>
      </c>
      <c r="S993">
        <v>0.37248190703671669</v>
      </c>
      <c r="T993">
        <v>0.39049768220651099</v>
      </c>
      <c r="U993">
        <v>0</v>
      </c>
      <c r="V993">
        <v>0.196383983767521</v>
      </c>
      <c r="W993">
        <v>0.22959660262307088</v>
      </c>
      <c r="X993">
        <v>5.4556138435724613E-2</v>
      </c>
      <c r="Y993">
        <v>9.7618876590088808E-3</v>
      </c>
    </row>
    <row r="994" spans="1:25" x14ac:dyDescent="0.25">
      <c r="A994" s="1083"/>
      <c r="B994" s="1455">
        <v>744</v>
      </c>
      <c r="C994" s="1087">
        <v>0.96589407210686284</v>
      </c>
      <c r="D994" s="1087">
        <v>1.0044244154486501</v>
      </c>
      <c r="E994" s="1087">
        <v>0.97871661694263934</v>
      </c>
      <c r="F994" s="1087">
        <v>1.0071138589122552</v>
      </c>
      <c r="G994" s="1087">
        <v>0.99230876652540811</v>
      </c>
      <c r="H994" s="1087">
        <v>1.0068547280544462</v>
      </c>
      <c r="I994" s="1087">
        <v>0.98435659646104723</v>
      </c>
      <c r="K994">
        <v>1.880361124989016</v>
      </c>
      <c r="L994">
        <v>0</v>
      </c>
      <c r="M994">
        <v>3.9504513413932156E-3</v>
      </c>
      <c r="N994">
        <v>0.35149951112535471</v>
      </c>
      <c r="O994">
        <v>0.24305997920477773</v>
      </c>
      <c r="P994">
        <v>1.3178926081426708E-2</v>
      </c>
      <c r="Q994">
        <v>1.599828596467663E-3</v>
      </c>
      <c r="R994">
        <v>3.9437052035179434E-3</v>
      </c>
      <c r="S994">
        <v>0.37226938695000639</v>
      </c>
      <c r="T994">
        <v>0.40542954694473898</v>
      </c>
      <c r="U994">
        <v>0</v>
      </c>
      <c r="V994">
        <v>0.20377673609189315</v>
      </c>
      <c r="W994">
        <v>0.22691886839093073</v>
      </c>
      <c r="X994">
        <v>5.1901622219391687E-2</v>
      </c>
      <c r="Y994">
        <v>1.0733465521904895E-2</v>
      </c>
    </row>
    <row r="995" spans="1:25" x14ac:dyDescent="0.25">
      <c r="A995" s="1083"/>
      <c r="B995" s="1455">
        <v>745</v>
      </c>
      <c r="C995" s="1087">
        <v>1.0131468339482694</v>
      </c>
      <c r="D995" s="1087">
        <v>1.0347712102274609</v>
      </c>
      <c r="E995" s="1087">
        <v>1.0142960967101762</v>
      </c>
      <c r="F995" s="1087">
        <v>1.0141284772691508</v>
      </c>
      <c r="G995" s="1087">
        <v>1.044613192307116</v>
      </c>
      <c r="H995" s="1087">
        <v>1.0167183098890993</v>
      </c>
      <c r="I995" s="1087">
        <v>1.0317407854332743</v>
      </c>
      <c r="K995">
        <v>1.8506522538327741</v>
      </c>
      <c r="L995">
        <v>0</v>
      </c>
      <c r="M995">
        <v>3.4785015178691267E-3</v>
      </c>
      <c r="N995">
        <v>0.34501721289887455</v>
      </c>
      <c r="O995">
        <v>0.23554682598119575</v>
      </c>
      <c r="P995">
        <v>1.3435884342076834E-2</v>
      </c>
      <c r="Q995">
        <v>1.5655073658936993E-3</v>
      </c>
      <c r="R995">
        <v>3.4725920061236819E-3</v>
      </c>
      <c r="S995">
        <v>0.36805154954586011</v>
      </c>
      <c r="T995">
        <v>0.40847146603532525</v>
      </c>
      <c r="U995">
        <v>0</v>
      </c>
      <c r="V995">
        <v>0.19781723931934533</v>
      </c>
      <c r="W995">
        <v>0.21782419134658576</v>
      </c>
      <c r="X995">
        <v>5.3477035808341136E-2</v>
      </c>
      <c r="Y995">
        <v>9.4512507010214956E-3</v>
      </c>
    </row>
    <row r="996" spans="1:25" x14ac:dyDescent="0.25">
      <c r="A996" s="1083"/>
      <c r="B996" s="1455">
        <v>746</v>
      </c>
      <c r="C996" s="1087">
        <v>1.0015571057619557</v>
      </c>
      <c r="D996" s="1087">
        <v>1.0141100151020208</v>
      </c>
      <c r="E996" s="1087">
        <v>0.97797152490791717</v>
      </c>
      <c r="F996" s="1087">
        <v>1.0112415829109505</v>
      </c>
      <c r="G996" s="1087">
        <v>0.99028090942788871</v>
      </c>
      <c r="H996" s="1087">
        <v>0.97673528516020958</v>
      </c>
      <c r="I996" s="1087">
        <v>1.0391508457764163</v>
      </c>
      <c r="K996">
        <v>1.8294634832096213</v>
      </c>
      <c r="L996">
        <v>0</v>
      </c>
      <c r="M996">
        <v>3.6819119858308644E-3</v>
      </c>
      <c r="N996">
        <v>0.32684235588393962</v>
      </c>
      <c r="O996">
        <v>0.23814818436840765</v>
      </c>
      <c r="P996">
        <v>1.3126267380163677E-2</v>
      </c>
      <c r="Q996">
        <v>1.5357177825713548E-3</v>
      </c>
      <c r="R996">
        <v>3.6754211367624784E-3</v>
      </c>
      <c r="S996">
        <v>0.37134245394174076</v>
      </c>
      <c r="T996">
        <v>0.40708673307721488</v>
      </c>
      <c r="U996">
        <v>0</v>
      </c>
      <c r="V996">
        <v>0.19967944564053852</v>
      </c>
      <c r="W996">
        <v>0.21110072800913599</v>
      </c>
      <c r="X996">
        <v>5.0604803242959587E-2</v>
      </c>
      <c r="Y996">
        <v>1.0003284732015357E-2</v>
      </c>
    </row>
    <row r="997" spans="1:25" x14ac:dyDescent="0.25">
      <c r="A997" s="1083"/>
      <c r="B997" s="1455">
        <v>747</v>
      </c>
      <c r="C997" s="1087">
        <v>1.0105403122882706</v>
      </c>
      <c r="D997" s="1087">
        <v>1.0018982598697035</v>
      </c>
      <c r="E997" s="1087">
        <v>0.97109580632494763</v>
      </c>
      <c r="F997" s="1087">
        <v>0.99731252649349422</v>
      </c>
      <c r="G997" s="1087">
        <v>0.97189910135069557</v>
      </c>
      <c r="H997" s="1087">
        <v>0.98686345207215187</v>
      </c>
      <c r="I997" s="1087">
        <v>1.0174685489069717</v>
      </c>
      <c r="K997">
        <v>1.8144020055312731</v>
      </c>
      <c r="L997">
        <v>0</v>
      </c>
      <c r="M997">
        <v>3.7636954110505396E-3</v>
      </c>
      <c r="N997">
        <v>0.32715909473364552</v>
      </c>
      <c r="O997">
        <v>0.23656225067758549</v>
      </c>
      <c r="P997">
        <v>1.2871118323823713E-2</v>
      </c>
      <c r="Q997">
        <v>1.5181470892428473E-3</v>
      </c>
      <c r="R997">
        <v>3.7571398245227635E-3</v>
      </c>
      <c r="S997">
        <v>0.36455898686976618</v>
      </c>
      <c r="T997">
        <v>0.40143864865702639</v>
      </c>
      <c r="U997">
        <v>0</v>
      </c>
      <c r="V997">
        <v>0.19814226932012496</v>
      </c>
      <c r="W997">
        <v>0.21223273359047132</v>
      </c>
      <c r="X997">
        <v>4.969961579457112E-2</v>
      </c>
      <c r="Y997">
        <v>1.0225696061540675E-2</v>
      </c>
    </row>
    <row r="998" spans="1:25" x14ac:dyDescent="0.25">
      <c r="A998" s="1083"/>
      <c r="B998" s="1455">
        <v>748</v>
      </c>
      <c r="C998" s="1087">
        <v>0.98127920011294423</v>
      </c>
      <c r="D998" s="1087">
        <v>0.96164686872931471</v>
      </c>
      <c r="E998" s="1087">
        <v>0.98779331501778689</v>
      </c>
      <c r="F998" s="1087">
        <v>0.99685051826911275</v>
      </c>
      <c r="G998" s="1087">
        <v>1.0008002151487907</v>
      </c>
      <c r="H998" s="1087">
        <v>0.96432324798771329</v>
      </c>
      <c r="I998" s="1087">
        <v>1.0145749946119311</v>
      </c>
      <c r="K998">
        <v>1.8679182590192653</v>
      </c>
      <c r="L998">
        <v>0</v>
      </c>
      <c r="M998">
        <v>3.7419943403379434E-3</v>
      </c>
      <c r="N998">
        <v>0.34229240843845554</v>
      </c>
      <c r="O998">
        <v>0.24434206339038927</v>
      </c>
      <c r="P998">
        <v>1.3300061750186261E-2</v>
      </c>
      <c r="Q998">
        <v>1.6181101528978054E-3</v>
      </c>
      <c r="R998">
        <v>3.7353613290854876E-3</v>
      </c>
      <c r="S998">
        <v>0.3788333313735921</v>
      </c>
      <c r="T998">
        <v>0.40135204208547748</v>
      </c>
      <c r="U998">
        <v>0</v>
      </c>
      <c r="V998">
        <v>0.20352972280990878</v>
      </c>
      <c r="W998">
        <v>0.21970950089402186</v>
      </c>
      <c r="X998">
        <v>5.2781228959347809E-2</v>
      </c>
      <c r="Y998">
        <v>1.0166422176239502E-2</v>
      </c>
    </row>
    <row r="999" spans="1:25" x14ac:dyDescent="0.25">
      <c r="A999" s="1083"/>
      <c r="B999" s="1455">
        <v>749</v>
      </c>
      <c r="C999" s="1087">
        <v>1.0021203915341739</v>
      </c>
      <c r="D999" s="1087">
        <v>0.99603405296422343</v>
      </c>
      <c r="E999" s="1087">
        <v>1.0044316319668458</v>
      </c>
      <c r="F999" s="1087">
        <v>0.99754282896973046</v>
      </c>
      <c r="G999" s="1087">
        <v>0.97274374296725907</v>
      </c>
      <c r="H999" s="1087">
        <v>1.0004927867966042</v>
      </c>
      <c r="I999" s="1087">
        <v>0.99728579185273047</v>
      </c>
      <c r="K999">
        <v>1.8496279861252234</v>
      </c>
      <c r="L999">
        <v>0</v>
      </c>
      <c r="M999">
        <v>3.606109365335149E-3</v>
      </c>
      <c r="N999">
        <v>0.34706831461478044</v>
      </c>
      <c r="O999">
        <v>0.23865224771397464</v>
      </c>
      <c r="P999">
        <v>1.3219239373121978E-2</v>
      </c>
      <c r="Q999">
        <v>1.5903498100886505E-3</v>
      </c>
      <c r="R999">
        <v>3.5999191156689818E-3</v>
      </c>
      <c r="S999">
        <v>0.36435235306920311</v>
      </c>
      <c r="T999">
        <v>0.40173106735919178</v>
      </c>
      <c r="U999">
        <v>0</v>
      </c>
      <c r="V999">
        <v>0.19956158891523923</v>
      </c>
      <c r="W999">
        <v>0.2204643371325555</v>
      </c>
      <c r="X999">
        <v>5.3196885266897649E-2</v>
      </c>
      <c r="Y999">
        <v>9.7977931198334235E-3</v>
      </c>
    </row>
    <row r="1000" spans="1:25" x14ac:dyDescent="0.25">
      <c r="A1000" s="1083"/>
      <c r="B1000" s="1455">
        <v>750</v>
      </c>
      <c r="C1000" s="1087">
        <v>0.9849765702703922</v>
      </c>
      <c r="D1000" s="1087">
        <v>1.0116789963939634</v>
      </c>
      <c r="E1000" s="1087">
        <v>0.95704419657507844</v>
      </c>
      <c r="F1000" s="1087">
        <v>1.0091519742897208</v>
      </c>
      <c r="G1000" s="1087">
        <v>1.0220049463974228</v>
      </c>
      <c r="H1000" s="1087">
        <v>0.98511561599148134</v>
      </c>
      <c r="I1000" s="1087">
        <v>0.97192705088122566</v>
      </c>
      <c r="K1000">
        <v>1.8198959888622221</v>
      </c>
      <c r="L1000">
        <v>0</v>
      </c>
      <c r="M1000">
        <v>3.9458030604848605E-3</v>
      </c>
      <c r="N1000">
        <v>0.32855311392203601</v>
      </c>
      <c r="O1000">
        <v>0.23987945647110023</v>
      </c>
      <c r="P1000">
        <v>1.2708738896001003E-2</v>
      </c>
      <c r="Q1000">
        <v>1.5280188558886118E-3</v>
      </c>
      <c r="R1000">
        <v>3.9389091958385251E-3</v>
      </c>
      <c r="S1000">
        <v>0.35491068837047013</v>
      </c>
      <c r="T1000">
        <v>0.40612059074913598</v>
      </c>
      <c r="U1000">
        <v>0</v>
      </c>
      <c r="V1000">
        <v>0.20130554735694464</v>
      </c>
      <c r="W1000">
        <v>0.21506854089881391</v>
      </c>
      <c r="X1000">
        <v>4.9107774836470573E-2</v>
      </c>
      <c r="Y1000">
        <v>1.0720412370005027E-2</v>
      </c>
    </row>
    <row r="1001" spans="1:25" x14ac:dyDescent="0.25">
      <c r="A1001" s="1083"/>
      <c r="B1001" s="1455">
        <v>751</v>
      </c>
      <c r="C1001" s="1087">
        <v>1.0211461922203944</v>
      </c>
      <c r="D1001" s="1087">
        <v>1.0123299730091226</v>
      </c>
      <c r="E1001" s="1087">
        <v>0.96705999830814648</v>
      </c>
      <c r="F1001" s="1087">
        <v>1.0092799983184404</v>
      </c>
      <c r="G1001" s="1087">
        <v>1.0138400871049988</v>
      </c>
      <c r="H1001" s="1087">
        <v>0.97312958266817962</v>
      </c>
      <c r="I1001" s="1087">
        <v>0.97428382066382258</v>
      </c>
      <c r="K1001">
        <v>1.7750470583534492</v>
      </c>
      <c r="L1001">
        <v>0</v>
      </c>
      <c r="M1001">
        <v>3.681736018263783E-3</v>
      </c>
      <c r="N1001">
        <v>0.31609988436873948</v>
      </c>
      <c r="O1001">
        <v>0.23558302956897706</v>
      </c>
      <c r="P1001">
        <v>1.2573295055975953E-2</v>
      </c>
      <c r="Q1001">
        <v>1.4896433297659202E-3</v>
      </c>
      <c r="R1001">
        <v>3.675222052779115E-3</v>
      </c>
      <c r="S1001">
        <v>0.34105396375819452</v>
      </c>
      <c r="T1001">
        <v>0.40623167249462444</v>
      </c>
      <c r="U1001">
        <v>0</v>
      </c>
      <c r="V1001">
        <v>0.19746707822345713</v>
      </c>
      <c r="W1001">
        <v>0.20558845288825353</v>
      </c>
      <c r="X1001">
        <v>4.8963809739904766E-2</v>
      </c>
      <c r="Y1001">
        <v>1.0002742891040662E-2</v>
      </c>
    </row>
    <row r="1002" spans="1:25" x14ac:dyDescent="0.25">
      <c r="A1002" s="1083"/>
      <c r="B1002" s="1455">
        <v>752</v>
      </c>
      <c r="C1002" s="1087">
        <v>1.0174558529434929</v>
      </c>
      <c r="D1002" s="1087">
        <v>0.98101430333662454</v>
      </c>
      <c r="E1002" s="1087">
        <v>1.0334173430174305</v>
      </c>
      <c r="F1002" s="1087">
        <v>0.99858234146077007</v>
      </c>
      <c r="G1002" s="1087">
        <v>1.0104808849733733</v>
      </c>
      <c r="H1002" s="1087">
        <v>0.96233424464987671</v>
      </c>
      <c r="I1002" s="1087">
        <v>0.98712030921055649</v>
      </c>
      <c r="K1002">
        <v>1.8252814977471266</v>
      </c>
      <c r="L1002">
        <v>0</v>
      </c>
      <c r="M1002">
        <v>3.2455461033639517E-3</v>
      </c>
      <c r="N1002">
        <v>0.34119185207698793</v>
      </c>
      <c r="O1002">
        <v>0.23887220990436034</v>
      </c>
      <c r="P1002">
        <v>1.3327416490003257E-2</v>
      </c>
      <c r="Q1002">
        <v>1.6248762288640405E-3</v>
      </c>
      <c r="R1002">
        <v>3.2397661159763824E-3</v>
      </c>
      <c r="S1002">
        <v>0.35173918976134921</v>
      </c>
      <c r="T1002">
        <v>0.40232740915797155</v>
      </c>
      <c r="U1002">
        <v>0</v>
      </c>
      <c r="V1002">
        <v>0.19901485982004669</v>
      </c>
      <c r="W1002">
        <v>0.21289589109235646</v>
      </c>
      <c r="X1002">
        <v>5.5475997823498893E-2</v>
      </c>
      <c r="Y1002">
        <v>8.8175753790746096E-3</v>
      </c>
    </row>
    <row r="1003" spans="1:25" x14ac:dyDescent="0.25">
      <c r="A1003" s="1083"/>
      <c r="B1003" s="1455">
        <v>753</v>
      </c>
      <c r="C1003" s="1087">
        <v>1.0383965540722737</v>
      </c>
      <c r="D1003" s="1087">
        <v>1.0078403447834112</v>
      </c>
      <c r="E1003" s="1087">
        <v>1.0126616372938082</v>
      </c>
      <c r="F1003" s="1087">
        <v>1.0255882119601307</v>
      </c>
      <c r="G1003" s="1087">
        <v>1.019824005754455</v>
      </c>
      <c r="H1003" s="1087">
        <v>0.99878563634662421</v>
      </c>
      <c r="I1003" s="1087">
        <v>1.0179887678308597</v>
      </c>
      <c r="K1003">
        <v>1.827085864844757</v>
      </c>
      <c r="L1003">
        <v>0</v>
      </c>
      <c r="M1003">
        <v>3.3925365642023487E-3</v>
      </c>
      <c r="N1003">
        <v>0.33480996726601986</v>
      </c>
      <c r="O1003">
        <v>0.23645870883326983</v>
      </c>
      <c r="P1003">
        <v>1.3317303165195629E-2</v>
      </c>
      <c r="Q1003">
        <v>1.5409699344035093E-3</v>
      </c>
      <c r="R1003">
        <v>3.3866900524326879E-3</v>
      </c>
      <c r="S1003">
        <v>0.35628034495727301</v>
      </c>
      <c r="T1003">
        <v>0.41307697354228806</v>
      </c>
      <c r="U1003">
        <v>0</v>
      </c>
      <c r="V1003">
        <v>0.19754881811330893</v>
      </c>
      <c r="W1003">
        <v>0.21159372361590273</v>
      </c>
      <c r="X1003">
        <v>5.3247448028219534E-2</v>
      </c>
      <c r="Y1003">
        <v>9.2174539006460374E-3</v>
      </c>
    </row>
    <row r="1004" spans="1:25" x14ac:dyDescent="0.25">
      <c r="A1004" s="1083"/>
      <c r="B1004" s="1455">
        <v>754</v>
      </c>
      <c r="C1004" s="1087">
        <v>0.9796556134234059</v>
      </c>
      <c r="D1004" s="1087">
        <v>1.003912513355941</v>
      </c>
      <c r="E1004" s="1087">
        <v>1.0165736491135444</v>
      </c>
      <c r="F1004" s="1087">
        <v>1.0019354802000078</v>
      </c>
      <c r="G1004" s="1087">
        <v>0.98484696346346723</v>
      </c>
      <c r="H1004" s="1087">
        <v>1.006185185705381</v>
      </c>
      <c r="I1004" s="1087">
        <v>0.96520933890225502</v>
      </c>
      <c r="K1004">
        <v>1.8737848548783151</v>
      </c>
      <c r="L1004">
        <v>0</v>
      </c>
      <c r="M1004">
        <v>3.6033958972850446E-3</v>
      </c>
      <c r="N1004">
        <v>0.35989132709468569</v>
      </c>
      <c r="O1004">
        <v>0.24132299501047902</v>
      </c>
      <c r="P1004">
        <v>1.3342219516871617E-2</v>
      </c>
      <c r="Q1004">
        <v>1.6427031730787195E-3</v>
      </c>
      <c r="R1004">
        <v>3.597238717899574E-3</v>
      </c>
      <c r="S1004">
        <v>0.36030878371348557</v>
      </c>
      <c r="T1004">
        <v>0.40357433822957062</v>
      </c>
      <c r="U1004">
        <v>0</v>
      </c>
      <c r="V1004">
        <v>0.20204555316053349</v>
      </c>
      <c r="W1004">
        <v>0.2268954671970668</v>
      </c>
      <c r="X1004">
        <v>5.4977127001227893E-2</v>
      </c>
      <c r="Y1004">
        <v>9.7904979606979817E-3</v>
      </c>
    </row>
    <row r="1005" spans="1:25" x14ac:dyDescent="0.25">
      <c r="A1005" s="1083"/>
      <c r="B1005" s="1455">
        <v>755</v>
      </c>
      <c r="C1005" s="1087">
        <v>1.0164500459593255</v>
      </c>
      <c r="D1005" s="1087">
        <v>0.99834749140575807</v>
      </c>
      <c r="E1005" s="1087">
        <v>0.97526184968360707</v>
      </c>
      <c r="F1005" s="1087">
        <v>1.0017589194068246</v>
      </c>
      <c r="G1005" s="1087">
        <v>0.98142410866294627</v>
      </c>
      <c r="H1005" s="1087">
        <v>1.0031576151013357</v>
      </c>
      <c r="I1005" s="1087">
        <v>0.98252312773045458</v>
      </c>
      <c r="K1005">
        <v>1.8143244855380101</v>
      </c>
      <c r="L1005">
        <v>0</v>
      </c>
      <c r="M1005">
        <v>3.7785941061533688E-3</v>
      </c>
      <c r="N1005">
        <v>0.33267460757217088</v>
      </c>
      <c r="O1005">
        <v>0.23678592450886593</v>
      </c>
      <c r="P1005">
        <v>1.2788962344688898E-2</v>
      </c>
      <c r="Q1005">
        <v>1.518284510687558E-3</v>
      </c>
      <c r="R1005">
        <v>3.7721225196947123E-3</v>
      </c>
      <c r="S1005">
        <v>0.35357819736350471</v>
      </c>
      <c r="T1005">
        <v>0.40325320970333195</v>
      </c>
      <c r="U1005">
        <v>0</v>
      </c>
      <c r="V1005">
        <v>0.19811241174518721</v>
      </c>
      <c r="W1005">
        <v>0.21523823653400481</v>
      </c>
      <c r="X1005">
        <v>5.0114648823271581E-2</v>
      </c>
      <c r="Y1005">
        <v>1.0266474018754579E-2</v>
      </c>
    </row>
    <row r="1006" spans="1:25" x14ac:dyDescent="0.25">
      <c r="A1006" s="1083"/>
      <c r="B1006" s="1455">
        <v>756</v>
      </c>
      <c r="C1006" s="1087">
        <v>1.0287858237135115</v>
      </c>
      <c r="D1006" s="1087">
        <v>0.97317808248598336</v>
      </c>
      <c r="E1006" s="1087">
        <v>1.0085379253064817</v>
      </c>
      <c r="F1006" s="1087">
        <v>1.0037443437805538</v>
      </c>
      <c r="G1006" s="1087">
        <v>0.99609570198473441</v>
      </c>
      <c r="H1006" s="1087">
        <v>0.98100815461236679</v>
      </c>
      <c r="I1006" s="1087">
        <v>1.0058589204647472</v>
      </c>
      <c r="K1006">
        <v>1.8285884516060136</v>
      </c>
      <c r="L1006">
        <v>0</v>
      </c>
      <c r="M1006">
        <v>3.4584033762330105E-3</v>
      </c>
      <c r="N1006">
        <v>0.3370380821414522</v>
      </c>
      <c r="O1006">
        <v>0.23857890053582742</v>
      </c>
      <c r="P1006">
        <v>1.3208724194038965E-2</v>
      </c>
      <c r="Q1006">
        <v>1.5704143955726291E-3</v>
      </c>
      <c r="R1006">
        <v>3.4523682790916E-3</v>
      </c>
      <c r="S1006">
        <v>0.35913336380605604</v>
      </c>
      <c r="T1006">
        <v>0.4042536338537624</v>
      </c>
      <c r="U1006">
        <v>0</v>
      </c>
      <c r="V1006">
        <v>0.19855888416577647</v>
      </c>
      <c r="W1006">
        <v>0.21354701291679459</v>
      </c>
      <c r="X1006">
        <v>5.3309262311084481E-2</v>
      </c>
      <c r="Y1006">
        <v>9.3962083827899973E-3</v>
      </c>
    </row>
    <row r="1007" spans="1:25" x14ac:dyDescent="0.25">
      <c r="A1007" s="1083"/>
      <c r="B1007" s="1455">
        <v>757</v>
      </c>
      <c r="C1007" s="1087">
        <v>0.99751069915261503</v>
      </c>
      <c r="D1007" s="1087">
        <v>0.98260086090206644</v>
      </c>
      <c r="E1007" s="1087">
        <v>0.99362072357687314</v>
      </c>
      <c r="F1007" s="1087">
        <v>1.0107277038447635</v>
      </c>
      <c r="G1007" s="1087">
        <v>1.0112863637133442</v>
      </c>
      <c r="H1007" s="1087">
        <v>0.98439197327247918</v>
      </c>
      <c r="I1007" s="1087">
        <v>1.0193345589876508</v>
      </c>
      <c r="K1007">
        <v>1.8628313824306557</v>
      </c>
      <c r="L1007">
        <v>0</v>
      </c>
      <c r="M1007">
        <v>3.6710900607168722E-3</v>
      </c>
      <c r="N1007">
        <v>0.34184661610781231</v>
      </c>
      <c r="O1007">
        <v>0.24197128296506931</v>
      </c>
      <c r="P1007">
        <v>1.3343967100574667E-2</v>
      </c>
      <c r="Q1007">
        <v>1.5879918983752385E-3</v>
      </c>
      <c r="R1007">
        <v>3.6646975439716054E-3</v>
      </c>
      <c r="S1007">
        <v>0.37382042069527843</v>
      </c>
      <c r="T1007">
        <v>0.40697472662399153</v>
      </c>
      <c r="U1007">
        <v>0</v>
      </c>
      <c r="V1007">
        <v>0.20185485770041922</v>
      </c>
      <c r="W1007">
        <v>0.21862027751747934</v>
      </c>
      <c r="X1007">
        <v>5.2843535690931996E-2</v>
      </c>
      <c r="Y1007">
        <v>9.9740986474700158E-3</v>
      </c>
    </row>
    <row r="1008" spans="1:25" x14ac:dyDescent="0.25">
      <c r="A1008" s="1083"/>
      <c r="B1008" s="1455">
        <v>758</v>
      </c>
      <c r="C1008" s="1087">
        <v>0.96405885182338547</v>
      </c>
      <c r="D1008" s="1087">
        <v>1.0140385979190798</v>
      </c>
      <c r="E1008" s="1087">
        <v>1.0143656322514032</v>
      </c>
      <c r="F1008" s="1087">
        <v>1.0154410495858597</v>
      </c>
      <c r="G1008" s="1087">
        <v>0.97008716499351988</v>
      </c>
      <c r="H1008" s="1087">
        <v>1.0037288413334404</v>
      </c>
      <c r="I1008" s="1087">
        <v>0.97359139396856875</v>
      </c>
      <c r="K1008">
        <v>1.8951729777191975</v>
      </c>
      <c r="L1008">
        <v>0</v>
      </c>
      <c r="M1008">
        <v>3.649704512249692E-3</v>
      </c>
      <c r="N1008">
        <v>0.36206889990846702</v>
      </c>
      <c r="O1008">
        <v>0.24385827662644777</v>
      </c>
      <c r="P1008">
        <v>1.3517820988697948E-2</v>
      </c>
      <c r="Q1008">
        <v>1.6587152707181944E-3</v>
      </c>
      <c r="R1008">
        <v>3.6434445102024723E-3</v>
      </c>
      <c r="S1008">
        <v>0.36681216552603768</v>
      </c>
      <c r="T1008">
        <v>0.40900057710193388</v>
      </c>
      <c r="U1008">
        <v>0</v>
      </c>
      <c r="V1008">
        <v>0.20441875111840496</v>
      </c>
      <c r="W1008">
        <v>0.2285798289363421</v>
      </c>
      <c r="X1008">
        <v>5.5347947348584475E-2</v>
      </c>
      <c r="Y1008">
        <v>9.9162548956111367E-3</v>
      </c>
    </row>
    <row r="1009" spans="1:25" x14ac:dyDescent="0.25">
      <c r="A1009" s="1083"/>
      <c r="B1009" s="1455">
        <v>759</v>
      </c>
      <c r="C1009" s="1087">
        <v>0.98025365590853253</v>
      </c>
      <c r="D1009" s="1087">
        <v>1.0274215407830516</v>
      </c>
      <c r="E1009" s="1087">
        <v>0.99896846202721512</v>
      </c>
      <c r="F1009" s="1087">
        <v>1.0111874774624019</v>
      </c>
      <c r="G1009" s="1087">
        <v>1.0039630724694377</v>
      </c>
      <c r="H1009" s="1087">
        <v>0.97039774034652904</v>
      </c>
      <c r="I1009" s="1087">
        <v>1.0113432818587502</v>
      </c>
      <c r="K1009">
        <v>1.8424664568090949</v>
      </c>
      <c r="L1009">
        <v>0</v>
      </c>
      <c r="M1009">
        <v>3.555887631764649E-3</v>
      </c>
      <c r="N1009">
        <v>0.33655650559208389</v>
      </c>
      <c r="O1009">
        <v>0.23975853889151033</v>
      </c>
      <c r="P1009">
        <v>1.3283859061122878E-2</v>
      </c>
      <c r="Q1009">
        <v>1.5964609696795479E-3</v>
      </c>
      <c r="R1009">
        <v>3.5495670889328403E-3</v>
      </c>
      <c r="S1009">
        <v>0.36569971787193495</v>
      </c>
      <c r="T1009">
        <v>0.4071925356637584</v>
      </c>
      <c r="U1009">
        <v>0</v>
      </c>
      <c r="V1009">
        <v>0.20142743080666586</v>
      </c>
      <c r="W1009">
        <v>0.21451711439143187</v>
      </c>
      <c r="X1009">
        <v>5.2779862602140439E-2</v>
      </c>
      <c r="Y1009">
        <v>9.6607515015987994E-3</v>
      </c>
    </row>
    <row r="1010" spans="1:25" x14ac:dyDescent="0.25">
      <c r="A1010" s="1083"/>
      <c r="B1010" s="1455">
        <v>760</v>
      </c>
      <c r="C1010" s="1087">
        <v>1.01090812699555</v>
      </c>
      <c r="D1010" s="1087">
        <v>1.0180980288266059</v>
      </c>
      <c r="E1010" s="1087">
        <v>1.017045969902763</v>
      </c>
      <c r="F1010" s="1087">
        <v>0.9654225147089307</v>
      </c>
      <c r="G1010" s="1087">
        <v>0.96696330189574853</v>
      </c>
      <c r="H1010" s="1087">
        <v>0.99653688904127602</v>
      </c>
      <c r="I1010" s="1087">
        <v>0.98575521342106298</v>
      </c>
      <c r="K1010">
        <v>1.8034222450848398</v>
      </c>
      <c r="L1010">
        <v>0</v>
      </c>
      <c r="M1010">
        <v>3.42882805283358E-3</v>
      </c>
      <c r="N1010">
        <v>0.34294272540804643</v>
      </c>
      <c r="O1010">
        <v>0.23185154837160987</v>
      </c>
      <c r="P1010">
        <v>1.2930797198383727E-2</v>
      </c>
      <c r="Q1010">
        <v>1.583798905621447E-3</v>
      </c>
      <c r="R1010">
        <v>3.4229003643517632E-3</v>
      </c>
      <c r="S1010">
        <v>0.35214862355517801</v>
      </c>
      <c r="T1010">
        <v>0.38886990350888462</v>
      </c>
      <c r="U1010">
        <v>0</v>
      </c>
      <c r="V1010">
        <v>0.19479950491291123</v>
      </c>
      <c r="W1010">
        <v>0.21614713011896181</v>
      </c>
      <c r="X1010">
        <v>5.2838134360762005E-2</v>
      </c>
      <c r="Y1010">
        <v>9.3160064329636423E-3</v>
      </c>
    </row>
    <row r="1011" spans="1:25" x14ac:dyDescent="0.25">
      <c r="A1011" s="1083"/>
      <c r="B1011" s="1455">
        <v>761</v>
      </c>
      <c r="C1011" s="1087">
        <v>0.98184078330869717</v>
      </c>
      <c r="D1011" s="1087">
        <v>0.99923226894971329</v>
      </c>
      <c r="E1011" s="1087">
        <v>1.0348838623723047</v>
      </c>
      <c r="F1011" s="1087">
        <v>1.0033087672598209</v>
      </c>
      <c r="G1011" s="1087">
        <v>0.99763929660229445</v>
      </c>
      <c r="H1011" s="1087">
        <v>1.0118802611875091</v>
      </c>
      <c r="I1011" s="1087">
        <v>0.99059722644486514</v>
      </c>
      <c r="K1011">
        <v>1.8999417829768077</v>
      </c>
      <c r="L1011">
        <v>0</v>
      </c>
      <c r="M1011">
        <v>3.4910713305071252E-3</v>
      </c>
      <c r="N1011">
        <v>0.36867564923758428</v>
      </c>
      <c r="O1011">
        <v>0.24194700391149201</v>
      </c>
      <c r="P1011">
        <v>1.3686169055020576E-2</v>
      </c>
      <c r="Q1011">
        <v>1.674037539909847E-3</v>
      </c>
      <c r="R1011">
        <v>3.4851435061420762E-3</v>
      </c>
      <c r="S1011">
        <v>0.37117448574666878</v>
      </c>
      <c r="T1011">
        <v>0.404240806798982</v>
      </c>
      <c r="U1011">
        <v>0</v>
      </c>
      <c r="V1011">
        <v>0.20228211596908816</v>
      </c>
      <c r="W1011">
        <v>0.22983977272737324</v>
      </c>
      <c r="X1011">
        <v>5.69422580685797E-2</v>
      </c>
      <c r="Y1011">
        <v>9.4854117464707021E-3</v>
      </c>
    </row>
    <row r="1012" spans="1:25" x14ac:dyDescent="0.25">
      <c r="A1012" s="1083"/>
      <c r="B1012" s="1455">
        <v>762</v>
      </c>
      <c r="C1012" s="1087">
        <v>1.0326997233492505</v>
      </c>
      <c r="D1012" s="1087">
        <v>1.0222571334534785</v>
      </c>
      <c r="E1012" s="1087">
        <v>1.0021678344298131</v>
      </c>
      <c r="F1012" s="1087">
        <v>0.99436404956577662</v>
      </c>
      <c r="G1012" s="1087">
        <v>0.9977914949910911</v>
      </c>
      <c r="H1012" s="1087">
        <v>0.98234637396994939</v>
      </c>
      <c r="I1012" s="1087">
        <v>0.99888936849807686</v>
      </c>
      <c r="K1012">
        <v>1.7801218830333068</v>
      </c>
      <c r="L1012">
        <v>0</v>
      </c>
      <c r="M1012">
        <v>3.4027038303757334E-3</v>
      </c>
      <c r="N1012">
        <v>0.32522495677715979</v>
      </c>
      <c r="O1012">
        <v>0.23206230812922013</v>
      </c>
      <c r="P1012">
        <v>1.2860381271270519E-2</v>
      </c>
      <c r="Q1012">
        <v>1.5236256429538074E-3</v>
      </c>
      <c r="R1012">
        <v>3.3967313912250251E-3</v>
      </c>
      <c r="S1012">
        <v>0.34585839633285176</v>
      </c>
      <c r="T1012">
        <v>0.40043723597394704</v>
      </c>
      <c r="U1012">
        <v>0</v>
      </c>
      <c r="V1012">
        <v>0.19471948939409928</v>
      </c>
      <c r="W1012">
        <v>0.20688072038626701</v>
      </c>
      <c r="X1012">
        <v>5.1315958449974858E-2</v>
      </c>
      <c r="Y1012">
        <v>9.2447831147123346E-3</v>
      </c>
    </row>
    <row r="1013" spans="1:25" x14ac:dyDescent="0.25">
      <c r="A1013" s="1083"/>
      <c r="B1013" s="1455">
        <v>763</v>
      </c>
      <c r="C1013" s="1087">
        <v>1.0140797395039753</v>
      </c>
      <c r="D1013" s="1087">
        <v>0.99337991403701054</v>
      </c>
      <c r="E1013" s="1087">
        <v>1.0027900471201954</v>
      </c>
      <c r="F1013" s="1087">
        <v>1.0054227490989402</v>
      </c>
      <c r="G1013" s="1087">
        <v>1.0248474871545712</v>
      </c>
      <c r="H1013" s="1087">
        <v>1.0050656181722661</v>
      </c>
      <c r="I1013" s="1087">
        <v>0.98332773464242651</v>
      </c>
      <c r="K1013">
        <v>1.8396007938784569</v>
      </c>
      <c r="L1013">
        <v>0</v>
      </c>
      <c r="M1013">
        <v>3.5969643513196537E-3</v>
      </c>
      <c r="N1013">
        <v>0.3444615733083527</v>
      </c>
      <c r="O1013">
        <v>0.23838636128524429</v>
      </c>
      <c r="P1013">
        <v>1.3130322090621888E-2</v>
      </c>
      <c r="Q1013">
        <v>1.5705281074423693E-3</v>
      </c>
      <c r="R1013">
        <v>3.5908199633160423E-3</v>
      </c>
      <c r="S1013">
        <v>0.35632365210423866</v>
      </c>
      <c r="T1013">
        <v>0.40489444748065784</v>
      </c>
      <c r="U1013">
        <v>0</v>
      </c>
      <c r="V1013">
        <v>0.19910358744800685</v>
      </c>
      <c r="W1013">
        <v>0.21903242363367537</v>
      </c>
      <c r="X1013">
        <v>5.2931014581557717E-2</v>
      </c>
      <c r="Y1013">
        <v>9.7730282266634896E-3</v>
      </c>
    </row>
    <row r="1014" spans="1:25" x14ac:dyDescent="0.25">
      <c r="A1014" s="1083"/>
      <c r="B1014" s="1455">
        <v>764</v>
      </c>
      <c r="C1014" s="1087">
        <v>0.99224869375664371</v>
      </c>
      <c r="D1014" s="1087">
        <v>1.0137549452225154</v>
      </c>
      <c r="E1014" s="1087">
        <v>1.0238759568111142</v>
      </c>
      <c r="F1014" s="1087">
        <v>0.9650207057181992</v>
      </c>
      <c r="G1014" s="1087">
        <v>1.0311955752515818</v>
      </c>
      <c r="H1014" s="1087">
        <v>1.0241156930546227</v>
      </c>
      <c r="I1014" s="1087">
        <v>1.0105306190569407</v>
      </c>
      <c r="K1014">
        <v>1.8628168483884397</v>
      </c>
      <c r="L1014">
        <v>0</v>
      </c>
      <c r="M1014">
        <v>3.5480984653163917E-3</v>
      </c>
      <c r="N1014">
        <v>0.36235206136901793</v>
      </c>
      <c r="O1014">
        <v>0.23449896240134754</v>
      </c>
      <c r="P1014">
        <v>1.3324883609639111E-2</v>
      </c>
      <c r="Q1014">
        <v>1.6280262828852787E-3</v>
      </c>
      <c r="R1014">
        <v>3.5421331630701896E-3</v>
      </c>
      <c r="S1014">
        <v>0.3737922918785429</v>
      </c>
      <c r="T1014">
        <v>0.38874856617886644</v>
      </c>
      <c r="U1014">
        <v>0</v>
      </c>
      <c r="V1014">
        <v>0.19698618591282169</v>
      </c>
      <c r="W1014">
        <v>0.22742252960453649</v>
      </c>
      <c r="X1014">
        <v>5.4428787647035244E-2</v>
      </c>
      <c r="Y1014">
        <v>9.6405188059936649E-3</v>
      </c>
    </row>
    <row r="1015" spans="1:25" x14ac:dyDescent="0.25">
      <c r="A1015" s="1083"/>
      <c r="B1015" s="1455">
        <v>765</v>
      </c>
      <c r="C1015" s="1087">
        <v>1.0079845828204093</v>
      </c>
      <c r="D1015" s="1087">
        <v>0.99983125155250929</v>
      </c>
      <c r="E1015" s="1087">
        <v>0.98296090179653739</v>
      </c>
      <c r="F1015" s="1087">
        <v>1.0390698249259205</v>
      </c>
      <c r="G1015" s="1087">
        <v>1.0016455107822424</v>
      </c>
      <c r="H1015" s="1087">
        <v>1.003439645126464</v>
      </c>
      <c r="I1015" s="1087">
        <v>1.0089271432241476</v>
      </c>
      <c r="K1015">
        <v>1.8607626714030006</v>
      </c>
      <c r="L1015">
        <v>0</v>
      </c>
      <c r="M1015">
        <v>3.748500749506578E-3</v>
      </c>
      <c r="N1015">
        <v>0.33788300492572099</v>
      </c>
      <c r="O1015">
        <v>0.24204541259241297</v>
      </c>
      <c r="P1015">
        <v>1.3287577026740252E-2</v>
      </c>
      <c r="Q1015">
        <v>1.5428689357316358E-3</v>
      </c>
      <c r="R1015">
        <v>3.7420802617039793E-3</v>
      </c>
      <c r="S1015">
        <v>0.365942015503466</v>
      </c>
      <c r="T1015">
        <v>0.41832027773161135</v>
      </c>
      <c r="U1015">
        <v>0</v>
      </c>
      <c r="V1015">
        <v>0.20212722029975416</v>
      </c>
      <c r="W1015">
        <v>0.21754232040102128</v>
      </c>
      <c r="X1015">
        <v>5.1893685578412882E-2</v>
      </c>
      <c r="Y1015">
        <v>1.0184708895931491E-2</v>
      </c>
    </row>
    <row r="1016" spans="1:25" x14ac:dyDescent="0.25">
      <c r="A1016" s="1083"/>
      <c r="B1016" s="1455">
        <v>766</v>
      </c>
      <c r="C1016" s="1087">
        <v>0.9754112084788491</v>
      </c>
      <c r="D1016" s="1087">
        <v>1.0233188000007001</v>
      </c>
      <c r="E1016" s="1087">
        <v>0.99899152387431389</v>
      </c>
      <c r="F1016" s="1087">
        <v>1.0357580767394428</v>
      </c>
      <c r="G1016" s="1087">
        <v>1.0201100316082168</v>
      </c>
      <c r="H1016" s="1087">
        <v>1.0249705288278095</v>
      </c>
      <c r="I1016" s="1087">
        <v>1.006522119984687</v>
      </c>
      <c r="K1016">
        <v>1.9073183314757467</v>
      </c>
      <c r="L1016">
        <v>0</v>
      </c>
      <c r="M1016">
        <v>3.7822951305428666E-3</v>
      </c>
      <c r="N1016">
        <v>0.35804489491946934</v>
      </c>
      <c r="O1016">
        <v>0.24361523373992999</v>
      </c>
      <c r="P1016">
        <v>1.360709799703334E-2</v>
      </c>
      <c r="Q1016">
        <v>1.6069960080062865E-3</v>
      </c>
      <c r="R1016">
        <v>3.7759333349758248E-3</v>
      </c>
      <c r="S1016">
        <v>0.3766508570392621</v>
      </c>
      <c r="T1016">
        <v>0.41708695296100184</v>
      </c>
      <c r="U1016">
        <v>0</v>
      </c>
      <c r="V1016">
        <v>0.20427302544215661</v>
      </c>
      <c r="W1016">
        <v>0.22821026725452129</v>
      </c>
      <c r="X1016">
        <v>5.3952522108214954E-2</v>
      </c>
      <c r="Y1016">
        <v>1.0276845801714849E-2</v>
      </c>
    </row>
    <row r="1017" spans="1:25" x14ac:dyDescent="0.25">
      <c r="A1017" s="1083"/>
      <c r="B1017" s="1455">
        <v>767</v>
      </c>
      <c r="C1017" s="1087">
        <v>1.000765193399445</v>
      </c>
      <c r="D1017" s="1087">
        <v>1.0155509186099076</v>
      </c>
      <c r="E1017" s="1087">
        <v>1.0208368174524352</v>
      </c>
      <c r="F1017" s="1087">
        <v>0.99705607425811726</v>
      </c>
      <c r="G1017" s="1087">
        <v>0.9965591170879996</v>
      </c>
      <c r="H1017" s="1087">
        <v>1.0222777044731162</v>
      </c>
      <c r="I1017" s="1087">
        <v>1.0001453378377179</v>
      </c>
      <c r="K1017">
        <v>1.8644836068663588</v>
      </c>
      <c r="L1017">
        <v>0</v>
      </c>
      <c r="M1017">
        <v>3.5303709401283776E-3</v>
      </c>
      <c r="N1017">
        <v>0.357217429225692</v>
      </c>
      <c r="O1017">
        <v>0.23707009944765847</v>
      </c>
      <c r="P1017">
        <v>1.3391346161824937E-2</v>
      </c>
      <c r="Q1017">
        <v>1.6078737554711864E-3</v>
      </c>
      <c r="R1017">
        <v>3.5244236038315582E-3</v>
      </c>
      <c r="S1017">
        <v>0.36608791735524332</v>
      </c>
      <c r="T1017">
        <v>0.40163503315385202</v>
      </c>
      <c r="U1017">
        <v>0</v>
      </c>
      <c r="V1017">
        <v>0.1987364436873125</v>
      </c>
      <c r="W1017">
        <v>0.22461893608187966</v>
      </c>
      <c r="X1017">
        <v>5.4532156110020491E-2</v>
      </c>
      <c r="Y1017">
        <v>9.5923192237007474E-3</v>
      </c>
    </row>
    <row r="1018" spans="1:25" x14ac:dyDescent="0.25">
      <c r="A1018" s="1083"/>
      <c r="B1018" s="1455">
        <v>768</v>
      </c>
      <c r="C1018" s="1087">
        <v>0.99553330061252288</v>
      </c>
      <c r="D1018" s="1087">
        <v>1.0141298679315052</v>
      </c>
      <c r="E1018" s="1087">
        <v>1.030179264118634</v>
      </c>
      <c r="F1018" s="1087">
        <v>1.0202978243971748</v>
      </c>
      <c r="G1018" s="1087">
        <v>0.9810631028885245</v>
      </c>
      <c r="H1018" s="1087">
        <v>1.0115225536095105</v>
      </c>
      <c r="I1018" s="1087">
        <v>0.97982508543572133</v>
      </c>
      <c r="K1018">
        <v>1.87598342543735</v>
      </c>
      <c r="L1018">
        <v>0</v>
      </c>
      <c r="M1018">
        <v>3.4473138996756018E-3</v>
      </c>
      <c r="N1018">
        <v>0.3588759090786876</v>
      </c>
      <c r="O1018">
        <v>0.24068109449187453</v>
      </c>
      <c r="P1018">
        <v>1.3552731069311808E-2</v>
      </c>
      <c r="Q1018">
        <v>1.6331971089951613E-3</v>
      </c>
      <c r="R1018">
        <v>3.4414456305922971E-3</v>
      </c>
      <c r="S1018">
        <v>0.35900464330280379</v>
      </c>
      <c r="T1018">
        <v>0.41105608405395816</v>
      </c>
      <c r="U1018">
        <v>0</v>
      </c>
      <c r="V1018">
        <v>0.20141095506798187</v>
      </c>
      <c r="W1018">
        <v>0.22437316792081491</v>
      </c>
      <c r="X1018">
        <v>5.603503107777693E-2</v>
      </c>
      <c r="Y1018">
        <v>9.3664805342250062E-3</v>
      </c>
    </row>
    <row r="1019" spans="1:25" x14ac:dyDescent="0.25">
      <c r="A1019" s="1083"/>
      <c r="B1019" s="1455">
        <v>769</v>
      </c>
      <c r="C1019" s="1087">
        <v>0.99835539739281565</v>
      </c>
      <c r="D1019" s="1087">
        <v>1.0340199916643062</v>
      </c>
      <c r="E1019" s="1087">
        <v>1.0038492212312207</v>
      </c>
      <c r="F1019" s="1087">
        <v>0.98651999911486177</v>
      </c>
      <c r="G1019" s="1087">
        <v>1.0060061195993488</v>
      </c>
      <c r="H1019" s="1087">
        <v>0.98450124941390005</v>
      </c>
      <c r="I1019" s="1087">
        <v>1.0496144442098245</v>
      </c>
      <c r="K1019">
        <v>1.8280219320561462</v>
      </c>
      <c r="L1019">
        <v>0</v>
      </c>
      <c r="M1019">
        <v>3.4946964905455801E-3</v>
      </c>
      <c r="N1019">
        <v>0.335735876609835</v>
      </c>
      <c r="O1019">
        <v>0.23411191813145474</v>
      </c>
      <c r="P1019">
        <v>1.3250808189740509E-2</v>
      </c>
      <c r="Q1019">
        <v>1.5716525537834002E-3</v>
      </c>
      <c r="R1019">
        <v>3.4885679265865719E-3</v>
      </c>
      <c r="S1019">
        <v>0.37403362268726814</v>
      </c>
      <c r="T1019">
        <v>0.3972884548956086</v>
      </c>
      <c r="U1019">
        <v>0</v>
      </c>
      <c r="V1019">
        <v>0.1970464264883022</v>
      </c>
      <c r="W1019">
        <v>0.21334313979332586</v>
      </c>
      <c r="X1019">
        <v>5.2151429380725825E-2</v>
      </c>
      <c r="Y1019">
        <v>9.4947318900607206E-3</v>
      </c>
    </row>
    <row r="1020" spans="1:25" x14ac:dyDescent="0.25">
      <c r="A1020" s="1083"/>
      <c r="B1020" s="1455">
        <v>770</v>
      </c>
      <c r="C1020" s="1087">
        <v>0.98719609749225501</v>
      </c>
      <c r="D1020" s="1087">
        <v>0.97319686757608337</v>
      </c>
      <c r="E1020" s="1087">
        <v>1.0285449424205644</v>
      </c>
      <c r="F1020" s="1087">
        <v>0.99461231917142023</v>
      </c>
      <c r="G1020" s="1087">
        <v>1.0278788266486463</v>
      </c>
      <c r="H1020" s="1087">
        <v>1.015588501802164</v>
      </c>
      <c r="I1020" s="1087">
        <v>1.0054418848972821</v>
      </c>
      <c r="K1020">
        <v>1.9113533164160232</v>
      </c>
      <c r="L1020">
        <v>0</v>
      </c>
      <c r="M1020">
        <v>3.5807933358729346E-3</v>
      </c>
      <c r="N1020">
        <v>0.370927062420503</v>
      </c>
      <c r="O1020">
        <v>0.2427615745335796</v>
      </c>
      <c r="P1020">
        <v>1.3708609093862923E-2</v>
      </c>
      <c r="Q1020">
        <v>1.6714875260874017E-3</v>
      </c>
      <c r="R1020">
        <v>3.5747569365792695E-3</v>
      </c>
      <c r="S1020">
        <v>0.38081336323249965</v>
      </c>
      <c r="T1020">
        <v>0.40069789422855151</v>
      </c>
      <c r="U1020">
        <v>0</v>
      </c>
      <c r="V1020">
        <v>0.20229739436174676</v>
      </c>
      <c r="W1020">
        <v>0.23213945733840571</v>
      </c>
      <c r="X1020">
        <v>5.661320011701771E-2</v>
      </c>
      <c r="Y1020">
        <v>9.729309963061334E-3</v>
      </c>
    </row>
    <row r="1021" spans="1:25" x14ac:dyDescent="0.25">
      <c r="A1021" s="1083"/>
      <c r="B1021" s="1455">
        <v>771</v>
      </c>
      <c r="C1021" s="1087">
        <v>0.98707268120516845</v>
      </c>
      <c r="D1021" s="1087">
        <v>0.9712426786615258</v>
      </c>
      <c r="E1021" s="1087">
        <v>1.0226623908692007</v>
      </c>
      <c r="F1021" s="1087">
        <v>0.98072359001230569</v>
      </c>
      <c r="G1021" s="1087">
        <v>0.99676978682927209</v>
      </c>
      <c r="H1021" s="1087">
        <v>1.0016351991067967</v>
      </c>
      <c r="I1021" s="1087">
        <v>0.97901766298023896</v>
      </c>
      <c r="K1021">
        <v>1.8790975489164445</v>
      </c>
      <c r="L1021">
        <v>0</v>
      </c>
      <c r="M1021">
        <v>3.5783310330899805E-3</v>
      </c>
      <c r="N1021">
        <v>0.36408087030994746</v>
      </c>
      <c r="O1021">
        <v>0.24117082147022212</v>
      </c>
      <c r="P1021">
        <v>1.3386672499712095E-2</v>
      </c>
      <c r="Q1021">
        <v>1.6627233437487743E-3</v>
      </c>
      <c r="R1021">
        <v>3.5722155902747099E-3</v>
      </c>
      <c r="S1021">
        <v>0.36861872303176785</v>
      </c>
      <c r="T1021">
        <v>0.39506698085808056</v>
      </c>
      <c r="U1021">
        <v>0</v>
      </c>
      <c r="V1021">
        <v>0.20114631255197166</v>
      </c>
      <c r="W1021">
        <v>0.2286779138637749</v>
      </c>
      <c r="X1021">
        <v>5.5570253173857331E-2</v>
      </c>
      <c r="Y1021">
        <v>9.7223932561749087E-3</v>
      </c>
    </row>
    <row r="1022" spans="1:25" x14ac:dyDescent="0.25">
      <c r="A1022" s="1083"/>
      <c r="B1022" s="1455">
        <v>772</v>
      </c>
      <c r="C1022" s="1087">
        <v>1.0094371063908982</v>
      </c>
      <c r="D1022" s="1087">
        <v>0.98948386822723378</v>
      </c>
      <c r="E1022" s="1087">
        <v>0.97783435669334939</v>
      </c>
      <c r="F1022" s="1087">
        <v>1.0394383021744984</v>
      </c>
      <c r="G1022" s="1087">
        <v>0.9707419116435162</v>
      </c>
      <c r="H1022" s="1087">
        <v>1.0049241127728501</v>
      </c>
      <c r="I1022" s="1087">
        <v>1.0366894315972661</v>
      </c>
      <c r="K1022">
        <v>1.875128701740604</v>
      </c>
      <c r="L1022">
        <v>0</v>
      </c>
      <c r="M1022">
        <v>3.8096663635595429E-3</v>
      </c>
      <c r="N1022">
        <v>0.3380600224392073</v>
      </c>
      <c r="O1022">
        <v>0.24290270255760357</v>
      </c>
      <c r="P1022">
        <v>1.3403190025571757E-2</v>
      </c>
      <c r="Q1022">
        <v>1.5385591472913125E-3</v>
      </c>
      <c r="R1022">
        <v>3.8031607249983156E-3</v>
      </c>
      <c r="S1022">
        <v>0.37787176341675238</v>
      </c>
      <c r="T1022">
        <v>0.41843679108032356</v>
      </c>
      <c r="U1022">
        <v>0</v>
      </c>
      <c r="V1022">
        <v>0.20253994408431086</v>
      </c>
      <c r="W1022">
        <v>0.21836501599409164</v>
      </c>
      <c r="X1022">
        <v>5.1666268852163286E-2</v>
      </c>
      <c r="Y1022">
        <v>1.0350949781849361E-2</v>
      </c>
    </row>
    <row r="1023" spans="1:25" x14ac:dyDescent="0.25">
      <c r="A1023" s="1083"/>
      <c r="B1023" s="1455">
        <v>773</v>
      </c>
      <c r="C1023" s="1087">
        <v>0.98592191716644473</v>
      </c>
      <c r="D1023" s="1087">
        <v>0.97476122109427266</v>
      </c>
      <c r="E1023" s="1087">
        <v>1.0282978093419788</v>
      </c>
      <c r="F1023" s="1087">
        <v>1.0175292385829686</v>
      </c>
      <c r="G1023" s="1087">
        <v>1.0197802996571568</v>
      </c>
      <c r="H1023" s="1087">
        <v>1.0372610849797743</v>
      </c>
      <c r="I1023" s="1087">
        <v>0.97751742734910996</v>
      </c>
      <c r="K1023">
        <v>1.9330518512783621</v>
      </c>
      <c r="L1023">
        <v>0</v>
      </c>
      <c r="M1023">
        <v>3.6611345483528201E-3</v>
      </c>
      <c r="N1023">
        <v>0.37897744186300825</v>
      </c>
      <c r="O1023">
        <v>0.24553375105261244</v>
      </c>
      <c r="P1023">
        <v>1.3773583174435606E-2</v>
      </c>
      <c r="Q1023">
        <v>1.6721388112976143E-3</v>
      </c>
      <c r="R1023">
        <v>3.6550911620431919E-3</v>
      </c>
      <c r="S1023">
        <v>0.37436390460812746</v>
      </c>
      <c r="T1023">
        <v>0.40992884341666308</v>
      </c>
      <c r="U1023">
        <v>0</v>
      </c>
      <c r="V1023">
        <v>0.20435806446727375</v>
      </c>
      <c r="W1023">
        <v>0.23721352776379354</v>
      </c>
      <c r="X1023">
        <v>5.7288686264854422E-2</v>
      </c>
      <c r="Y1023">
        <v>9.9479532426038231E-3</v>
      </c>
    </row>
    <row r="1024" spans="1:25" x14ac:dyDescent="0.25">
      <c r="A1024" s="1083"/>
      <c r="B1024" s="1455">
        <v>774</v>
      </c>
      <c r="C1024" s="1087">
        <v>0.99134398012647884</v>
      </c>
      <c r="D1024" s="1087">
        <v>1.0052892281757313</v>
      </c>
      <c r="E1024" s="1087">
        <v>0.99635352688877188</v>
      </c>
      <c r="F1024" s="1087">
        <v>0.98488352617941999</v>
      </c>
      <c r="G1024" s="1087">
        <v>1.0071226607954358</v>
      </c>
      <c r="H1024" s="1087">
        <v>1.0393443845883459</v>
      </c>
      <c r="I1024" s="1087">
        <v>0.97174546300763487</v>
      </c>
      <c r="K1024">
        <v>1.8638737843726096</v>
      </c>
      <c r="L1024">
        <v>0</v>
      </c>
      <c r="M1024">
        <v>3.8307313860223287E-3</v>
      </c>
      <c r="N1024">
        <v>0.35973183371643719</v>
      </c>
      <c r="O1024">
        <v>0.23742253698047944</v>
      </c>
      <c r="P1024">
        <v>1.3056527498968276E-2</v>
      </c>
      <c r="Q1024">
        <v>1.5879757622257202E-3</v>
      </c>
      <c r="R1024">
        <v>3.8243930728409882E-3</v>
      </c>
      <c r="S1024">
        <v>0.36384290329011615</v>
      </c>
      <c r="T1024">
        <v>0.39658468500727195</v>
      </c>
      <c r="U1024">
        <v>0</v>
      </c>
      <c r="V1024">
        <v>0.19908962834240096</v>
      </c>
      <c r="W1024">
        <v>0.22966438836498726</v>
      </c>
      <c r="X1024">
        <v>5.2490906489468123E-2</v>
      </c>
      <c r="Y1024">
        <v>1.0408737233435531E-2</v>
      </c>
    </row>
    <row r="1025" spans="1:25" x14ac:dyDescent="0.25">
      <c r="A1025" s="1083"/>
      <c r="B1025" s="1455">
        <v>775</v>
      </c>
      <c r="C1025" s="1087">
        <v>0.960063874602199</v>
      </c>
      <c r="D1025" s="1087">
        <v>1.0042876001361722</v>
      </c>
      <c r="E1025" s="1087">
        <v>0.99974093117862439</v>
      </c>
      <c r="F1025" s="1087">
        <v>0.97583462817779831</v>
      </c>
      <c r="G1025" s="1087">
        <v>0.99280518400379669</v>
      </c>
      <c r="H1025" s="1087">
        <v>1.0243753449452093</v>
      </c>
      <c r="I1025" s="1087">
        <v>1.0363451109953057</v>
      </c>
      <c r="K1025">
        <v>1.91393373886967</v>
      </c>
      <c r="L1025">
        <v>0</v>
      </c>
      <c r="M1025">
        <v>3.8729397293459111E-3</v>
      </c>
      <c r="N1025">
        <v>0.36746621968784121</v>
      </c>
      <c r="O1025">
        <v>0.24030149433188519</v>
      </c>
      <c r="P1025">
        <v>1.3543035977122347E-2</v>
      </c>
      <c r="Q1025">
        <v>1.6463056627564925E-3</v>
      </c>
      <c r="R1025">
        <v>3.8664374925298883E-3</v>
      </c>
      <c r="S1025">
        <v>0.39797062028662605</v>
      </c>
      <c r="T1025">
        <v>0.39296095124539721</v>
      </c>
      <c r="U1025">
        <v>0</v>
      </c>
      <c r="V1025">
        <v>0.20182027208669609</v>
      </c>
      <c r="W1025">
        <v>0.23410552395384204</v>
      </c>
      <c r="X1025">
        <v>5.3602649590428382E-2</v>
      </c>
      <c r="Y1025">
        <v>1.0523168283889491E-2</v>
      </c>
    </row>
    <row r="1026" spans="1:25" x14ac:dyDescent="0.25">
      <c r="A1026" s="1083"/>
      <c r="B1026" s="1455">
        <v>776</v>
      </c>
      <c r="C1026" s="1087">
        <v>1.0004681533220998</v>
      </c>
      <c r="D1026" s="1087">
        <v>1.0007427970432896</v>
      </c>
      <c r="E1026" s="1087">
        <v>1.00702089049947</v>
      </c>
      <c r="F1026" s="1087">
        <v>1.0341571054160592</v>
      </c>
      <c r="G1026" s="1087">
        <v>0.97921792842718325</v>
      </c>
      <c r="H1026" s="1087">
        <v>1.0052815190971345</v>
      </c>
      <c r="I1026" s="1087">
        <v>1.0173007707108548</v>
      </c>
      <c r="K1026">
        <v>1.8840549609779893</v>
      </c>
      <c r="L1026">
        <v>0</v>
      </c>
      <c r="M1026">
        <v>3.6006325659412924E-3</v>
      </c>
      <c r="N1026">
        <v>0.34929154233244758</v>
      </c>
      <c r="O1026">
        <v>0.24267464448685544</v>
      </c>
      <c r="P1026">
        <v>1.3596774607128841E-2</v>
      </c>
      <c r="Q1026">
        <v>1.5943537199417698E-3</v>
      </c>
      <c r="R1026">
        <v>3.5944765006098475E-3</v>
      </c>
      <c r="S1026">
        <v>0.3722029951883265</v>
      </c>
      <c r="T1026">
        <v>0.41649268198067757</v>
      </c>
      <c r="U1026">
        <v>0</v>
      </c>
      <c r="V1026">
        <v>0.20262321674410935</v>
      </c>
      <c r="W1026">
        <v>0.22151944480556349</v>
      </c>
      <c r="X1026">
        <v>5.4282483062469238E-2</v>
      </c>
      <c r="Y1026">
        <v>9.7829801158000346E-3</v>
      </c>
    </row>
    <row r="1027" spans="1:25" x14ac:dyDescent="0.25">
      <c r="A1027" s="1083"/>
      <c r="B1027" s="1455">
        <v>777</v>
      </c>
      <c r="C1027" s="1087">
        <v>0.97465638070237015</v>
      </c>
      <c r="D1027" s="1087">
        <v>1.014352449362081</v>
      </c>
      <c r="E1027" s="1087">
        <v>1.0284280949648688</v>
      </c>
      <c r="F1027" s="1087">
        <v>1.0219694105544079</v>
      </c>
      <c r="G1027" s="1087">
        <v>0.99261693132222606</v>
      </c>
      <c r="H1027" s="1087">
        <v>0.97567166094935343</v>
      </c>
      <c r="I1027" s="1087">
        <v>1.0089197447700367</v>
      </c>
      <c r="K1027">
        <v>1.884679089912553</v>
      </c>
      <c r="L1027">
        <v>0</v>
      </c>
      <c r="M1027">
        <v>3.4086167146947567E-3</v>
      </c>
      <c r="N1027">
        <v>0.35293812391242602</v>
      </c>
      <c r="O1027">
        <v>0.24344706417243553</v>
      </c>
      <c r="P1027">
        <v>1.3743742514449901E-2</v>
      </c>
      <c r="Q1027">
        <v>1.6649702622170757E-3</v>
      </c>
      <c r="R1027">
        <v>3.4026016701843458E-3</v>
      </c>
      <c r="S1027">
        <v>0.37085311884541955</v>
      </c>
      <c r="T1027">
        <v>0.41171846446791549</v>
      </c>
      <c r="U1027">
        <v>0</v>
      </c>
      <c r="V1027">
        <v>0.20384450243468191</v>
      </c>
      <c r="W1027">
        <v>0.2208971206724554</v>
      </c>
      <c r="X1027">
        <v>5.6317237596159253E-2</v>
      </c>
      <c r="Y1027">
        <v>9.2607600789026689E-3</v>
      </c>
    </row>
    <row r="1028" spans="1:25" x14ac:dyDescent="0.25">
      <c r="A1028" s="1083"/>
      <c r="B1028" s="1455">
        <v>778</v>
      </c>
      <c r="C1028" s="1087">
        <v>1.0127097106579144</v>
      </c>
      <c r="D1028" s="1087">
        <v>0.96135625245596401</v>
      </c>
      <c r="E1028" s="1087">
        <v>0.99563709551612734</v>
      </c>
      <c r="F1028" s="1087">
        <v>0.99297117860861317</v>
      </c>
      <c r="G1028" s="1087">
        <v>0.99271941552411302</v>
      </c>
      <c r="H1028" s="1087">
        <v>0.98990452095350712</v>
      </c>
      <c r="I1028" s="1087">
        <v>1.0073678176936358</v>
      </c>
      <c r="K1028">
        <v>1.8492223184187573</v>
      </c>
      <c r="L1028">
        <v>0</v>
      </c>
      <c r="M1028">
        <v>3.6640002518231298E-3</v>
      </c>
      <c r="N1028">
        <v>0.34329827080068642</v>
      </c>
      <c r="O1028">
        <v>0.24021218025910124</v>
      </c>
      <c r="P1028">
        <v>1.3179358954974815E-2</v>
      </c>
      <c r="Q1028">
        <v>1.5812979399306083E-3</v>
      </c>
      <c r="R1028">
        <v>3.6576745048670571E-3</v>
      </c>
      <c r="S1028">
        <v>0.36935894719230172</v>
      </c>
      <c r="T1028">
        <v>0.39983705527645158</v>
      </c>
      <c r="U1028">
        <v>0</v>
      </c>
      <c r="V1028">
        <v>0.19986713038554907</v>
      </c>
      <c r="W1028">
        <v>0.21927110175198916</v>
      </c>
      <c r="X1028">
        <v>5.2668317354555669E-2</v>
      </c>
      <c r="Y1028">
        <v>9.9549842501716525E-3</v>
      </c>
    </row>
    <row r="1029" spans="1:25" x14ac:dyDescent="0.25">
      <c r="A1029" s="1083"/>
      <c r="B1029" s="1455">
        <v>779</v>
      </c>
      <c r="C1029" s="1087">
        <v>0.98422061313075604</v>
      </c>
      <c r="D1029" s="1087">
        <v>0.99067489181299462</v>
      </c>
      <c r="E1029" s="1087">
        <v>0.98933614645929557</v>
      </c>
      <c r="F1029" s="1087">
        <v>0.99675345158602213</v>
      </c>
      <c r="G1029" s="1087">
        <v>0.98716010111412511</v>
      </c>
      <c r="H1029" s="1087">
        <v>1.0144256313164217</v>
      </c>
      <c r="I1029" s="1087">
        <v>0.96338296391044875</v>
      </c>
      <c r="K1029">
        <v>1.8641803042715579</v>
      </c>
      <c r="L1029">
        <v>0</v>
      </c>
      <c r="M1029">
        <v>3.8506414967883667E-3</v>
      </c>
      <c r="N1029">
        <v>0.35392305728162149</v>
      </c>
      <c r="O1029">
        <v>0.24105327185226025</v>
      </c>
      <c r="P1029">
        <v>1.3058130247916237E-2</v>
      </c>
      <c r="Q1029">
        <v>1.5968356787022576E-3</v>
      </c>
      <c r="R1029">
        <v>3.8441270651235729E-3</v>
      </c>
      <c r="S1029">
        <v>0.36175192421718139</v>
      </c>
      <c r="T1029">
        <v>0.4013222027346538</v>
      </c>
      <c r="U1029">
        <v>0</v>
      </c>
      <c r="V1029">
        <v>0.20162720605869053</v>
      </c>
      <c r="W1029">
        <v>0.2269541599104517</v>
      </c>
      <c r="X1029">
        <v>5.243758406662323E-2</v>
      </c>
      <c r="Y1029">
        <v>1.0462446655119915E-2</v>
      </c>
    </row>
    <row r="1030" spans="1:25" x14ac:dyDescent="0.25">
      <c r="A1030" s="1083"/>
      <c r="B1030" s="1455">
        <v>780</v>
      </c>
      <c r="C1030" s="1087">
        <v>0.99130964962950463</v>
      </c>
      <c r="D1030" s="1087">
        <v>1.0014325215149154</v>
      </c>
      <c r="E1030" s="1087">
        <v>1.0310168849862997</v>
      </c>
      <c r="F1030" s="1087">
        <v>1.0187921754783114</v>
      </c>
      <c r="G1030" s="1087">
        <v>0.97192902527436587</v>
      </c>
      <c r="H1030" s="1087">
        <v>1.0223275223870925</v>
      </c>
      <c r="I1030" s="1087">
        <v>1.0009824741269928</v>
      </c>
      <c r="K1030">
        <v>1.9062010955174744</v>
      </c>
      <c r="L1030">
        <v>0</v>
      </c>
      <c r="M1030">
        <v>3.5170975124295084E-3</v>
      </c>
      <c r="N1030">
        <v>0.36708337514403838</v>
      </c>
      <c r="O1030">
        <v>0.2423215091926143</v>
      </c>
      <c r="P1030">
        <v>1.3760775965511524E-2</v>
      </c>
      <c r="Q1030">
        <v>1.6498914975557201E-3</v>
      </c>
      <c r="R1030">
        <v>3.5111846521149099E-3</v>
      </c>
      <c r="S1030">
        <v>0.37289851831287224</v>
      </c>
      <c r="T1030">
        <v>0.41045477155244575</v>
      </c>
      <c r="U1030">
        <v>0</v>
      </c>
      <c r="V1030">
        <v>0.20243047893894514</v>
      </c>
      <c r="W1030">
        <v>0.22938720465693016</v>
      </c>
      <c r="X1030">
        <v>5.6664195955527429E-2</v>
      </c>
      <c r="Y1030">
        <v>9.5562871613472915E-3</v>
      </c>
    </row>
    <row r="1031" spans="1:25" x14ac:dyDescent="0.25">
      <c r="A1031" s="1083"/>
      <c r="B1031" s="1455">
        <v>781</v>
      </c>
      <c r="C1031" s="1087">
        <v>1.0159321522616473</v>
      </c>
      <c r="D1031" s="1087">
        <v>1.0178669579166233</v>
      </c>
      <c r="E1031" s="1087">
        <v>0.99111080486267589</v>
      </c>
      <c r="F1031" s="1087">
        <v>1.0108264355667902</v>
      </c>
      <c r="G1031" s="1087">
        <v>0.97858505573367038</v>
      </c>
      <c r="H1031" s="1087">
        <v>1.0052019372147489</v>
      </c>
      <c r="I1031" s="1087">
        <v>1.0037615890892779</v>
      </c>
      <c r="K1031">
        <v>1.8252475242896311</v>
      </c>
      <c r="L1031">
        <v>0</v>
      </c>
      <c r="M1031">
        <v>3.6289776258902513E-3</v>
      </c>
      <c r="N1031">
        <v>0.33535441864277926</v>
      </c>
      <c r="O1031">
        <v>0.2361738664030319</v>
      </c>
      <c r="P1031">
        <v>1.3053315491409201E-2</v>
      </c>
      <c r="Q1031">
        <v>1.5332376208756404E-3</v>
      </c>
      <c r="R1031">
        <v>3.6227571125578479E-3</v>
      </c>
      <c r="S1031">
        <v>0.35806876455320868</v>
      </c>
      <c r="T1031">
        <v>0.40699919261809658</v>
      </c>
      <c r="U1031">
        <v>0</v>
      </c>
      <c r="V1031">
        <v>0.19799306415855816</v>
      </c>
      <c r="W1031">
        <v>0.21480688586938668</v>
      </c>
      <c r="X1031">
        <v>5.1411048826795917E-2</v>
      </c>
      <c r="Y1031">
        <v>9.8599506188212661E-3</v>
      </c>
    </row>
    <row r="1032" spans="1:25" x14ac:dyDescent="0.25">
      <c r="A1032" s="1083"/>
      <c r="B1032" s="1455">
        <v>782</v>
      </c>
      <c r="C1032" s="1087">
        <v>0.98613178652084788</v>
      </c>
      <c r="D1032" s="1087">
        <v>0.98537569986026385</v>
      </c>
      <c r="E1032" s="1087">
        <v>0.98241034491148127</v>
      </c>
      <c r="F1032" s="1087">
        <v>0.97229044109419982</v>
      </c>
      <c r="G1032" s="1087">
        <v>1.0192025305766241</v>
      </c>
      <c r="H1032" s="1087">
        <v>0.97670465407093876</v>
      </c>
      <c r="I1032" s="1087">
        <v>0.95551382444197408</v>
      </c>
      <c r="K1032">
        <v>1.8137920177900475</v>
      </c>
      <c r="L1032">
        <v>0</v>
      </c>
      <c r="M1032">
        <v>3.763050014785249E-3</v>
      </c>
      <c r="N1032">
        <v>0.33860961326994932</v>
      </c>
      <c r="O1032">
        <v>0.23826033819216014</v>
      </c>
      <c r="P1032">
        <v>1.2701997366179671E-2</v>
      </c>
      <c r="Q1032">
        <v>1.5853342089413086E-3</v>
      </c>
      <c r="R1032">
        <v>3.7564414879911576E-3</v>
      </c>
      <c r="S1032">
        <v>0.35237484414780113</v>
      </c>
      <c r="T1032">
        <v>0.39143228810648278</v>
      </c>
      <c r="U1032">
        <v>0</v>
      </c>
      <c r="V1032">
        <v>0.19950349946204379</v>
      </c>
      <c r="W1032">
        <v>0.21808613328280416</v>
      </c>
      <c r="X1032">
        <v>5.1020782860770948E-2</v>
      </c>
      <c r="Y1032">
        <v>1.0223795419708219E-2</v>
      </c>
    </row>
    <row r="1033" spans="1:25" x14ac:dyDescent="0.25">
      <c r="A1033" s="1083"/>
      <c r="B1033" s="1455">
        <v>783</v>
      </c>
      <c r="C1033" s="1087">
        <v>0.9955361880700776</v>
      </c>
      <c r="D1033" s="1087">
        <v>0.98292939756978781</v>
      </c>
      <c r="E1033" s="1087">
        <v>1.0169749347403469</v>
      </c>
      <c r="F1033" s="1087">
        <v>0.97544524416801537</v>
      </c>
      <c r="G1033" s="1087">
        <v>1.0344676615129171</v>
      </c>
      <c r="H1033" s="1087">
        <v>0.97419740778196917</v>
      </c>
      <c r="I1033" s="1087">
        <v>1.0000801898525449</v>
      </c>
      <c r="K1033">
        <v>1.8400091671846033</v>
      </c>
      <c r="L1033">
        <v>0</v>
      </c>
      <c r="M1033">
        <v>3.4690544446279552E-3</v>
      </c>
      <c r="N1033">
        <v>0.34688012486427799</v>
      </c>
      <c r="O1033">
        <v>0.23825785264522634</v>
      </c>
      <c r="P1033">
        <v>1.3233749071956876E-2</v>
      </c>
      <c r="Q1033">
        <v>1.6309062536713393E-3</v>
      </c>
      <c r="R1033">
        <v>3.4629490999221646E-3</v>
      </c>
      <c r="S1033">
        <v>0.36577851941716982</v>
      </c>
      <c r="T1033">
        <v>0.39290661033607416</v>
      </c>
      <c r="U1033">
        <v>0</v>
      </c>
      <c r="V1033">
        <v>0.1991066694980122</v>
      </c>
      <c r="W1033">
        <v>0.21863834276238134</v>
      </c>
      <c r="X1033">
        <v>5.4157491791412979E-2</v>
      </c>
      <c r="Y1033">
        <v>9.4250058891241443E-3</v>
      </c>
    </row>
    <row r="1034" spans="1:25" x14ac:dyDescent="0.25">
      <c r="A1034" s="1083"/>
      <c r="B1034" s="1455">
        <v>784</v>
      </c>
      <c r="C1034" s="1087">
        <v>1.0116077174913933</v>
      </c>
      <c r="D1034" s="1087">
        <v>1.0044166953477269</v>
      </c>
      <c r="E1034" s="1087">
        <v>1.0036133645227221</v>
      </c>
      <c r="F1034" s="1087">
        <v>1.0081225426619027</v>
      </c>
      <c r="G1034" s="1087">
        <v>0.98579962283995226</v>
      </c>
      <c r="H1034" s="1087">
        <v>1.0098075254412859</v>
      </c>
      <c r="I1034" s="1087">
        <v>0.98049020568271616</v>
      </c>
      <c r="K1034">
        <v>1.8396049172290454</v>
      </c>
      <c r="L1034">
        <v>0</v>
      </c>
      <c r="M1034">
        <v>3.5950078593073101E-3</v>
      </c>
      <c r="N1034">
        <v>0.34514192843960834</v>
      </c>
      <c r="O1034">
        <v>0.23790154977139213</v>
      </c>
      <c r="P1034">
        <v>1.3131508239014229E-2</v>
      </c>
      <c r="Q1034">
        <v>1.5687966230600596E-3</v>
      </c>
      <c r="R1034">
        <v>3.588885942647117E-3</v>
      </c>
      <c r="S1034">
        <v>0.35482563318492771</v>
      </c>
      <c r="T1034">
        <v>0.40598672366771094</v>
      </c>
      <c r="U1034">
        <v>0</v>
      </c>
      <c r="V1034">
        <v>0.19900881799893705</v>
      </c>
      <c r="W1034">
        <v>0.21935244190968378</v>
      </c>
      <c r="X1034">
        <v>5.2925874851419398E-2</v>
      </c>
      <c r="Y1034">
        <v>9.7677644599524181E-3</v>
      </c>
    </row>
    <row r="1035" spans="1:25" x14ac:dyDescent="0.25">
      <c r="A1035" s="1083"/>
      <c r="B1035" s="1455">
        <v>785</v>
      </c>
      <c r="C1035" s="1087">
        <v>1.0256198002826196</v>
      </c>
      <c r="D1035" s="1087">
        <v>1.0278914724934154</v>
      </c>
      <c r="E1035" s="1087">
        <v>1.0014895468562697</v>
      </c>
      <c r="F1035" s="1087">
        <v>1.0146311971801509</v>
      </c>
      <c r="G1035" s="1087">
        <v>0.97180459645714989</v>
      </c>
      <c r="H1035" s="1087">
        <v>0.97346459435816413</v>
      </c>
      <c r="I1035" s="1087">
        <v>1.0336057788569672</v>
      </c>
      <c r="K1035">
        <v>1.8022890430605611</v>
      </c>
      <c r="L1035">
        <v>0</v>
      </c>
      <c r="M1035">
        <v>3.3892423322997105E-3</v>
      </c>
      <c r="N1035">
        <v>0.32326285189468501</v>
      </c>
      <c r="O1035">
        <v>0.23460006270576503</v>
      </c>
      <c r="P1035">
        <v>1.3154849534077645E-2</v>
      </c>
      <c r="Q1035">
        <v>1.5296691037462733E-3</v>
      </c>
      <c r="R1035">
        <v>3.3832335386287837E-3</v>
      </c>
      <c r="S1035">
        <v>0.35761913856644656</v>
      </c>
      <c r="T1035">
        <v>0.40859478018299972</v>
      </c>
      <c r="U1035">
        <v>0</v>
      </c>
      <c r="V1035">
        <v>0.19683366184081649</v>
      </c>
      <c r="W1035">
        <v>0.20571964221542574</v>
      </c>
      <c r="X1035">
        <v>5.1772349400758623E-2</v>
      </c>
      <c r="Y1035">
        <v>9.2080464095112783E-3</v>
      </c>
    </row>
    <row r="1036" spans="1:25" x14ac:dyDescent="0.25">
      <c r="A1036" s="1083"/>
      <c r="B1036" s="1455">
        <v>786</v>
      </c>
      <c r="C1036" s="1087">
        <v>1.0172219911330784</v>
      </c>
      <c r="D1036" s="1087">
        <v>1.0103171327408687</v>
      </c>
      <c r="E1036" s="1087">
        <v>1.0002735908708185</v>
      </c>
      <c r="F1036" s="1087">
        <v>1.0282092435385493</v>
      </c>
      <c r="G1036" s="1087">
        <v>1.0153936836112007</v>
      </c>
      <c r="H1036" s="1087">
        <v>1.0056004675940653</v>
      </c>
      <c r="I1036" s="1087">
        <v>1.0260737507172286</v>
      </c>
      <c r="K1036">
        <v>1.85307613089596</v>
      </c>
      <c r="L1036">
        <v>0</v>
      </c>
      <c r="M1036">
        <v>3.5725013328326118E-3</v>
      </c>
      <c r="N1036">
        <v>0.3395007215223535</v>
      </c>
      <c r="O1036">
        <v>0.23886475862547218</v>
      </c>
      <c r="P1036">
        <v>1.3388636447212844E-2</v>
      </c>
      <c r="Q1036">
        <v>1.550963269927185E-3</v>
      </c>
      <c r="R1036">
        <v>3.5663858024646542E-3</v>
      </c>
      <c r="S1036">
        <v>0.36722997695754889</v>
      </c>
      <c r="T1036">
        <v>0.41405511661300615</v>
      </c>
      <c r="U1036">
        <v>0</v>
      </c>
      <c r="V1036">
        <v>0.1997653224932856</v>
      </c>
      <c r="W1036">
        <v>0.21621728083235989</v>
      </c>
      <c r="X1036">
        <v>5.2802943169615979E-2</v>
      </c>
      <c r="Y1036">
        <v>9.7065264955449732E-3</v>
      </c>
    </row>
    <row r="1037" spans="1:25" x14ac:dyDescent="0.25">
      <c r="A1037" s="1083"/>
      <c r="B1037" s="1455">
        <v>787</v>
      </c>
      <c r="C1037" s="1087">
        <v>0.96806429710762165</v>
      </c>
      <c r="D1037" s="1087">
        <v>0.98205293392790172</v>
      </c>
      <c r="E1037" s="1087">
        <v>0.99556173299710882</v>
      </c>
      <c r="F1037" s="1087">
        <v>0.96098999097873161</v>
      </c>
      <c r="G1037" s="1087">
        <v>0.984788275100698</v>
      </c>
      <c r="H1037" s="1087">
        <v>0.99586251669768355</v>
      </c>
      <c r="I1037" s="1087">
        <v>1.0050846719258746</v>
      </c>
      <c r="K1037">
        <v>1.8721651996747835</v>
      </c>
      <c r="L1037">
        <v>0</v>
      </c>
      <c r="M1037">
        <v>3.8105080046559139E-3</v>
      </c>
      <c r="N1037">
        <v>0.35694471174665288</v>
      </c>
      <c r="O1037">
        <v>0.2395459714681058</v>
      </c>
      <c r="P1037">
        <v>1.3187258610078651E-2</v>
      </c>
      <c r="Q1037">
        <v>1.640058366420017E-3</v>
      </c>
      <c r="R1037">
        <v>3.8039456564259253E-3</v>
      </c>
      <c r="S1037">
        <v>0.38201293920213419</v>
      </c>
      <c r="T1037">
        <v>0.38695883833384342</v>
      </c>
      <c r="U1037">
        <v>0</v>
      </c>
      <c r="V1037">
        <v>0.20072369904918405</v>
      </c>
      <c r="W1037">
        <v>0.22799811319543384</v>
      </c>
      <c r="X1037">
        <v>5.2807085944715865E-2</v>
      </c>
      <c r="Y1037">
        <v>1.0353086106442741E-2</v>
      </c>
    </row>
    <row r="1038" spans="1:25" x14ac:dyDescent="0.25">
      <c r="A1038" s="1083"/>
      <c r="B1038" s="1455">
        <v>788</v>
      </c>
      <c r="C1038" s="1087">
        <v>0.95815764220322752</v>
      </c>
      <c r="D1038" s="1087">
        <v>1.0104410070593821</v>
      </c>
      <c r="E1038" s="1087">
        <v>0.99940698563320574</v>
      </c>
      <c r="F1038" s="1087">
        <v>0.99841639721107422</v>
      </c>
      <c r="G1038" s="1087">
        <v>0.97489804796786605</v>
      </c>
      <c r="H1038" s="1087">
        <v>0.96577241607081177</v>
      </c>
      <c r="I1038" s="1087">
        <v>1.0339602967197516</v>
      </c>
      <c r="K1038">
        <v>1.8786007050340119</v>
      </c>
      <c r="L1038">
        <v>0</v>
      </c>
      <c r="M1038">
        <v>3.6499032021749017E-3</v>
      </c>
      <c r="N1038">
        <v>0.34591597437439031</v>
      </c>
      <c r="O1038">
        <v>0.24270392358220161</v>
      </c>
      <c r="P1038">
        <v>1.3514351089180462E-2</v>
      </c>
      <c r="Q1038">
        <v>1.6449697358194399E-3</v>
      </c>
      <c r="R1038">
        <v>3.6433994880421625E-3</v>
      </c>
      <c r="S1038">
        <v>0.38513713905769142</v>
      </c>
      <c r="T1038">
        <v>0.40205243290799192</v>
      </c>
      <c r="U1038">
        <v>0</v>
      </c>
      <c r="V1038">
        <v>0.2037086795727644</v>
      </c>
      <c r="W1038">
        <v>0.22042228771046626</v>
      </c>
      <c r="X1038">
        <v>5.3591318357506919E-2</v>
      </c>
      <c r="Y1038">
        <v>9.9161323601323209E-3</v>
      </c>
    </row>
    <row r="1039" spans="1:25" x14ac:dyDescent="0.25">
      <c r="A1039" s="1083"/>
      <c r="B1039" s="1455">
        <v>789</v>
      </c>
      <c r="C1039" s="1087">
        <v>0.95571794047529013</v>
      </c>
      <c r="D1039" s="1087">
        <v>0.97856234450996993</v>
      </c>
      <c r="E1039" s="1087">
        <v>1.0156606376411224</v>
      </c>
      <c r="F1039" s="1087">
        <v>1.0003476512582734</v>
      </c>
      <c r="G1039" s="1087">
        <v>0.98018409440048915</v>
      </c>
      <c r="H1039" s="1087">
        <v>0.99468985632574058</v>
      </c>
      <c r="I1039" s="1087">
        <v>0.99971788239368964</v>
      </c>
      <c r="K1039">
        <v>1.9252799331603565</v>
      </c>
      <c r="L1039">
        <v>0</v>
      </c>
      <c r="M1039">
        <v>3.7081905711977966E-3</v>
      </c>
      <c r="N1039">
        <v>0.36932331284404135</v>
      </c>
      <c r="O1039">
        <v>0.24667347815778951</v>
      </c>
      <c r="P1039">
        <v>1.3729419480747317E-2</v>
      </c>
      <c r="Q1039">
        <v>1.6995217080722209E-3</v>
      </c>
      <c r="R1039">
        <v>3.7018023262420843E-3</v>
      </c>
      <c r="S1039">
        <v>0.3857282506982927</v>
      </c>
      <c r="T1039">
        <v>0.40292917225825609</v>
      </c>
      <c r="U1039">
        <v>0</v>
      </c>
      <c r="V1039">
        <v>0.20596723465040814</v>
      </c>
      <c r="W1039">
        <v>0.23297318327915884</v>
      </c>
      <c r="X1039">
        <v>5.6187662695320786E-2</v>
      </c>
      <c r="Y1039">
        <v>1.007508563322207E-2</v>
      </c>
    </row>
    <row r="1040" spans="1:25" x14ac:dyDescent="0.25">
      <c r="A1040" s="1083"/>
      <c r="B1040" s="1455">
        <v>790</v>
      </c>
      <c r="C1040" s="1087">
        <v>0.99455650591642331</v>
      </c>
      <c r="D1040" s="1087">
        <v>1.0151644997144362</v>
      </c>
      <c r="E1040" s="1087">
        <v>1.0366869452644552</v>
      </c>
      <c r="F1040" s="1087">
        <v>0.99906489577126223</v>
      </c>
      <c r="G1040" s="1087">
        <v>1.0170405552223838</v>
      </c>
      <c r="H1040" s="1087">
        <v>1.0336285531710163</v>
      </c>
      <c r="I1040" s="1087">
        <v>0.95997047642152111</v>
      </c>
      <c r="K1040">
        <v>1.8764987278156031</v>
      </c>
      <c r="L1040">
        <v>0</v>
      </c>
      <c r="M1040">
        <v>3.4775691470009759E-3</v>
      </c>
      <c r="N1040">
        <v>0.36928263886883</v>
      </c>
      <c r="O1040">
        <v>0.23832483580849781</v>
      </c>
      <c r="P1040">
        <v>1.342843961483626E-2</v>
      </c>
      <c r="Q1040">
        <v>1.6453110260850714E-3</v>
      </c>
      <c r="R1040">
        <v>3.4717755488458926E-3</v>
      </c>
      <c r="S1040">
        <v>0.35580490665336856</v>
      </c>
      <c r="T1040">
        <v>0.40254210518892231</v>
      </c>
      <c r="U1040">
        <v>0</v>
      </c>
      <c r="V1040">
        <v>0.19969209785929121</v>
      </c>
      <c r="W1040">
        <v>0.22996581464213209</v>
      </c>
      <c r="X1040">
        <v>5.6369343178336327E-2</v>
      </c>
      <c r="Y1040">
        <v>9.4490285734564246E-3</v>
      </c>
    </row>
    <row r="1041" spans="1:25" x14ac:dyDescent="0.25">
      <c r="A1041" s="1083"/>
      <c r="B1041" s="1455">
        <v>791</v>
      </c>
      <c r="C1041" s="1087">
        <v>0.98180518002052741</v>
      </c>
      <c r="D1041" s="1087">
        <v>1.033791711941793</v>
      </c>
      <c r="E1041" s="1087">
        <v>1.0149646079944064</v>
      </c>
      <c r="F1041" s="1087">
        <v>0.97941920660464521</v>
      </c>
      <c r="G1041" s="1087">
        <v>1.0328981342698318</v>
      </c>
      <c r="H1041" s="1087">
        <v>0.98852605126403925</v>
      </c>
      <c r="I1041" s="1087">
        <v>1.0001119272805035</v>
      </c>
      <c r="K1041">
        <v>1.8348233439229613</v>
      </c>
      <c r="L1041">
        <v>0</v>
      </c>
      <c r="M1041">
        <v>3.4884442313672321E-3</v>
      </c>
      <c r="N1041">
        <v>0.34669273379524035</v>
      </c>
      <c r="O1041">
        <v>0.23546150553943743</v>
      </c>
      <c r="P1041">
        <v>1.3191055452527918E-2</v>
      </c>
      <c r="Q1041">
        <v>1.6172372926146173E-3</v>
      </c>
      <c r="R1041">
        <v>3.4823521182486129E-3</v>
      </c>
      <c r="S1041">
        <v>0.3633138834615417</v>
      </c>
      <c r="T1041">
        <v>0.39449524685886533</v>
      </c>
      <c r="U1041">
        <v>0</v>
      </c>
      <c r="V1041">
        <v>0.19830478093682832</v>
      </c>
      <c r="W1041">
        <v>0.21879161005507969</v>
      </c>
      <c r="X1041">
        <v>5.3483568135137528E-2</v>
      </c>
      <c r="Y1041">
        <v>9.4778145088054641E-3</v>
      </c>
    </row>
    <row r="1042" spans="1:25" x14ac:dyDescent="0.25">
      <c r="A1042" s="1083"/>
      <c r="B1042" s="1455">
        <v>792</v>
      </c>
      <c r="C1042" s="1087">
        <v>1.0052993498645741</v>
      </c>
      <c r="D1042" s="1087">
        <v>1.0146160989249267</v>
      </c>
      <c r="E1042" s="1087">
        <v>1.0168467080878356</v>
      </c>
      <c r="F1042" s="1087">
        <v>1.0037297739324884</v>
      </c>
      <c r="G1042" s="1087">
        <v>0.99648123033867575</v>
      </c>
      <c r="H1042" s="1087">
        <v>0.99563042148771796</v>
      </c>
      <c r="I1042" s="1087">
        <v>1.0059676647916049</v>
      </c>
      <c r="K1042">
        <v>1.8432778110952552</v>
      </c>
      <c r="L1042">
        <v>0</v>
      </c>
      <c r="M1042">
        <v>3.4525385967793918E-3</v>
      </c>
      <c r="N1042">
        <v>0.3451042666056291</v>
      </c>
      <c r="O1042">
        <v>0.23733236586788667</v>
      </c>
      <c r="P1042">
        <v>1.3332532365608742E-2</v>
      </c>
      <c r="Q1042">
        <v>1.5944835871941692E-3</v>
      </c>
      <c r="R1042">
        <v>3.4465672226880878E-3</v>
      </c>
      <c r="S1042">
        <v>0.36188941698841337</v>
      </c>
      <c r="T1042">
        <v>0.40429875052000308</v>
      </c>
      <c r="U1042">
        <v>0</v>
      </c>
      <c r="V1042">
        <v>0.19884590033593375</v>
      </c>
      <c r="W1042">
        <v>0.21753622855127749</v>
      </c>
      <c r="X1042">
        <v>5.3969417827824079E-2</v>
      </c>
      <c r="Y1042">
        <v>9.3804198195773687E-3</v>
      </c>
    </row>
    <row r="1043" spans="1:25" x14ac:dyDescent="0.25">
      <c r="A1043" s="1083"/>
      <c r="B1043" s="1455">
        <v>793</v>
      </c>
      <c r="C1043" s="1087">
        <v>1.0252797132661877</v>
      </c>
      <c r="D1043" s="1087">
        <v>0.98655555922432114</v>
      </c>
      <c r="E1043" s="1087">
        <v>0.99747284558335003</v>
      </c>
      <c r="F1043" s="1087">
        <v>0.98404240550806166</v>
      </c>
      <c r="G1043" s="1087">
        <v>1.0022985471730002</v>
      </c>
      <c r="H1043" s="1087">
        <v>1.0088639242576931</v>
      </c>
      <c r="I1043" s="1087">
        <v>0.99931703490276924</v>
      </c>
      <c r="K1043">
        <v>1.8234449022357713</v>
      </c>
      <c r="L1043">
        <v>0</v>
      </c>
      <c r="M1043">
        <v>3.6235956926659531E-3</v>
      </c>
      <c r="N1043">
        <v>0.34142937987127692</v>
      </c>
      <c r="O1043">
        <v>0.2351600436649289</v>
      </c>
      <c r="P1043">
        <v>1.297647170654506E-2</v>
      </c>
      <c r="Q1043">
        <v>1.5488611626961299E-3</v>
      </c>
      <c r="R1043">
        <v>3.6174349989983707E-3</v>
      </c>
      <c r="S1043">
        <v>0.36014735844928936</v>
      </c>
      <c r="T1043">
        <v>0.3962526487915739</v>
      </c>
      <c r="U1043">
        <v>0</v>
      </c>
      <c r="V1043">
        <v>0.19643695884919554</v>
      </c>
      <c r="W1043">
        <v>0.21782676185858441</v>
      </c>
      <c r="X1043">
        <v>5.1827112995201756E-2</v>
      </c>
      <c r="Y1043">
        <v>9.8454655801466315E-3</v>
      </c>
    </row>
    <row r="1044" spans="1:25" x14ac:dyDescent="0.25">
      <c r="A1044" s="1083"/>
      <c r="B1044" s="1455">
        <v>794</v>
      </c>
      <c r="C1044" s="1087">
        <v>1.0113744570487759</v>
      </c>
      <c r="D1044" s="1087">
        <v>0.99317291572609934</v>
      </c>
      <c r="E1044" s="1087">
        <v>1.021273959601759</v>
      </c>
      <c r="F1044" s="1087">
        <v>1.0005601064636118</v>
      </c>
      <c r="G1044" s="1087">
        <v>0.98594210980036945</v>
      </c>
      <c r="H1044" s="1087">
        <v>0.99266253734014132</v>
      </c>
      <c r="I1044" s="1087">
        <v>1.022553779620367</v>
      </c>
      <c r="K1044">
        <v>1.8550736514709292</v>
      </c>
      <c r="L1044">
        <v>0</v>
      </c>
      <c r="M1044">
        <v>3.4301169229423718E-3</v>
      </c>
      <c r="N1044">
        <v>0.34752030219128494</v>
      </c>
      <c r="O1044">
        <v>0.23843125876381113</v>
      </c>
      <c r="P1044">
        <v>1.3467609993997123E-2</v>
      </c>
      <c r="Q1044">
        <v>1.6059906261725934E-3</v>
      </c>
      <c r="R1044">
        <v>3.424184612956281E-3</v>
      </c>
      <c r="S1044">
        <v>0.36950628885791592</v>
      </c>
      <c r="T1044">
        <v>0.40304921997265997</v>
      </c>
      <c r="U1044">
        <v>0</v>
      </c>
      <c r="V1044">
        <v>0.19909690550945575</v>
      </c>
      <c r="W1044">
        <v>0.21846262318231308</v>
      </c>
      <c r="X1044">
        <v>5.4619882948993469E-2</v>
      </c>
      <c r="Y1044">
        <v>9.3195017343127001E-3</v>
      </c>
    </row>
    <row r="1045" spans="1:25" x14ac:dyDescent="0.25">
      <c r="A1045" s="1083"/>
      <c r="B1045" s="1455">
        <v>795</v>
      </c>
      <c r="C1045" s="1087">
        <v>1.0252165979060741</v>
      </c>
      <c r="D1045" s="1087">
        <v>1.0217920914684355</v>
      </c>
      <c r="E1045" s="1087">
        <v>1.002962219560831</v>
      </c>
      <c r="F1045" s="1087">
        <v>0.99686798330840298</v>
      </c>
      <c r="G1045" s="1087">
        <v>1.0062532434520748</v>
      </c>
      <c r="H1045" s="1087">
        <v>0.96585017329814971</v>
      </c>
      <c r="I1045" s="1087">
        <v>1.0230758436772187</v>
      </c>
      <c r="K1045">
        <v>1.7871566433795425</v>
      </c>
      <c r="L1045">
        <v>0</v>
      </c>
      <c r="M1045">
        <v>3.3655510834201519E-3</v>
      </c>
      <c r="N1045">
        <v>0.32244495499345277</v>
      </c>
      <c r="O1045">
        <v>0.23327689770962548</v>
      </c>
      <c r="P1045">
        <v>1.3006615193898735E-2</v>
      </c>
      <c r="Q1045">
        <v>1.5363242443918166E-3</v>
      </c>
      <c r="R1045">
        <v>3.3595437294279998E-3</v>
      </c>
      <c r="S1045">
        <v>0.35397701905842677</v>
      </c>
      <c r="T1045">
        <v>0.4014503942782266</v>
      </c>
      <c r="U1045">
        <v>0</v>
      </c>
      <c r="V1045">
        <v>0.19572496537929088</v>
      </c>
      <c r="W1045">
        <v>0.20501073134348319</v>
      </c>
      <c r="X1045">
        <v>5.1591177974528737E-2</v>
      </c>
      <c r="Y1045">
        <v>9.1435705582102473E-3</v>
      </c>
    </row>
    <row r="1046" spans="1:25" x14ac:dyDescent="0.25">
      <c r="A1046" s="1083"/>
      <c r="B1046" s="1455">
        <v>796</v>
      </c>
      <c r="C1046" s="1087">
        <v>0.97761640170942354</v>
      </c>
      <c r="D1046" s="1087">
        <v>1.0110842023109661</v>
      </c>
      <c r="E1046" s="1087">
        <v>0.99104195497572256</v>
      </c>
      <c r="F1046" s="1087">
        <v>1.0385281740365648</v>
      </c>
      <c r="G1046" s="1087">
        <v>0.99002589509603678</v>
      </c>
      <c r="H1046" s="1087">
        <v>0.9937651090796854</v>
      </c>
      <c r="I1046" s="1087">
        <v>0.98483539774873941</v>
      </c>
      <c r="K1046">
        <v>1.8778874227550528</v>
      </c>
      <c r="L1046">
        <v>0</v>
      </c>
      <c r="M1046">
        <v>3.743149706576319E-3</v>
      </c>
      <c r="N1046">
        <v>0.3458262242463625</v>
      </c>
      <c r="O1046">
        <v>0.24477185725145092</v>
      </c>
      <c r="P1046">
        <v>1.3382793490511077E-2</v>
      </c>
      <c r="Q1046">
        <v>1.5974790085693819E-3</v>
      </c>
      <c r="R1046">
        <v>3.7366671695555163E-3</v>
      </c>
      <c r="S1046">
        <v>0.36440065790519521</v>
      </c>
      <c r="T1046">
        <v>0.41815259111615838</v>
      </c>
      <c r="U1046">
        <v>0</v>
      </c>
      <c r="V1046">
        <v>0.2048676380381399</v>
      </c>
      <c r="W1046">
        <v>0.2215240577374202</v>
      </c>
      <c r="X1046">
        <v>5.3200630254734912E-2</v>
      </c>
      <c r="Y1046">
        <v>1.0169976243528724E-2</v>
      </c>
    </row>
    <row r="1047" spans="1:25" x14ac:dyDescent="0.25">
      <c r="A1047" s="1083"/>
      <c r="B1047" s="1455">
        <v>797</v>
      </c>
      <c r="C1047" s="1087">
        <v>1.0256948311596334</v>
      </c>
      <c r="D1047" s="1087">
        <v>0.97482716378519518</v>
      </c>
      <c r="E1047" s="1087">
        <v>1.0379037341491675</v>
      </c>
      <c r="F1047" s="1087">
        <v>0.99484097415924722</v>
      </c>
      <c r="G1047" s="1087">
        <v>1.015167040657367</v>
      </c>
      <c r="H1047" s="1087">
        <v>0.9963040624877576</v>
      </c>
      <c r="I1047" s="1087">
        <v>0.9995640983910421</v>
      </c>
      <c r="K1047">
        <v>1.8509657515648505</v>
      </c>
      <c r="L1047">
        <v>0</v>
      </c>
      <c r="M1047">
        <v>3.3137822131821142E-3</v>
      </c>
      <c r="N1047">
        <v>0.35317701918996336</v>
      </c>
      <c r="O1047">
        <v>0.23814303337888518</v>
      </c>
      <c r="P1047">
        <v>1.3464134313175963E-2</v>
      </c>
      <c r="Q1047">
        <v>1.6235109545353419E-3</v>
      </c>
      <c r="R1047">
        <v>3.3080869202887523E-3</v>
      </c>
      <c r="S1047">
        <v>0.36069999990318313</v>
      </c>
      <c r="T1047">
        <v>0.40084773233460091</v>
      </c>
      <c r="U1047">
        <v>0</v>
      </c>
      <c r="V1047">
        <v>0.19819478354906317</v>
      </c>
      <c r="W1047">
        <v>0.21977370882759092</v>
      </c>
      <c r="X1047">
        <v>5.6044002320278466E-2</v>
      </c>
      <c r="Y1047">
        <v>9.003522086465791E-3</v>
      </c>
    </row>
    <row r="1048" spans="1:25" x14ac:dyDescent="0.25">
      <c r="A1048" s="1083"/>
      <c r="B1048" s="1455">
        <v>798</v>
      </c>
      <c r="C1048" s="1087">
        <v>1.0028826048492983</v>
      </c>
      <c r="D1048" s="1087">
        <v>0.9998261147965064</v>
      </c>
      <c r="E1048" s="1087">
        <v>0.95725105698315871</v>
      </c>
      <c r="F1048" s="1087">
        <v>0.97885093521888111</v>
      </c>
      <c r="G1048" s="1087">
        <v>0.95843583291086476</v>
      </c>
      <c r="H1048" s="1087">
        <v>1.0206161260287328</v>
      </c>
      <c r="I1048" s="1087">
        <v>1.0196969657495747</v>
      </c>
      <c r="K1048">
        <v>1.8316696215529222</v>
      </c>
      <c r="L1048">
        <v>0</v>
      </c>
      <c r="M1048">
        <v>4.0386288260179344E-3</v>
      </c>
      <c r="N1048">
        <v>0.33651678602821516</v>
      </c>
      <c r="O1048">
        <v>0.23529284804194758</v>
      </c>
      <c r="P1048">
        <v>1.2758355289346381E-2</v>
      </c>
      <c r="Q1048">
        <v>1.5081679392402361E-3</v>
      </c>
      <c r="R1048">
        <v>4.0318289130224522E-3</v>
      </c>
      <c r="S1048">
        <v>0.37462580580042087</v>
      </c>
      <c r="T1048">
        <v>0.3939275050947999</v>
      </c>
      <c r="U1048">
        <v>0</v>
      </c>
      <c r="V1048">
        <v>0.19738211891256449</v>
      </c>
      <c r="W1048">
        <v>0.22025209713845623</v>
      </c>
      <c r="X1048">
        <v>4.8439428011723622E-2</v>
      </c>
      <c r="Y1048">
        <v>1.097330920920314E-2</v>
      </c>
    </row>
    <row r="1049" spans="1:25" x14ac:dyDescent="0.25">
      <c r="A1049" s="1083"/>
      <c r="B1049" s="1455">
        <v>799</v>
      </c>
      <c r="C1049" s="1087">
        <v>0.99227972430105693</v>
      </c>
      <c r="D1049" s="1087">
        <v>0.98303365635306228</v>
      </c>
      <c r="E1049" s="1087">
        <v>0.98815458907090437</v>
      </c>
      <c r="F1049" s="1087">
        <v>0.96742800406268126</v>
      </c>
      <c r="G1049" s="1087">
        <v>0.96561601767348648</v>
      </c>
      <c r="H1049" s="1087">
        <v>1.0051016390879084</v>
      </c>
      <c r="I1049" s="1087">
        <v>0.98059147340223929</v>
      </c>
      <c r="K1049">
        <v>1.8393102677627642</v>
      </c>
      <c r="L1049">
        <v>0</v>
      </c>
      <c r="M1049">
        <v>3.8084147747193512E-3</v>
      </c>
      <c r="N1049">
        <v>0.34877598381837233</v>
      </c>
      <c r="O1049">
        <v>0.23723420823357985</v>
      </c>
      <c r="P1049">
        <v>1.2889998937843188E-2</v>
      </c>
      <c r="Q1049">
        <v>1.5867689195725434E-3</v>
      </c>
      <c r="R1049">
        <v>3.8019175517655045E-3</v>
      </c>
      <c r="S1049">
        <v>0.36505230155505342</v>
      </c>
      <c r="T1049">
        <v>0.38950804634605485</v>
      </c>
      <c r="U1049">
        <v>0</v>
      </c>
      <c r="V1049">
        <v>0.19856582988637009</v>
      </c>
      <c r="W1049">
        <v>0.22382016748716618</v>
      </c>
      <c r="X1049">
        <v>5.1535893527584795E-2</v>
      </c>
      <c r="Y1049">
        <v>1.0347566274121594E-2</v>
      </c>
    </row>
    <row r="1050" spans="1:25" x14ac:dyDescent="0.25">
      <c r="A1050" s="1083"/>
      <c r="B1050" s="1455">
        <v>800</v>
      </c>
      <c r="C1050" s="1087">
        <v>0.96132913172750589</v>
      </c>
      <c r="D1050" s="1087">
        <v>1.0135494526387709</v>
      </c>
      <c r="E1050" s="1087">
        <v>0.98661579450274461</v>
      </c>
      <c r="F1050" s="1087">
        <v>1.020144715412862</v>
      </c>
      <c r="G1050" s="1087">
        <v>0.9642375442173583</v>
      </c>
      <c r="H1050" s="1087">
        <v>1.0358693586976246</v>
      </c>
      <c r="I1050" s="1087">
        <v>1.0010785161591547</v>
      </c>
      <c r="K1050">
        <v>1.9219386922892305</v>
      </c>
      <c r="L1050">
        <v>0</v>
      </c>
      <c r="M1050">
        <v>3.99897871398666E-3</v>
      </c>
      <c r="N1050">
        <v>0.3645266956624566</v>
      </c>
      <c r="O1050">
        <v>0.24440606406806625</v>
      </c>
      <c r="P1050">
        <v>1.3504912164325021E-2</v>
      </c>
      <c r="Q1050">
        <v>1.6152817864847561E-3</v>
      </c>
      <c r="R1050">
        <v>3.9923329724048809E-3</v>
      </c>
      <c r="S1050">
        <v>0.38403815372469735</v>
      </c>
      <c r="T1050">
        <v>0.41072354196190947</v>
      </c>
      <c r="U1050">
        <v>0</v>
      </c>
      <c r="V1050">
        <v>0.20499283870434362</v>
      </c>
      <c r="W1050">
        <v>0.23415505209895632</v>
      </c>
      <c r="X1050">
        <v>5.3116983580895449E-2</v>
      </c>
      <c r="Y1050">
        <v>1.0865814278675433E-2</v>
      </c>
    </row>
    <row r="1051" spans="1:25" x14ac:dyDescent="0.25">
      <c r="A1051" s="1083"/>
      <c r="B1051" s="1455">
        <v>801</v>
      </c>
      <c r="C1051" s="1087">
        <v>1.0281076718910203</v>
      </c>
      <c r="D1051" s="1087">
        <v>1.0004382685424695</v>
      </c>
      <c r="E1051" s="1087">
        <v>1.0022576791670346</v>
      </c>
      <c r="F1051" s="1087">
        <v>0.99895522903006373</v>
      </c>
      <c r="G1051" s="1087">
        <v>1.0285154456264745</v>
      </c>
      <c r="H1051" s="1087">
        <v>1.0069989808133395</v>
      </c>
      <c r="I1051" s="1087">
        <v>1.0007942900717126</v>
      </c>
      <c r="K1051">
        <v>1.821805022556928</v>
      </c>
      <c r="L1051">
        <v>0</v>
      </c>
      <c r="M1051">
        <v>3.5446661497725864E-3</v>
      </c>
      <c r="N1051">
        <v>0.33890281031644859</v>
      </c>
      <c r="O1051">
        <v>0.23526633837690417</v>
      </c>
      <c r="P1051">
        <v>1.3060963748115858E-2</v>
      </c>
      <c r="Q1051">
        <v>1.5438432591913004E-3</v>
      </c>
      <c r="R1051">
        <v>3.538616150903185E-3</v>
      </c>
      <c r="S1051">
        <v>0.35662345457447608</v>
      </c>
      <c r="T1051">
        <v>0.40228668016506902</v>
      </c>
      <c r="U1051">
        <v>0</v>
      </c>
      <c r="V1051">
        <v>0.19671700487469015</v>
      </c>
      <c r="W1051">
        <v>0.21556933694120317</v>
      </c>
      <c r="X1051">
        <v>5.2209693641439361E-2</v>
      </c>
      <c r="Y1051">
        <v>9.6309466582578281E-3</v>
      </c>
    </row>
    <row r="1052" spans="1:25" x14ac:dyDescent="0.25">
      <c r="A1052" s="1083"/>
      <c r="B1052" s="1455">
        <v>802</v>
      </c>
      <c r="C1052" s="1087">
        <v>0.97558933329007835</v>
      </c>
      <c r="D1052" s="1087">
        <v>1.0255825297940755</v>
      </c>
      <c r="E1052" s="1087">
        <v>0.97498101669100501</v>
      </c>
      <c r="F1052" s="1087">
        <v>0.9893521793095732</v>
      </c>
      <c r="G1052" s="1087">
        <v>1.0099872281500866</v>
      </c>
      <c r="H1052" s="1087">
        <v>1.0366180765112047</v>
      </c>
      <c r="I1052" s="1087">
        <v>1.0248955018330064</v>
      </c>
      <c r="K1052">
        <v>1.8784335719807799</v>
      </c>
      <c r="L1052">
        <v>0</v>
      </c>
      <c r="M1052">
        <v>4.0122102653306858E-3</v>
      </c>
      <c r="N1052">
        <v>0.35295686177198965</v>
      </c>
      <c r="O1052">
        <v>0.23761035664348673</v>
      </c>
      <c r="P1052">
        <v>1.316439522563981E-2</v>
      </c>
      <c r="Q1052">
        <v>1.5644617690624214E-3</v>
      </c>
      <c r="R1052">
        <v>4.0055360118652593E-3</v>
      </c>
      <c r="S1052">
        <v>0.38490349429987791</v>
      </c>
      <c r="T1052">
        <v>0.39825728318981413</v>
      </c>
      <c r="U1052">
        <v>0</v>
      </c>
      <c r="V1052">
        <v>0.20002259928345789</v>
      </c>
      <c r="W1052">
        <v>0.2284015522205797</v>
      </c>
      <c r="X1052">
        <v>5.0657493230632032E-2</v>
      </c>
      <c r="Y1052">
        <v>1.0901748599705793E-2</v>
      </c>
    </row>
    <row r="1053" spans="1:25" x14ac:dyDescent="0.25">
      <c r="A1053" s="1083"/>
      <c r="B1053" s="1455">
        <v>803</v>
      </c>
      <c r="C1053" s="1087">
        <v>0.98757115622539249</v>
      </c>
      <c r="D1053" s="1087">
        <v>0.96102018371632691</v>
      </c>
      <c r="E1053" s="1087">
        <v>0.98105342133572782</v>
      </c>
      <c r="F1053" s="1087">
        <v>0.99737868810967656</v>
      </c>
      <c r="G1053" s="1087">
        <v>1.0035502952491233</v>
      </c>
      <c r="H1053" s="1087">
        <v>0.98615172319089306</v>
      </c>
      <c r="I1053" s="1087">
        <v>0.99560312174217835</v>
      </c>
      <c r="K1053">
        <v>1.8671959697166363</v>
      </c>
      <c r="L1053">
        <v>0</v>
      </c>
      <c r="M1053">
        <v>3.8565110731280331E-3</v>
      </c>
      <c r="N1053">
        <v>0.34559156038573946</v>
      </c>
      <c r="O1053">
        <v>0.24359474100031495</v>
      </c>
      <c r="P1053">
        <v>1.3154516322413745E-2</v>
      </c>
      <c r="Q1053">
        <v>1.5966186794298546E-3</v>
      </c>
      <c r="R1053">
        <v>3.8498273122206548E-3</v>
      </c>
      <c r="S1053">
        <v>0.37352095482135561</v>
      </c>
      <c r="T1053">
        <v>0.4015244181597481</v>
      </c>
      <c r="U1053">
        <v>0</v>
      </c>
      <c r="V1053">
        <v>0.20287552087422336</v>
      </c>
      <c r="W1053">
        <v>0.22277436436575102</v>
      </c>
      <c r="X1053">
        <v>5.2091998019932508E-2</v>
      </c>
      <c r="Y1053">
        <v>1.0477960848632225E-2</v>
      </c>
    </row>
    <row r="1054" spans="1:25" x14ac:dyDescent="0.25">
      <c r="A1054" s="1083"/>
      <c r="B1054" s="1455">
        <v>804</v>
      </c>
      <c r="C1054" s="1087">
        <v>0.97552625594078135</v>
      </c>
      <c r="D1054" s="1087">
        <v>0.98688522532156342</v>
      </c>
      <c r="E1054" s="1087">
        <v>1.0084798517932372</v>
      </c>
      <c r="F1054" s="1087">
        <v>0.97386646891780193</v>
      </c>
      <c r="G1054" s="1087">
        <v>0.99636448602169259</v>
      </c>
      <c r="H1054" s="1087">
        <v>1.0271837800304784</v>
      </c>
      <c r="I1054" s="1087">
        <v>0.98111254658285052</v>
      </c>
      <c r="K1054">
        <v>1.8907955462370623</v>
      </c>
      <c r="L1054">
        <v>0</v>
      </c>
      <c r="M1054">
        <v>3.7896265967060682E-3</v>
      </c>
      <c r="N1054">
        <v>0.36927962595861114</v>
      </c>
      <c r="O1054">
        <v>0.23996574133781673</v>
      </c>
      <c r="P1054">
        <v>1.329271528041993E-2</v>
      </c>
      <c r="Q1054">
        <v>1.6468111086866237E-3</v>
      </c>
      <c r="R1054">
        <v>3.7832967644507126E-3</v>
      </c>
      <c r="S1054">
        <v>0.37500248231712252</v>
      </c>
      <c r="T1054">
        <v>0.39222010599851526</v>
      </c>
      <c r="U1054">
        <v>0</v>
      </c>
      <c r="V1054">
        <v>0.20087818760903464</v>
      </c>
      <c r="W1054">
        <v>0.23398366083847386</v>
      </c>
      <c r="X1054">
        <v>5.4235658991244572E-2</v>
      </c>
      <c r="Y1054">
        <v>1.0296886629391619E-2</v>
      </c>
    </row>
    <row r="1055" spans="1:25" x14ac:dyDescent="0.25">
      <c r="A1055" s="1083"/>
      <c r="B1055" s="1455">
        <v>805</v>
      </c>
      <c r="C1055" s="1087">
        <v>1.0036733717500923</v>
      </c>
      <c r="D1055" s="1087">
        <v>0.96177524632423927</v>
      </c>
      <c r="E1055" s="1087">
        <v>0.97027907087625265</v>
      </c>
      <c r="F1055" s="1087">
        <v>1.0430184934952398</v>
      </c>
      <c r="G1055" s="1087">
        <v>0.97991424310758624</v>
      </c>
      <c r="H1055" s="1087">
        <v>0.99223756949706932</v>
      </c>
      <c r="I1055" s="1087">
        <v>0.98099998517184683</v>
      </c>
      <c r="K1055">
        <v>1.8696048920518158</v>
      </c>
      <c r="L1055">
        <v>0</v>
      </c>
      <c r="M1055">
        <v>3.9020430936071967E-3</v>
      </c>
      <c r="N1055">
        <v>0.33834542953118701</v>
      </c>
      <c r="O1055">
        <v>0.24685168347643419</v>
      </c>
      <c r="P1055">
        <v>1.3178985613801512E-2</v>
      </c>
      <c r="Q1055">
        <v>1.552356074838181E-3</v>
      </c>
      <c r="R1055">
        <v>3.8953226959420662E-3</v>
      </c>
      <c r="S1055">
        <v>0.3629992966212095</v>
      </c>
      <c r="T1055">
        <v>0.41983118115351892</v>
      </c>
      <c r="U1055">
        <v>0</v>
      </c>
      <c r="V1055">
        <v>0.20499051471062582</v>
      </c>
      <c r="W1055">
        <v>0.21960401164193344</v>
      </c>
      <c r="X1055">
        <v>5.1656369340356161E-2</v>
      </c>
      <c r="Y1055">
        <v>1.0601784285572692E-2</v>
      </c>
    </row>
    <row r="1056" spans="1:25" x14ac:dyDescent="0.25">
      <c r="A1056" s="1083"/>
      <c r="B1056" s="1455">
        <v>806</v>
      </c>
      <c r="C1056" s="1087">
        <v>0.99154536871965293</v>
      </c>
      <c r="D1056" s="1087">
        <v>1.0278836891923619</v>
      </c>
      <c r="E1056" s="1087">
        <v>0.99337747951286992</v>
      </c>
      <c r="F1056" s="1087">
        <v>1.0105006788835735</v>
      </c>
      <c r="G1056" s="1087">
        <v>1.0273519230266781</v>
      </c>
      <c r="H1056" s="1087">
        <v>0.98448866524815848</v>
      </c>
      <c r="I1056" s="1087">
        <v>0.9729769618714128</v>
      </c>
      <c r="K1056">
        <v>1.8217044096247539</v>
      </c>
      <c r="L1056">
        <v>0</v>
      </c>
      <c r="M1056">
        <v>3.6062835686058929E-3</v>
      </c>
      <c r="N1056">
        <v>0.33555893790784258</v>
      </c>
      <c r="O1056">
        <v>0.23815058092885394</v>
      </c>
      <c r="P1056">
        <v>1.2994332583478364E-2</v>
      </c>
      <c r="Q1056">
        <v>1.568604926418848E-3</v>
      </c>
      <c r="R1056">
        <v>3.5999643121427264E-3</v>
      </c>
      <c r="S1056">
        <v>0.35013018461826922</v>
      </c>
      <c r="T1056">
        <v>0.40688183142883544</v>
      </c>
      <c r="U1056">
        <v>0</v>
      </c>
      <c r="V1056">
        <v>0.20006800699218813</v>
      </c>
      <c r="W1056">
        <v>0.2146319132499668</v>
      </c>
      <c r="X1056">
        <v>5.1928420115627517E-2</v>
      </c>
      <c r="Y1056">
        <v>9.7979161297359427E-3</v>
      </c>
    </row>
    <row r="1057" spans="1:25" x14ac:dyDescent="0.25">
      <c r="A1057" s="1083"/>
      <c r="B1057" s="1455">
        <v>807</v>
      </c>
      <c r="C1057" s="1087">
        <v>1.00863691199339</v>
      </c>
      <c r="D1057" s="1087">
        <v>1.0258573642893729</v>
      </c>
      <c r="E1057" s="1087">
        <v>1.0230353917766357</v>
      </c>
      <c r="F1057" s="1087">
        <v>1.0117227385048788</v>
      </c>
      <c r="G1057" s="1087">
        <v>0.9933886589878359</v>
      </c>
      <c r="H1057" s="1087">
        <v>1.0164248507646492</v>
      </c>
      <c r="I1057" s="1087">
        <v>0.98994582628337879</v>
      </c>
      <c r="K1057">
        <v>1.8500223996885319</v>
      </c>
      <c r="L1057">
        <v>0</v>
      </c>
      <c r="M1057">
        <v>3.4475891903532783E-3</v>
      </c>
      <c r="N1057">
        <v>0.35118147512224246</v>
      </c>
      <c r="O1057">
        <v>0.23682269965469965</v>
      </c>
      <c r="P1057">
        <v>1.3360133648749368E-2</v>
      </c>
      <c r="Q1057">
        <v>1.5925796950079999E-3</v>
      </c>
      <c r="R1057">
        <v>3.4417385154706438E-3</v>
      </c>
      <c r="S1057">
        <v>0.35649152032141868</v>
      </c>
      <c r="T1057">
        <v>0.40755675734714364</v>
      </c>
      <c r="U1057">
        <v>0</v>
      </c>
      <c r="V1057">
        <v>0.19861175709009851</v>
      </c>
      <c r="W1057">
        <v>0.22052532127239066</v>
      </c>
      <c r="X1057">
        <v>5.451872854134894E-2</v>
      </c>
      <c r="Y1057">
        <v>9.3672776703143893E-3</v>
      </c>
    </row>
    <row r="1058" spans="1:25" x14ac:dyDescent="0.25">
      <c r="A1058" s="1083"/>
      <c r="B1058" s="1455">
        <v>808</v>
      </c>
      <c r="C1058" s="1087">
        <v>0.99683056635722689</v>
      </c>
      <c r="D1058" s="1087">
        <v>0.99216772127592845</v>
      </c>
      <c r="E1058" s="1087">
        <v>1.0175358816442748</v>
      </c>
      <c r="F1058" s="1087">
        <v>0.96829036386947254</v>
      </c>
      <c r="G1058" s="1087">
        <v>1.0200767823518506</v>
      </c>
      <c r="H1058" s="1087">
        <v>1.0027583754404781</v>
      </c>
      <c r="I1058" s="1087">
        <v>1.0169721356667043</v>
      </c>
      <c r="K1058">
        <v>1.8564012655045834</v>
      </c>
      <c r="L1058">
        <v>0</v>
      </c>
      <c r="M1058">
        <v>3.5440919875070536E-3</v>
      </c>
      <c r="N1058">
        <v>0.35500676615020754</v>
      </c>
      <c r="O1058">
        <v>0.23633762282060247</v>
      </c>
      <c r="P1058">
        <v>1.3307838530313481E-2</v>
      </c>
      <c r="Q1058">
        <v>1.6236667106071302E-3</v>
      </c>
      <c r="R1058">
        <v>3.5380243290284836E-3</v>
      </c>
      <c r="S1058">
        <v>0.37486909037980171</v>
      </c>
      <c r="T1058">
        <v>0.39002797566881497</v>
      </c>
      <c r="U1058">
        <v>0</v>
      </c>
      <c r="V1058">
        <v>0.19785928143871959</v>
      </c>
      <c r="W1058">
        <v>0.22368315643175662</v>
      </c>
      <c r="X1058">
        <v>5.4062599118029034E-2</v>
      </c>
      <c r="Y1058">
        <v>9.6293359142089197E-3</v>
      </c>
    </row>
    <row r="1059" spans="1:25" x14ac:dyDescent="0.25">
      <c r="A1059" s="1083"/>
      <c r="B1059" s="1455">
        <v>809</v>
      </c>
      <c r="C1059" s="1087">
        <v>0.99007169133473794</v>
      </c>
      <c r="D1059" s="1087">
        <v>1.0211027087116993</v>
      </c>
      <c r="E1059" s="1087">
        <v>0.99393535583247761</v>
      </c>
      <c r="F1059" s="1087">
        <v>0.98761118937292736</v>
      </c>
      <c r="G1059" s="1087">
        <v>1.0055404976088023</v>
      </c>
      <c r="H1059" s="1087">
        <v>1.0064895198845905</v>
      </c>
      <c r="I1059" s="1087">
        <v>1.0149791357865641</v>
      </c>
      <c r="K1059">
        <v>1.8461057216351309</v>
      </c>
      <c r="L1059">
        <v>0</v>
      </c>
      <c r="M1059">
        <v>3.7016125846289273E-3</v>
      </c>
      <c r="N1059">
        <v>0.34503012891758317</v>
      </c>
      <c r="O1059">
        <v>0.23633282190885285</v>
      </c>
      <c r="P1059">
        <v>1.3141184908295129E-2</v>
      </c>
      <c r="Q1059">
        <v>1.5760440789548496E-3</v>
      </c>
      <c r="R1059">
        <v>3.6952743743428641E-3</v>
      </c>
      <c r="S1059">
        <v>0.37119056496232455</v>
      </c>
      <c r="T1059">
        <v>0.39766861719246288</v>
      </c>
      <c r="U1059">
        <v>0</v>
      </c>
      <c r="V1059">
        <v>0.19862898196026299</v>
      </c>
      <c r="W1059">
        <v>0.22061264318782842</v>
      </c>
      <c r="X1059">
        <v>5.1873754028759177E-2</v>
      </c>
      <c r="Y1059">
        <v>1.0057318700091156E-2</v>
      </c>
    </row>
    <row r="1060" spans="1:25" x14ac:dyDescent="0.25">
      <c r="A1060" s="1083"/>
      <c r="B1060" s="1455">
        <v>810</v>
      </c>
      <c r="C1060" s="1087">
        <v>1.003895220618902</v>
      </c>
      <c r="D1060" s="1087">
        <v>1.006619491234541</v>
      </c>
      <c r="E1060" s="1087">
        <v>1.0075920633136577</v>
      </c>
      <c r="F1060" s="1087">
        <v>1.0234858083993326</v>
      </c>
      <c r="G1060" s="1087">
        <v>1.008442764211277</v>
      </c>
      <c r="H1060" s="1087">
        <v>0.98709636500173326</v>
      </c>
      <c r="I1060" s="1087">
        <v>0.96648697809111883</v>
      </c>
      <c r="K1060">
        <v>1.8367424491443562</v>
      </c>
      <c r="L1060">
        <v>0</v>
      </c>
      <c r="M1060">
        <v>3.5081724312085003E-3</v>
      </c>
      <c r="N1060">
        <v>0.34090428234487741</v>
      </c>
      <c r="O1060">
        <v>0.24043921929492429</v>
      </c>
      <c r="P1060">
        <v>1.3191137625250631E-2</v>
      </c>
      <c r="Q1060">
        <v>1.5861554394069411E-3</v>
      </c>
      <c r="R1060">
        <v>3.5020588882314794E-3</v>
      </c>
      <c r="S1060">
        <v>0.34810472936441017</v>
      </c>
      <c r="T1060">
        <v>0.41219852296029502</v>
      </c>
      <c r="U1060">
        <v>0</v>
      </c>
      <c r="V1060">
        <v>0.20103654243658461</v>
      </c>
      <c r="W1060">
        <v>0.21612355280612855</v>
      </c>
      <c r="X1060">
        <v>5.3632970575091338E-2</v>
      </c>
      <c r="Y1060">
        <v>9.5314498403638471E-3</v>
      </c>
    </row>
    <row r="1061" spans="1:25" x14ac:dyDescent="0.25">
      <c r="A1061" s="1083"/>
      <c r="B1061" s="1455">
        <v>811</v>
      </c>
      <c r="C1061" s="1087">
        <v>0.97560112561553902</v>
      </c>
      <c r="D1061" s="1087">
        <v>1.0230233249801366</v>
      </c>
      <c r="E1061" s="1087">
        <v>0.99861970469381933</v>
      </c>
      <c r="F1061" s="1087">
        <v>1.0261254254827856</v>
      </c>
      <c r="G1061" s="1087">
        <v>0.99114029785382562</v>
      </c>
      <c r="H1061" s="1087">
        <v>1.0184136304625804</v>
      </c>
      <c r="I1061" s="1087">
        <v>0.97557304225730024</v>
      </c>
      <c r="K1061">
        <v>1.8841723436042312</v>
      </c>
      <c r="L1061">
        <v>0</v>
      </c>
      <c r="M1061">
        <v>3.7609812341766529E-3</v>
      </c>
      <c r="N1061">
        <v>0.35561966067344192</v>
      </c>
      <c r="O1061">
        <v>0.24250826265298042</v>
      </c>
      <c r="P1061">
        <v>1.336519658686885E-2</v>
      </c>
      <c r="Q1061">
        <v>1.6062318724953497E-3</v>
      </c>
      <c r="R1061">
        <v>3.754615103131118E-3</v>
      </c>
      <c r="S1061">
        <v>0.36388567342520883</v>
      </c>
      <c r="T1061">
        <v>0.4132056937593418</v>
      </c>
      <c r="U1061">
        <v>0</v>
      </c>
      <c r="V1061">
        <v>0.20345010210599318</v>
      </c>
      <c r="W1061">
        <v>0.22671718646106181</v>
      </c>
      <c r="X1061">
        <v>5.3601877595697615E-2</v>
      </c>
      <c r="Y1061">
        <v>1.0218824602186797E-2</v>
      </c>
    </row>
    <row r="1062" spans="1:25" x14ac:dyDescent="0.25">
      <c r="A1062" s="1083"/>
      <c r="B1062" s="1455">
        <v>812</v>
      </c>
      <c r="C1062" s="1087">
        <v>1.012105199768689</v>
      </c>
      <c r="D1062" s="1087">
        <v>0.98184959279126693</v>
      </c>
      <c r="E1062" s="1087">
        <v>1.0219159026909905</v>
      </c>
      <c r="F1062" s="1087">
        <v>0.99802887885495506</v>
      </c>
      <c r="G1062" s="1087">
        <v>1.0231296163381307</v>
      </c>
      <c r="H1062" s="1087">
        <v>1.0352450465922263</v>
      </c>
      <c r="I1062" s="1087">
        <v>0.99518993468056516</v>
      </c>
      <c r="K1062">
        <v>1.8838240537121524</v>
      </c>
      <c r="L1062">
        <v>0</v>
      </c>
      <c r="M1062">
        <v>3.5921865856162584E-3</v>
      </c>
      <c r="N1062">
        <v>0.36467979912350523</v>
      </c>
      <c r="O1062">
        <v>0.23919027993005218</v>
      </c>
      <c r="P1062">
        <v>1.3461867136988341E-2</v>
      </c>
      <c r="Q1062">
        <v>1.61329979412758E-3</v>
      </c>
      <c r="R1062">
        <v>3.5862391473869561E-3</v>
      </c>
      <c r="S1062">
        <v>0.36933595685624759</v>
      </c>
      <c r="T1062">
        <v>0.40203352258538844</v>
      </c>
      <c r="U1062">
        <v>0</v>
      </c>
      <c r="V1062">
        <v>0.19941263093773712</v>
      </c>
      <c r="W1062">
        <v>0.22915918745132155</v>
      </c>
      <c r="X1062">
        <v>5.5182896579242788E-2</v>
      </c>
      <c r="Y1062">
        <v>9.7605607557700782E-3</v>
      </c>
    </row>
    <row r="1063" spans="1:25" x14ac:dyDescent="0.25">
      <c r="A1063" s="1083"/>
      <c r="B1063" s="1455">
        <v>813</v>
      </c>
      <c r="C1063" s="1087">
        <v>0.99775150913114519</v>
      </c>
      <c r="D1063" s="1087">
        <v>0.98980920231082092</v>
      </c>
      <c r="E1063" s="1087">
        <v>1.0107922841312711</v>
      </c>
      <c r="F1063" s="1087">
        <v>1.0070274183016732</v>
      </c>
      <c r="G1063" s="1087">
        <v>1.036432797603716</v>
      </c>
      <c r="H1063" s="1087">
        <v>0.96983489477452967</v>
      </c>
      <c r="I1063" s="1087">
        <v>0.97362509015808008</v>
      </c>
      <c r="K1063">
        <v>1.8363290336112892</v>
      </c>
      <c r="L1063">
        <v>0</v>
      </c>
      <c r="M1063">
        <v>3.4772999534721368E-3</v>
      </c>
      <c r="N1063">
        <v>0.34120910872934479</v>
      </c>
      <c r="O1063">
        <v>0.24102567954540577</v>
      </c>
      <c r="P1063">
        <v>1.3203145779018642E-2</v>
      </c>
      <c r="Q1063">
        <v>1.612171516511225E-3</v>
      </c>
      <c r="R1063">
        <v>3.4711476539676942E-3</v>
      </c>
      <c r="S1063">
        <v>0.35312514373586312</v>
      </c>
      <c r="T1063">
        <v>0.4055897272530139</v>
      </c>
      <c r="U1063">
        <v>0</v>
      </c>
      <c r="V1063">
        <v>0.2012246181166911</v>
      </c>
      <c r="W1063">
        <v>0.21588766671106971</v>
      </c>
      <c r="X1063">
        <v>5.4010604873290034E-2</v>
      </c>
      <c r="Y1063">
        <v>9.4473196505834595E-3</v>
      </c>
    </row>
    <row r="1064" spans="1:25" x14ac:dyDescent="0.25">
      <c r="A1064" s="1083"/>
      <c r="B1064" s="1455">
        <v>814</v>
      </c>
      <c r="C1064" s="1087">
        <v>1.0023584752799475</v>
      </c>
      <c r="D1064" s="1087">
        <v>0.99959087192572038</v>
      </c>
      <c r="E1064" s="1087">
        <v>1.0004704966307267</v>
      </c>
      <c r="F1064" s="1087">
        <v>0.98655599521644188</v>
      </c>
      <c r="G1064" s="1087">
        <v>1.0205917914282556</v>
      </c>
      <c r="H1064" s="1087">
        <v>1.0210947974333295</v>
      </c>
      <c r="I1064" s="1087">
        <v>1.0243081872233775</v>
      </c>
      <c r="K1064">
        <v>1.8635748632933877</v>
      </c>
      <c r="L1064">
        <v>0</v>
      </c>
      <c r="M1064">
        <v>3.7022392376373386E-3</v>
      </c>
      <c r="N1064">
        <v>0.3520516269691798</v>
      </c>
      <c r="O1064">
        <v>0.23691633710436152</v>
      </c>
      <c r="P1064">
        <v>1.327843601795369E-2</v>
      </c>
      <c r="Q1064">
        <v>1.5810276542775107E-3</v>
      </c>
      <c r="R1064">
        <v>3.6960089795019494E-3</v>
      </c>
      <c r="S1064">
        <v>0.3771683506555219</v>
      </c>
      <c r="T1064">
        <v>0.39728272312410662</v>
      </c>
      <c r="U1064">
        <v>0</v>
      </c>
      <c r="V1064">
        <v>0.19837845134435914</v>
      </c>
      <c r="W1064">
        <v>0.22418298041606505</v>
      </c>
      <c r="X1064">
        <v>5.2681842212523596E-2</v>
      </c>
      <c r="Y1064">
        <v>1.0059318053171666E-2</v>
      </c>
    </row>
    <row r="1065" spans="1:25" x14ac:dyDescent="0.25">
      <c r="A1065" s="1083"/>
      <c r="B1065" s="1455">
        <v>815</v>
      </c>
      <c r="C1065" s="1087">
        <v>0.97787093431866623</v>
      </c>
      <c r="D1065" s="1087">
        <v>0.97703459621633548</v>
      </c>
      <c r="E1065" s="1087">
        <v>1.0080063363716345</v>
      </c>
      <c r="F1065" s="1087">
        <v>1.0220887003737287</v>
      </c>
      <c r="G1065" s="1087">
        <v>0.98965352127576478</v>
      </c>
      <c r="H1065" s="1087">
        <v>0.99654077871027691</v>
      </c>
      <c r="I1065" s="1087">
        <v>1.0318324928724192</v>
      </c>
      <c r="K1065">
        <v>1.9211731769960243</v>
      </c>
      <c r="L1065">
        <v>0</v>
      </c>
      <c r="M1065">
        <v>3.6924857885539961E-3</v>
      </c>
      <c r="N1065">
        <v>0.35927709247025946</v>
      </c>
      <c r="O1065">
        <v>0.24655949071424429</v>
      </c>
      <c r="P1065">
        <v>1.3819212733136901E-2</v>
      </c>
      <c r="Q1065">
        <v>1.6486394787074868E-3</v>
      </c>
      <c r="R1065">
        <v>3.6861395922327782E-3</v>
      </c>
      <c r="S1065">
        <v>0.38975738947442035</v>
      </c>
      <c r="T1065">
        <v>0.41163843164092595</v>
      </c>
      <c r="U1065">
        <v>0</v>
      </c>
      <c r="V1065">
        <v>0.2054030589414659</v>
      </c>
      <c r="W1065">
        <v>0.22771278242016885</v>
      </c>
      <c r="X1065">
        <v>5.5330968484547688E-2</v>
      </c>
      <c r="Y1065">
        <v>1.0032456834467619E-2</v>
      </c>
    </row>
    <row r="1066" spans="1:25" x14ac:dyDescent="0.25">
      <c r="A1066" s="1083"/>
      <c r="B1066" s="1455">
        <v>816</v>
      </c>
      <c r="C1066" s="1087">
        <v>0.99395961667937838</v>
      </c>
      <c r="D1066" s="1087">
        <v>1.0126460327558955</v>
      </c>
      <c r="E1066" s="1087">
        <v>0.97911385964132458</v>
      </c>
      <c r="F1066" s="1087">
        <v>1.0275960286517509</v>
      </c>
      <c r="G1066" s="1087">
        <v>1.0010761138490634</v>
      </c>
      <c r="H1066" s="1087">
        <v>0.99426530575751249</v>
      </c>
      <c r="I1066" s="1087">
        <v>0.99249651716756382</v>
      </c>
      <c r="K1066">
        <v>1.8465432356225546</v>
      </c>
      <c r="L1066">
        <v>0</v>
      </c>
      <c r="M1066">
        <v>3.770743703357852E-3</v>
      </c>
      <c r="N1066">
        <v>0.33590924465923061</v>
      </c>
      <c r="O1066">
        <v>0.2411187977306633</v>
      </c>
      <c r="P1066">
        <v>1.3115688864990833E-2</v>
      </c>
      <c r="Q1066">
        <v>1.5502577397376387E-3</v>
      </c>
      <c r="R1066">
        <v>3.7642146818943675E-3</v>
      </c>
      <c r="S1066">
        <v>0.36082858898462766</v>
      </c>
      <c r="T1066">
        <v>0.4136774028212849</v>
      </c>
      <c r="U1066">
        <v>0</v>
      </c>
      <c r="V1066">
        <v>0.20196802652349261</v>
      </c>
      <c r="W1066">
        <v>0.21679952084238013</v>
      </c>
      <c r="X1066">
        <v>5.1337284986531249E-2</v>
      </c>
      <c r="Y1066">
        <v>1.0244951491080075E-2</v>
      </c>
    </row>
    <row r="1067" spans="1:25" x14ac:dyDescent="0.25">
      <c r="A1067" s="1083"/>
      <c r="B1067" s="1455">
        <v>817</v>
      </c>
      <c r="C1067" s="1087">
        <v>0.99987221528581804</v>
      </c>
      <c r="D1067" s="1087">
        <v>0.966285400767668</v>
      </c>
      <c r="E1067" s="1087">
        <v>1.0139318713588448</v>
      </c>
      <c r="F1067" s="1087">
        <v>1.0279757349561514</v>
      </c>
      <c r="G1067" s="1087">
        <v>0.95629203304290611</v>
      </c>
      <c r="H1067" s="1087">
        <v>1.0108227122968769</v>
      </c>
      <c r="I1067" s="1087">
        <v>1.0039106294118092</v>
      </c>
      <c r="K1067">
        <v>1.9091108188105554</v>
      </c>
      <c r="L1067">
        <v>0</v>
      </c>
      <c r="M1067">
        <v>3.6405485850261338E-3</v>
      </c>
      <c r="N1067">
        <v>0.36069180545145485</v>
      </c>
      <c r="O1067">
        <v>0.24572028268036353</v>
      </c>
      <c r="P1067">
        <v>1.3703944861095978E-2</v>
      </c>
      <c r="Q1067">
        <v>1.6297134261575011E-3</v>
      </c>
      <c r="R1067">
        <v>3.6343897391920596E-3</v>
      </c>
      <c r="S1067">
        <v>0.37587734975619785</v>
      </c>
      <c r="T1067">
        <v>0.41404658416138368</v>
      </c>
      <c r="U1067">
        <v>0</v>
      </c>
      <c r="V1067">
        <v>0.20412131933545299</v>
      </c>
      <c r="W1067">
        <v>0.22777151824779363</v>
      </c>
      <c r="X1067">
        <v>5.5662848942665197E-2</v>
      </c>
      <c r="Y1067">
        <v>9.8916107938252524E-3</v>
      </c>
    </row>
    <row r="1068" spans="1:25" x14ac:dyDescent="0.25">
      <c r="A1068" s="1083"/>
      <c r="B1068" s="1455">
        <v>818</v>
      </c>
      <c r="C1068" s="1087">
        <v>0.97762888835038153</v>
      </c>
      <c r="D1068" s="1087">
        <v>0.9984812956372251</v>
      </c>
      <c r="E1068" s="1087">
        <v>0.9955938640566564</v>
      </c>
      <c r="F1068" s="1087">
        <v>0.99591307165079657</v>
      </c>
      <c r="G1068" s="1087">
        <v>1.0404496446183751</v>
      </c>
      <c r="H1068" s="1087">
        <v>0.98475003712537157</v>
      </c>
      <c r="I1068" s="1087">
        <v>1.0160030148082955</v>
      </c>
      <c r="K1068">
        <v>1.8667898123278956</v>
      </c>
      <c r="L1068">
        <v>0</v>
      </c>
      <c r="M1068">
        <v>3.6997112851925129E-3</v>
      </c>
      <c r="N1068">
        <v>0.34659215005893307</v>
      </c>
      <c r="O1068">
        <v>0.24107929959905747</v>
      </c>
      <c r="P1068">
        <v>1.3325228301745583E-2</v>
      </c>
      <c r="Q1068">
        <v>1.6133268811660384E-3</v>
      </c>
      <c r="R1068">
        <v>3.6932565428533324E-3</v>
      </c>
      <c r="S1068">
        <v>0.37689584625965006</v>
      </c>
      <c r="T1068">
        <v>0.40102139943804488</v>
      </c>
      <c r="U1068">
        <v>0</v>
      </c>
      <c r="V1068">
        <v>0.20190240098815571</v>
      </c>
      <c r="W1068">
        <v>0.22138096438790297</v>
      </c>
      <c r="X1068">
        <v>5.2933824327621157E-2</v>
      </c>
      <c r="Y1068">
        <v>1.0051826827954623E-2</v>
      </c>
    </row>
    <row r="1069" spans="1:25" x14ac:dyDescent="0.25">
      <c r="A1069" s="1083"/>
      <c r="B1069" s="1455">
        <v>819</v>
      </c>
      <c r="C1069" s="1087">
        <v>1.0100229994421226</v>
      </c>
      <c r="D1069" s="1087">
        <v>1.0090835063180812</v>
      </c>
      <c r="E1069" s="1087">
        <v>0.99242583083265656</v>
      </c>
      <c r="F1069" s="1087">
        <v>0.99448461770820884</v>
      </c>
      <c r="G1069" s="1087">
        <v>0.98410431819810862</v>
      </c>
      <c r="H1069" s="1087">
        <v>1.037171440393218</v>
      </c>
      <c r="I1069" s="1087">
        <v>1.02471105957518</v>
      </c>
      <c r="K1069">
        <v>1.8605174487130174</v>
      </c>
      <c r="L1069">
        <v>0</v>
      </c>
      <c r="M1069">
        <v>3.7744690681651492E-3</v>
      </c>
      <c r="N1069">
        <v>0.35022205692802288</v>
      </c>
      <c r="O1069">
        <v>0.23589057270126876</v>
      </c>
      <c r="P1069">
        <v>1.3207570530475256E-2</v>
      </c>
      <c r="Q1069">
        <v>1.5497428091900095E-3</v>
      </c>
      <c r="R1069">
        <v>3.7682072778283558E-3</v>
      </c>
      <c r="S1069">
        <v>0.37534580569977627</v>
      </c>
      <c r="T1069">
        <v>0.40042719989541281</v>
      </c>
      <c r="U1069">
        <v>0</v>
      </c>
      <c r="V1069">
        <v>0.19770425482734691</v>
      </c>
      <c r="W1069">
        <v>0.22414476511701678</v>
      </c>
      <c r="X1069">
        <v>5.1775923973791098E-2</v>
      </c>
      <c r="Y1069">
        <v>1.0255818021053496E-2</v>
      </c>
    </row>
    <row r="1070" spans="1:25" x14ac:dyDescent="0.25">
      <c r="A1070" s="1083"/>
      <c r="B1070" s="1455">
        <v>820</v>
      </c>
      <c r="C1070" s="1087">
        <v>1.0010755299578746</v>
      </c>
      <c r="D1070" s="1087">
        <v>0.97341590892173901</v>
      </c>
      <c r="E1070" s="1087">
        <v>1.0016559163024805</v>
      </c>
      <c r="F1070" s="1087">
        <v>1.0346192454969017</v>
      </c>
      <c r="G1070" s="1087">
        <v>1.0413131007812011</v>
      </c>
      <c r="H1070" s="1087">
        <v>1.0117598509255501</v>
      </c>
      <c r="I1070" s="1087">
        <v>1.0246449993594127</v>
      </c>
      <c r="K1070">
        <v>1.9081448509617787</v>
      </c>
      <c r="L1070">
        <v>0</v>
      </c>
      <c r="M1070">
        <v>3.7173340863849253E-3</v>
      </c>
      <c r="N1070">
        <v>0.35476474945515951</v>
      </c>
      <c r="O1070">
        <v>0.24541942395258276</v>
      </c>
      <c r="P1070">
        <v>1.3693713620072821E-2</v>
      </c>
      <c r="Q1070">
        <v>1.6019667729549978E-3</v>
      </c>
      <c r="R1070">
        <v>3.7110445513790316E-3</v>
      </c>
      <c r="S1070">
        <v>0.3816425415343907</v>
      </c>
      <c r="T1070">
        <v>0.41664506646684174</v>
      </c>
      <c r="U1070">
        <v>0</v>
      </c>
      <c r="V1070">
        <v>0.20408320860001936</v>
      </c>
      <c r="W1070">
        <v>0.22574353865574762</v>
      </c>
      <c r="X1070">
        <v>5.4456691515666886E-2</v>
      </c>
      <c r="Y1070">
        <v>1.0100239923346143E-2</v>
      </c>
    </row>
    <row r="1071" spans="1:25" x14ac:dyDescent="0.25">
      <c r="A1071" s="1083"/>
      <c r="B1071" s="1455">
        <v>821</v>
      </c>
      <c r="C1071" s="1087">
        <v>0.99720821028648976</v>
      </c>
      <c r="D1071" s="1087">
        <v>1.022879636284159</v>
      </c>
      <c r="E1071" s="1087">
        <v>0.99442427554427759</v>
      </c>
      <c r="F1071" s="1087">
        <v>0.97766842037123303</v>
      </c>
      <c r="G1071" s="1087">
        <v>1.0173574104904639</v>
      </c>
      <c r="H1071" s="1087">
        <v>1.0256185124739827</v>
      </c>
      <c r="I1071" s="1087">
        <v>1.0163051733640787</v>
      </c>
      <c r="K1071">
        <v>1.8452064803126551</v>
      </c>
      <c r="L1071">
        <v>0</v>
      </c>
      <c r="M1071">
        <v>3.7376432026458499E-3</v>
      </c>
      <c r="N1071">
        <v>0.34891999357449766</v>
      </c>
      <c r="O1071">
        <v>0.23413974050639888</v>
      </c>
      <c r="P1071">
        <v>1.3081543660696091E-2</v>
      </c>
      <c r="Q1071">
        <v>1.5644945589646916E-3</v>
      </c>
      <c r="R1071">
        <v>3.7313610069899454E-3</v>
      </c>
      <c r="S1071">
        <v>0.37215641163004076</v>
      </c>
      <c r="T1071">
        <v>0.39366797532976305</v>
      </c>
      <c r="U1071">
        <v>0</v>
      </c>
      <c r="V1071">
        <v>0.19691954210547452</v>
      </c>
      <c r="W1071">
        <v>0.22303138385119128</v>
      </c>
      <c r="X1071">
        <v>5.1576142673081915E-2</v>
      </c>
      <c r="Y1071">
        <v>1.015553461820126E-2</v>
      </c>
    </row>
    <row r="1072" spans="1:25" x14ac:dyDescent="0.25">
      <c r="A1072" s="1083"/>
      <c r="B1072" s="1455">
        <v>822</v>
      </c>
      <c r="C1072" s="1087">
        <v>0.9935961899828315</v>
      </c>
      <c r="D1072" s="1087">
        <v>1.0182887601756512</v>
      </c>
      <c r="E1072" s="1087">
        <v>0.99115294767856577</v>
      </c>
      <c r="F1072" s="1087">
        <v>1.0103552035147818</v>
      </c>
      <c r="G1072" s="1087">
        <v>1.015239037924804</v>
      </c>
      <c r="H1072" s="1087">
        <v>0.9918269306557761</v>
      </c>
      <c r="I1072" s="1087">
        <v>0.9859179228051852</v>
      </c>
      <c r="K1072">
        <v>1.8346556295999492</v>
      </c>
      <c r="L1072">
        <v>0</v>
      </c>
      <c r="M1072">
        <v>3.66075595478006E-3</v>
      </c>
      <c r="N1072">
        <v>0.33832684191270573</v>
      </c>
      <c r="O1072">
        <v>0.23879751444723821</v>
      </c>
      <c r="P1072">
        <v>1.3070707094438286E-2</v>
      </c>
      <c r="Q1072">
        <v>1.5675156064476089E-3</v>
      </c>
      <c r="R1072">
        <v>3.6543972062019932E-3</v>
      </c>
      <c r="S1072">
        <v>0.3571791636742061</v>
      </c>
      <c r="T1072">
        <v>0.40680971208688255</v>
      </c>
      <c r="U1072">
        <v>0</v>
      </c>
      <c r="V1072">
        <v>0.20032456736857984</v>
      </c>
      <c r="W1072">
        <v>0.21670508817208756</v>
      </c>
      <c r="X1072">
        <v>5.1934813462373726E-2</v>
      </c>
      <c r="Y1072">
        <v>9.9460645235665609E-3</v>
      </c>
    </row>
    <row r="1073" spans="1:25" x14ac:dyDescent="0.25">
      <c r="A1073" s="1083"/>
      <c r="B1073" s="1455">
        <v>823</v>
      </c>
      <c r="C1073" s="1087">
        <v>1.0073596927226323</v>
      </c>
      <c r="D1073" s="1087">
        <v>1.0114880800495809</v>
      </c>
      <c r="E1073" s="1087">
        <v>0.99163353437854629</v>
      </c>
      <c r="F1073" s="1087">
        <v>0.99949226528010993</v>
      </c>
      <c r="G1073" s="1087">
        <v>1.020568625366467</v>
      </c>
      <c r="H1073" s="1087">
        <v>0.96214111940199631</v>
      </c>
      <c r="I1073" s="1087">
        <v>0.98179554858515206</v>
      </c>
      <c r="K1073">
        <v>1.7925391688382271</v>
      </c>
      <c r="L1073">
        <v>0</v>
      </c>
      <c r="M1073">
        <v>3.5118265049251056E-3</v>
      </c>
      <c r="N1073">
        <v>0.32502252632683437</v>
      </c>
      <c r="O1073">
        <v>0.23654535477256977</v>
      </c>
      <c r="P1073">
        <v>1.2849281172593367E-2</v>
      </c>
      <c r="Q1073">
        <v>1.551046041137131E-3</v>
      </c>
      <c r="R1073">
        <v>3.5055439728247755E-3</v>
      </c>
      <c r="S1073">
        <v>0.34691384009976728</v>
      </c>
      <c r="T1073">
        <v>0.40243874806156249</v>
      </c>
      <c r="U1073">
        <v>0</v>
      </c>
      <c r="V1073">
        <v>0.19828324196260083</v>
      </c>
      <c r="W1073">
        <v>0.20812049822273687</v>
      </c>
      <c r="X1073">
        <v>5.1279979618754218E-2</v>
      </c>
      <c r="Y1073">
        <v>9.5409350917689713E-3</v>
      </c>
    </row>
    <row r="1074" spans="1:25" x14ac:dyDescent="0.25">
      <c r="A1074" s="1083"/>
      <c r="B1074" s="1455">
        <v>824</v>
      </c>
      <c r="C1074" s="1087">
        <v>1.0051448422852096</v>
      </c>
      <c r="D1074" s="1087">
        <v>0.98435432312879667</v>
      </c>
      <c r="E1074" s="1087">
        <v>0.97053022739496353</v>
      </c>
      <c r="F1074" s="1087">
        <v>0.98802242368273996</v>
      </c>
      <c r="G1074" s="1087">
        <v>1.0394650389861162</v>
      </c>
      <c r="H1074" s="1087">
        <v>0.99546169977538379</v>
      </c>
      <c r="I1074" s="1087">
        <v>1.0217957436627823</v>
      </c>
      <c r="K1074">
        <v>1.834631228628673</v>
      </c>
      <c r="L1074">
        <v>0</v>
      </c>
      <c r="M1074">
        <v>3.8578722015610444E-3</v>
      </c>
      <c r="N1074">
        <v>0.33477235060670457</v>
      </c>
      <c r="O1074">
        <v>0.23783566776757833</v>
      </c>
      <c r="P1074">
        <v>1.2941352196716573E-2</v>
      </c>
      <c r="Q1074">
        <v>1.5361795653573555E-3</v>
      </c>
      <c r="R1074">
        <v>3.8512270404064044E-3</v>
      </c>
      <c r="S1074">
        <v>0.37328543025184163</v>
      </c>
      <c r="T1074">
        <v>0.39769587825559533</v>
      </c>
      <c r="U1074">
        <v>0</v>
      </c>
      <c r="V1074">
        <v>0.19883782852286042</v>
      </c>
      <c r="W1074">
        <v>0.2172500295112931</v>
      </c>
      <c r="X1074">
        <v>5.0001386664547724E-2</v>
      </c>
      <c r="Y1074">
        <v>1.0481770447333564E-2</v>
      </c>
    </row>
    <row r="1075" spans="1:25" x14ac:dyDescent="0.25">
      <c r="A1075" s="1083"/>
      <c r="B1075" s="1455">
        <v>825</v>
      </c>
      <c r="C1075" s="1087">
        <v>0.95946592018370547</v>
      </c>
      <c r="D1075" s="1087">
        <v>0.97586123630569677</v>
      </c>
      <c r="E1075" s="1087">
        <v>1.0232856137296795</v>
      </c>
      <c r="F1075" s="1087">
        <v>0.9792720617967946</v>
      </c>
      <c r="G1075" s="1087">
        <v>1.0132231216650407</v>
      </c>
      <c r="H1075" s="1087">
        <v>0.97220792526514699</v>
      </c>
      <c r="I1075" s="1087">
        <v>0.99186648094725771</v>
      </c>
      <c r="K1075">
        <v>1.8913701817029016</v>
      </c>
      <c r="L1075">
        <v>0</v>
      </c>
      <c r="M1075">
        <v>3.5585623858080005E-3</v>
      </c>
      <c r="N1075">
        <v>0.36273822444954279</v>
      </c>
      <c r="O1075">
        <v>0.24393660251781077</v>
      </c>
      <c r="P1075">
        <v>1.3546178839478212E-2</v>
      </c>
      <c r="Q1075">
        <v>1.7084428913228858E-3</v>
      </c>
      <c r="R1075">
        <v>3.5522909388756908E-3</v>
      </c>
      <c r="S1075">
        <v>0.37755879201416487</v>
      </c>
      <c r="T1075">
        <v>0.3944860161684145</v>
      </c>
      <c r="U1075">
        <v>0</v>
      </c>
      <c r="V1075">
        <v>0.2038379893376466</v>
      </c>
      <c r="W1075">
        <v>0.22774741566074283</v>
      </c>
      <c r="X1075">
        <v>5.6148626347485485E-2</v>
      </c>
      <c r="Y1075">
        <v>9.668164923226346E-3</v>
      </c>
    </row>
    <row r="1076" spans="1:25" x14ac:dyDescent="0.25">
      <c r="A1076" s="1083"/>
      <c r="B1076" s="1455">
        <v>826</v>
      </c>
      <c r="C1076" s="1087">
        <v>0.97635108300043827</v>
      </c>
      <c r="D1076" s="1087">
        <v>1.0225746571692345</v>
      </c>
      <c r="E1076" s="1087">
        <v>0.99847714936029619</v>
      </c>
      <c r="F1076" s="1087">
        <v>0.96884872963527258</v>
      </c>
      <c r="G1076" s="1087">
        <v>0.96219954445080313</v>
      </c>
      <c r="H1076" s="1087">
        <v>0.95735356448029429</v>
      </c>
      <c r="I1076" s="1087">
        <v>1.0096568634418963</v>
      </c>
      <c r="K1076">
        <v>1.8124004574054267</v>
      </c>
      <c r="L1076">
        <v>0</v>
      </c>
      <c r="M1076">
        <v>3.5343968653056565E-3</v>
      </c>
      <c r="N1076">
        <v>0.33401347138892479</v>
      </c>
      <c r="O1076">
        <v>0.23567848019468432</v>
      </c>
      <c r="P1076">
        <v>1.2997405952935063E-2</v>
      </c>
      <c r="Q1076">
        <v>1.6050357255640467E-3</v>
      </c>
      <c r="R1076">
        <v>3.5280326528219453E-3</v>
      </c>
      <c r="S1076">
        <v>0.36507044595118737</v>
      </c>
      <c r="T1076">
        <v>0.39014037046432964</v>
      </c>
      <c r="U1076">
        <v>0</v>
      </c>
      <c r="V1076">
        <v>0.19844621512589503</v>
      </c>
      <c r="W1076">
        <v>0.21296164307655546</v>
      </c>
      <c r="X1076">
        <v>5.1891611872501575E-2</v>
      </c>
      <c r="Y1076">
        <v>9.602141865329903E-3</v>
      </c>
    </row>
    <row r="1077" spans="1:25" x14ac:dyDescent="0.25">
      <c r="A1077" s="1083"/>
      <c r="B1077" s="1455">
        <v>827</v>
      </c>
      <c r="C1077" s="1087">
        <v>1.0161533641533596</v>
      </c>
      <c r="D1077" s="1087">
        <v>0.99449420829050539</v>
      </c>
      <c r="E1077" s="1087">
        <v>1.0287662007071579</v>
      </c>
      <c r="F1077" s="1087">
        <v>1.0405328628761128</v>
      </c>
      <c r="G1077" s="1087">
        <v>1.02748345429917</v>
      </c>
      <c r="H1077" s="1087">
        <v>1.0087730771186754</v>
      </c>
      <c r="I1077" s="1087">
        <v>0.96152685499130175</v>
      </c>
      <c r="K1077">
        <v>1.867609499881185</v>
      </c>
      <c r="L1077">
        <v>0</v>
      </c>
      <c r="M1077">
        <v>3.413170608947524E-3</v>
      </c>
      <c r="N1077">
        <v>0.35379572433447887</v>
      </c>
      <c r="O1077">
        <v>0.24242463200078243</v>
      </c>
      <c r="P1077">
        <v>1.3511683170914519E-2</v>
      </c>
      <c r="Q1077">
        <v>1.6102287660677284E-3</v>
      </c>
      <c r="R1077">
        <v>3.4073594322203186E-3</v>
      </c>
      <c r="S1077">
        <v>0.3483817104659499</v>
      </c>
      <c r="T1077">
        <v>0.41919925406999292</v>
      </c>
      <c r="U1077">
        <v>0</v>
      </c>
      <c r="V1077">
        <v>0.20194482417231499</v>
      </c>
      <c r="W1077">
        <v>0.22138809377074037</v>
      </c>
      <c r="X1077">
        <v>5.6085451167899619E-2</v>
      </c>
      <c r="Y1077">
        <v>9.2737091387687515E-3</v>
      </c>
    </row>
    <row r="1078" spans="1:25" x14ac:dyDescent="0.25">
      <c r="A1078" s="1083"/>
      <c r="B1078" s="1455">
        <v>828</v>
      </c>
      <c r="C1078" s="1087">
        <v>1.0035892949906668</v>
      </c>
      <c r="D1078" s="1087">
        <v>0.98452239622810134</v>
      </c>
      <c r="E1078" s="1087">
        <v>0.99700246087558075</v>
      </c>
      <c r="F1078" s="1087">
        <v>1.0021784047862814</v>
      </c>
      <c r="G1078" s="1087">
        <v>0.98150329563539396</v>
      </c>
      <c r="H1078" s="1087">
        <v>0.9755358118519053</v>
      </c>
      <c r="I1078" s="1087">
        <v>1.0154502135365098</v>
      </c>
      <c r="K1078">
        <v>1.8422567065367135</v>
      </c>
      <c r="L1078">
        <v>0</v>
      </c>
      <c r="M1078">
        <v>3.5872528522947478E-3</v>
      </c>
      <c r="N1078">
        <v>0.33750063584633383</v>
      </c>
      <c r="O1078">
        <v>0.24007481624276147</v>
      </c>
      <c r="P1078">
        <v>1.323373413569825E-2</v>
      </c>
      <c r="Q1078">
        <v>1.582848031803362E-3</v>
      </c>
      <c r="R1078">
        <v>3.5809477515540023E-3</v>
      </c>
      <c r="S1078">
        <v>0.36813550610690698</v>
      </c>
      <c r="T1078">
        <v>0.40355277373756498</v>
      </c>
      <c r="U1078">
        <v>0</v>
      </c>
      <c r="V1078">
        <v>0.20038043524562424</v>
      </c>
      <c r="W1078">
        <v>0.21538370794845443</v>
      </c>
      <c r="X1078">
        <v>5.2672395021685435E-2</v>
      </c>
      <c r="Y1078">
        <v>9.7461593206209524E-3</v>
      </c>
    </row>
    <row r="1079" spans="1:25" x14ac:dyDescent="0.25">
      <c r="A1079" s="1083"/>
      <c r="B1079" s="1455">
        <v>829</v>
      </c>
      <c r="C1079" s="1087">
        <v>0.9997137326127471</v>
      </c>
      <c r="D1079" s="1087">
        <v>0.9777478694906403</v>
      </c>
      <c r="E1079" s="1087">
        <v>1.0005646682695797</v>
      </c>
      <c r="F1079" s="1087">
        <v>0.98316389937477511</v>
      </c>
      <c r="G1079" s="1087">
        <v>1.016156372474283</v>
      </c>
      <c r="H1079" s="1087">
        <v>1.0160071948388854</v>
      </c>
      <c r="I1079" s="1087">
        <v>1.013915118645037</v>
      </c>
      <c r="K1079">
        <v>1.8723231796157724</v>
      </c>
      <c r="L1079">
        <v>0</v>
      </c>
      <c r="M1079">
        <v>3.7368266981250998E-3</v>
      </c>
      <c r="N1079">
        <v>0.35544153906567127</v>
      </c>
      <c r="O1079">
        <v>0.23898334526606513</v>
      </c>
      <c r="P1079">
        <v>1.3287385947943762E-2</v>
      </c>
      <c r="Q1079">
        <v>1.5994424019677761E-3</v>
      </c>
      <c r="R1079">
        <v>3.7305257203798263E-3</v>
      </c>
      <c r="S1079">
        <v>0.37797809933574172</v>
      </c>
      <c r="T1079">
        <v>0.39591729893883365</v>
      </c>
      <c r="U1079">
        <v>0</v>
      </c>
      <c r="V1079">
        <v>0.19952114135498747</v>
      </c>
      <c r="W1079">
        <v>0.22632833028572602</v>
      </c>
      <c r="X1079">
        <v>5.3119636753179447E-2</v>
      </c>
      <c r="Y1079">
        <v>1.0153261243400673E-2</v>
      </c>
    </row>
    <row r="1080" spans="1:25" x14ac:dyDescent="0.25">
      <c r="A1080" s="1083"/>
      <c r="B1080" s="1455">
        <v>830</v>
      </c>
      <c r="C1080" s="1087">
        <v>1.0242052620832613</v>
      </c>
      <c r="D1080" s="1087">
        <v>0.99528361706401003</v>
      </c>
      <c r="E1080" s="1087">
        <v>1.0024974268612861</v>
      </c>
      <c r="F1080" s="1087">
        <v>0.99954304372272773</v>
      </c>
      <c r="G1080" s="1087">
        <v>1.0129095928271381</v>
      </c>
      <c r="H1080" s="1087">
        <v>1.0000049405394136</v>
      </c>
      <c r="I1080" s="1087">
        <v>0.99855758261609595</v>
      </c>
      <c r="K1080">
        <v>1.8243109812230498</v>
      </c>
      <c r="L1080">
        <v>0</v>
      </c>
      <c r="M1080">
        <v>3.5417677758999553E-3</v>
      </c>
      <c r="N1080">
        <v>0.33886989618984037</v>
      </c>
      <c r="O1080">
        <v>0.23630846502379335</v>
      </c>
      <c r="P1080">
        <v>1.308131497215498E-2</v>
      </c>
      <c r="Q1080">
        <v>1.5533273602104654E-3</v>
      </c>
      <c r="R1080">
        <v>3.5356851486354735E-3</v>
      </c>
      <c r="S1080">
        <v>0.35697668038657321</v>
      </c>
      <c r="T1080">
        <v>0.40252485196185067</v>
      </c>
      <c r="U1080">
        <v>0</v>
      </c>
      <c r="V1080">
        <v>0.19744388518037637</v>
      </c>
      <c r="W1080">
        <v>0.2155161719096404</v>
      </c>
      <c r="X1080">
        <v>5.241950142958593E-2</v>
      </c>
      <c r="Y1080">
        <v>9.6229694362897564E-3</v>
      </c>
    </row>
    <row r="1081" spans="1:25" x14ac:dyDescent="0.25">
      <c r="A1081" s="1083"/>
      <c r="B1081" s="1455">
        <v>831</v>
      </c>
      <c r="C1081" s="1087">
        <v>1.0126683639270315</v>
      </c>
      <c r="D1081" s="1087">
        <v>0.98768317929072302</v>
      </c>
      <c r="E1081" s="1087">
        <v>1.006726644307024</v>
      </c>
      <c r="F1081" s="1087">
        <v>1.0272993090012481</v>
      </c>
      <c r="G1081" s="1087">
        <v>0.99679178290048609</v>
      </c>
      <c r="H1081" s="1087">
        <v>1.0199289437217074</v>
      </c>
      <c r="I1081" s="1087">
        <v>1.0053101272036578</v>
      </c>
      <c r="K1081">
        <v>1.8807931492692551</v>
      </c>
      <c r="L1081">
        <v>0</v>
      </c>
      <c r="M1081">
        <v>3.6370600724099115E-3</v>
      </c>
      <c r="N1081">
        <v>0.35251857633004513</v>
      </c>
      <c r="O1081">
        <v>0.24172932753120599</v>
      </c>
      <c r="P1081">
        <v>1.3491686335818967E-2</v>
      </c>
      <c r="Q1081">
        <v>1.5829490800563556E-3</v>
      </c>
      <c r="R1081">
        <v>3.6309424474297147E-3</v>
      </c>
      <c r="S1081">
        <v>0.36869534676135823</v>
      </c>
      <c r="T1081">
        <v>0.41372895744868121</v>
      </c>
      <c r="U1081">
        <v>0</v>
      </c>
      <c r="V1081">
        <v>0.20144732300886248</v>
      </c>
      <c r="W1081">
        <v>0.22360691312470984</v>
      </c>
      <c r="X1081">
        <v>5.4115958871448731E-2</v>
      </c>
      <c r="Y1081">
        <v>9.8822284020475722E-3</v>
      </c>
    </row>
    <row r="1082" spans="1:25" x14ac:dyDescent="0.25">
      <c r="A1082" s="1083"/>
      <c r="B1082" s="1455">
        <v>832</v>
      </c>
      <c r="C1082" s="1087">
        <v>0.9880071382615947</v>
      </c>
      <c r="D1082" s="1087">
        <v>1.0061527219556752</v>
      </c>
      <c r="E1082" s="1087">
        <v>0.9925527411864935</v>
      </c>
      <c r="F1082" s="1087">
        <v>1.0019479195149146</v>
      </c>
      <c r="G1082" s="1087">
        <v>1.019489398471743</v>
      </c>
      <c r="H1082" s="1087">
        <v>0.98610056372408028</v>
      </c>
      <c r="I1082" s="1087">
        <v>1.0302992347180409</v>
      </c>
      <c r="K1082">
        <v>1.8572217166138152</v>
      </c>
      <c r="L1082">
        <v>0</v>
      </c>
      <c r="M1082">
        <v>3.6736570541520343E-3</v>
      </c>
      <c r="N1082">
        <v>0.34097105349651741</v>
      </c>
      <c r="O1082">
        <v>0.23972126291411175</v>
      </c>
      <c r="P1082">
        <v>1.3312364332070423E-2</v>
      </c>
      <c r="Q1082">
        <v>1.5863355276541939E-3</v>
      </c>
      <c r="R1082">
        <v>3.6672499412918162E-3</v>
      </c>
      <c r="S1082">
        <v>0.37681194879573748</v>
      </c>
      <c r="T1082">
        <v>0.4034330494589381</v>
      </c>
      <c r="U1082">
        <v>0</v>
      </c>
      <c r="V1082">
        <v>0.20086271076229514</v>
      </c>
      <c r="W1082">
        <v>0.21820665113163937</v>
      </c>
      <c r="X1082">
        <v>5.2341701876133413E-2</v>
      </c>
      <c r="Y1082">
        <v>9.981045431578078E-3</v>
      </c>
    </row>
    <row r="1083" spans="1:25" x14ac:dyDescent="0.25">
      <c r="A1083" s="1083"/>
      <c r="B1083" s="1455">
        <v>833</v>
      </c>
      <c r="C1083" s="1087">
        <v>1.0047727550813665</v>
      </c>
      <c r="D1083" s="1087">
        <v>1.0044233376080509</v>
      </c>
      <c r="E1083" s="1087">
        <v>1.0087858588963443</v>
      </c>
      <c r="F1083" s="1087">
        <v>1.0099072464289003</v>
      </c>
      <c r="G1083" s="1087">
        <v>1.0120549837277173</v>
      </c>
      <c r="H1083" s="1087">
        <v>1.0008173183581832</v>
      </c>
      <c r="I1083" s="1087">
        <v>1.0059101672157409</v>
      </c>
      <c r="K1083">
        <v>1.8543122082560821</v>
      </c>
      <c r="L1083">
        <v>0</v>
      </c>
      <c r="M1083">
        <v>3.549567718777217E-3</v>
      </c>
      <c r="N1083">
        <v>0.34619348851679127</v>
      </c>
      <c r="O1083">
        <v>0.23900653920824802</v>
      </c>
      <c r="P1083">
        <v>1.3343621801613425E-2</v>
      </c>
      <c r="Q1083">
        <v>1.5881657407167534E-3</v>
      </c>
      <c r="R1083">
        <v>3.5434691062316602E-3</v>
      </c>
      <c r="S1083">
        <v>0.36493690330898654</v>
      </c>
      <c r="T1083">
        <v>0.40673724232810049</v>
      </c>
      <c r="U1083">
        <v>0</v>
      </c>
      <c r="V1083">
        <v>0.19991728756665939</v>
      </c>
      <c r="W1083">
        <v>0.21931411270164694</v>
      </c>
      <c r="X1083">
        <v>5.3636790892978632E-2</v>
      </c>
      <c r="Y1083">
        <v>9.6441548028856437E-3</v>
      </c>
    </row>
    <row r="1084" spans="1:25" x14ac:dyDescent="0.25">
      <c r="A1084" s="1083"/>
      <c r="B1084" s="1455">
        <v>834</v>
      </c>
      <c r="C1084" s="1087">
        <v>1.025735254298465</v>
      </c>
      <c r="D1084" s="1087">
        <v>1.0060219099323933</v>
      </c>
      <c r="E1084" s="1087">
        <v>1.0455022797072719</v>
      </c>
      <c r="F1084" s="1087">
        <v>1.0140969191303042</v>
      </c>
      <c r="G1084" s="1087">
        <v>0.99782255193096125</v>
      </c>
      <c r="H1084" s="1087">
        <v>0.95812590479506643</v>
      </c>
      <c r="I1084" s="1087">
        <v>0.98855488758648913</v>
      </c>
      <c r="K1084">
        <v>1.8121731899781464</v>
      </c>
      <c r="L1084">
        <v>0</v>
      </c>
      <c r="M1084">
        <v>3.0836003997404683E-3</v>
      </c>
      <c r="N1084">
        <v>0.33630491422923559</v>
      </c>
      <c r="O1084">
        <v>0.23733304136193065</v>
      </c>
      <c r="P1084">
        <v>1.3411289812476567E-2</v>
      </c>
      <c r="Q1084">
        <v>1.6158759500458975E-3</v>
      </c>
      <c r="R1084">
        <v>3.0780639190727353E-3</v>
      </c>
      <c r="S1084">
        <v>0.34392337355029184</v>
      </c>
      <c r="T1084">
        <v>0.408654501734947</v>
      </c>
      <c r="U1084">
        <v>0</v>
      </c>
      <c r="V1084">
        <v>0.19819547187255401</v>
      </c>
      <c r="W1084">
        <v>0.20831375915096209</v>
      </c>
      <c r="X1084">
        <v>5.6049023492151719E-2</v>
      </c>
      <c r="Y1084">
        <v>8.3774753042177661E-3</v>
      </c>
    </row>
    <row r="1085" spans="1:25" x14ac:dyDescent="0.25">
      <c r="A1085" s="1083"/>
      <c r="B1085" s="1455">
        <v>835</v>
      </c>
      <c r="C1085" s="1087">
        <v>0.97206974676793645</v>
      </c>
      <c r="D1085" s="1087">
        <v>1.0155713183213912</v>
      </c>
      <c r="E1085" s="1087">
        <v>1.0014098792983588</v>
      </c>
      <c r="F1085" s="1087">
        <v>1.0067870758190873</v>
      </c>
      <c r="G1085" s="1087">
        <v>0.98371692373424746</v>
      </c>
      <c r="H1085" s="1087">
        <v>0.99302277592143717</v>
      </c>
      <c r="I1085" s="1087">
        <v>1.0108074451671278</v>
      </c>
      <c r="K1085">
        <v>1.8766942050601421</v>
      </c>
      <c r="L1085">
        <v>0</v>
      </c>
      <c r="M1085">
        <v>3.6742311825767372E-3</v>
      </c>
      <c r="N1085">
        <v>0.35037326527785001</v>
      </c>
      <c r="O1085">
        <v>0.24146933036233975</v>
      </c>
      <c r="P1085">
        <v>1.3430118032332251E-2</v>
      </c>
      <c r="Q1085">
        <v>1.6216023253800241E-3</v>
      </c>
      <c r="R1085">
        <v>3.6678596811391077E-3</v>
      </c>
      <c r="S1085">
        <v>0.37521977378535204</v>
      </c>
      <c r="T1085">
        <v>0.40543544439038531</v>
      </c>
      <c r="U1085">
        <v>0</v>
      </c>
      <c r="V1085">
        <v>0.20259986165969288</v>
      </c>
      <c r="W1085">
        <v>0.22298339097544029</v>
      </c>
      <c r="X1085">
        <v>5.3585084810365384E-2</v>
      </c>
      <c r="Y1085">
        <v>9.9827049424417186E-3</v>
      </c>
    </row>
    <row r="1086" spans="1:25" x14ac:dyDescent="0.25">
      <c r="A1086" s="1083"/>
      <c r="B1086" s="1455">
        <v>836</v>
      </c>
      <c r="C1086" s="1087">
        <v>1.0160598520957533</v>
      </c>
      <c r="D1086" s="1087">
        <v>0.98899157429204543</v>
      </c>
      <c r="E1086" s="1087">
        <v>0.99362997719782964</v>
      </c>
      <c r="F1086" s="1087">
        <v>1.0135851021144775</v>
      </c>
      <c r="G1086" s="1087">
        <v>0.98991407431811163</v>
      </c>
      <c r="H1086" s="1087">
        <v>0.99997676492410159</v>
      </c>
      <c r="I1086" s="1087">
        <v>0.9982438837230968</v>
      </c>
      <c r="K1086">
        <v>1.842076545500043</v>
      </c>
      <c r="L1086">
        <v>0</v>
      </c>
      <c r="M1086">
        <v>3.6479807158385745E-3</v>
      </c>
      <c r="N1086">
        <v>0.33971296425062558</v>
      </c>
      <c r="O1086">
        <v>0.23941204857961751</v>
      </c>
      <c r="P1086">
        <v>1.3155852467545651E-2</v>
      </c>
      <c r="Q1086">
        <v>1.5549795062113415E-3</v>
      </c>
      <c r="R1086">
        <v>3.6417212719199233E-3</v>
      </c>
      <c r="S1086">
        <v>0.36089226590889489</v>
      </c>
      <c r="T1086">
        <v>0.40812532935758988</v>
      </c>
      <c r="U1086">
        <v>0</v>
      </c>
      <c r="V1086">
        <v>0.19977460689808893</v>
      </c>
      <c r="W1086">
        <v>0.21725448650995807</v>
      </c>
      <c r="X1086">
        <v>5.2288706656356099E-2</v>
      </c>
      <c r="Y1086">
        <v>9.9115648090713805E-3</v>
      </c>
    </row>
    <row r="1087" spans="1:25" x14ac:dyDescent="0.25">
      <c r="A1087" s="1083"/>
      <c r="B1087" s="1455">
        <v>837</v>
      </c>
      <c r="C1087" s="1087">
        <v>1.0443860759931869</v>
      </c>
      <c r="D1087" s="1087">
        <v>0.97861363543051827</v>
      </c>
      <c r="E1087" s="1087">
        <v>0.98169346051174777</v>
      </c>
      <c r="F1087" s="1087">
        <v>0.98905342172035138</v>
      </c>
      <c r="G1087" s="1087">
        <v>0.99494644368313734</v>
      </c>
      <c r="H1087" s="1087">
        <v>0.9633034633538049</v>
      </c>
      <c r="I1087" s="1087">
        <v>0.98253455230596443</v>
      </c>
      <c r="K1087">
        <v>1.7623399870939656</v>
      </c>
      <c r="L1087">
        <v>0</v>
      </c>
      <c r="M1087">
        <v>3.5231059639660974E-3</v>
      </c>
      <c r="N1087">
        <v>0.31631797367693537</v>
      </c>
      <c r="O1087">
        <v>0.23412421099404335</v>
      </c>
      <c r="P1087">
        <v>1.2577657877261028E-2</v>
      </c>
      <c r="Q1087">
        <v>1.4998785520108711E-3</v>
      </c>
      <c r="R1087">
        <v>3.5168396836545157E-3</v>
      </c>
      <c r="S1087">
        <v>0.3411428810471589</v>
      </c>
      <c r="T1087">
        <v>0.39817661915810554</v>
      </c>
      <c r="U1087">
        <v>0</v>
      </c>
      <c r="V1087">
        <v>0.19526714281623297</v>
      </c>
      <c r="W1087">
        <v>0.2038214185712191</v>
      </c>
      <c r="X1087">
        <v>4.9846792388291115E-2</v>
      </c>
      <c r="Y1087">
        <v>9.571678293017449E-3</v>
      </c>
    </row>
    <row r="1088" spans="1:25" x14ac:dyDescent="0.25">
      <c r="A1088" s="1083"/>
      <c r="B1088" s="1455">
        <v>838</v>
      </c>
      <c r="C1088" s="1087">
        <v>1.0032554949589267</v>
      </c>
      <c r="D1088" s="1087">
        <v>0.98100275262364856</v>
      </c>
      <c r="E1088" s="1087">
        <v>1.0004052648089667</v>
      </c>
      <c r="F1088" s="1087">
        <v>0.98979812972041448</v>
      </c>
      <c r="G1088" s="1087">
        <v>0.96825389665245354</v>
      </c>
      <c r="H1088" s="1087">
        <v>1.0393346099685667</v>
      </c>
      <c r="I1088" s="1087">
        <v>0.97772275581683865</v>
      </c>
      <c r="K1088">
        <v>1.8740989340797189</v>
      </c>
      <c r="L1088">
        <v>0</v>
      </c>
      <c r="M1088">
        <v>3.8037797424205631E-3</v>
      </c>
      <c r="N1088">
        <v>0.36164753130887567</v>
      </c>
      <c r="O1088">
        <v>0.23903295561712051</v>
      </c>
      <c r="P1088">
        <v>1.3168753735474754E-2</v>
      </c>
      <c r="Q1088">
        <v>1.5914083323230828E-3</v>
      </c>
      <c r="R1088">
        <v>3.797507305008017E-3</v>
      </c>
      <c r="S1088">
        <v>0.36670631982925123</v>
      </c>
      <c r="T1088">
        <v>0.39858792825342776</v>
      </c>
      <c r="U1088">
        <v>0</v>
      </c>
      <c r="V1088">
        <v>0.19954752944037923</v>
      </c>
      <c r="W1088">
        <v>0.23030294049526157</v>
      </c>
      <c r="X1088">
        <v>5.3184276468731265E-2</v>
      </c>
      <c r="Y1088">
        <v>1.0335563036285165E-2</v>
      </c>
    </row>
    <row r="1089" spans="1:25" x14ac:dyDescent="0.25">
      <c r="A1089" s="1083"/>
      <c r="B1089" s="1455">
        <v>839</v>
      </c>
      <c r="C1089" s="1087">
        <v>0.97778017146687224</v>
      </c>
      <c r="D1089" s="1087">
        <v>0.96892786254338203</v>
      </c>
      <c r="E1089" s="1087">
        <v>1.0092803332068503</v>
      </c>
      <c r="F1089" s="1087">
        <v>0.98839299798103952</v>
      </c>
      <c r="G1089" s="1087">
        <v>1.0168092647129161</v>
      </c>
      <c r="H1089" s="1087">
        <v>0.97303279844830137</v>
      </c>
      <c r="I1089" s="1087">
        <v>0.98415731088784819</v>
      </c>
      <c r="K1089">
        <v>1.8688722263880637</v>
      </c>
      <c r="L1089">
        <v>0</v>
      </c>
      <c r="M1089">
        <v>3.6114261038287573E-3</v>
      </c>
      <c r="N1089">
        <v>0.35274383093935718</v>
      </c>
      <c r="O1089">
        <v>0.24329967706117675</v>
      </c>
      <c r="P1089">
        <v>1.332764138662694E-2</v>
      </c>
      <c r="Q1089">
        <v>1.656533995595081E-3</v>
      </c>
      <c r="R1089">
        <v>3.6050747264788404E-3</v>
      </c>
      <c r="S1089">
        <v>0.36910012159576489</v>
      </c>
      <c r="T1089">
        <v>0.39807542081800951</v>
      </c>
      <c r="U1089">
        <v>0</v>
      </c>
      <c r="V1089">
        <v>0.20289563474297104</v>
      </c>
      <c r="W1089">
        <v>0.22339520127737456</v>
      </c>
      <c r="X1089">
        <v>5.4572690955626245E-2</v>
      </c>
      <c r="Y1089">
        <v>9.8118249929112153E-3</v>
      </c>
    </row>
    <row r="1090" spans="1:25" x14ac:dyDescent="0.25">
      <c r="A1090" s="1083"/>
      <c r="B1090" s="1455">
        <v>840</v>
      </c>
      <c r="C1090" s="1087">
        <v>1.0002269582814161</v>
      </c>
      <c r="D1090" s="1087">
        <v>0.9787609967667058</v>
      </c>
      <c r="E1090" s="1087">
        <v>0.99766347458626525</v>
      </c>
      <c r="F1090" s="1087">
        <v>1.0167565397410636</v>
      </c>
      <c r="G1090" s="1087">
        <v>0.97833619127591409</v>
      </c>
      <c r="H1090" s="1087">
        <v>0.98549546452467784</v>
      </c>
      <c r="I1090" s="1087">
        <v>1.0059628413064996</v>
      </c>
      <c r="K1090">
        <v>1.8642140909559688</v>
      </c>
      <c r="L1090">
        <v>0</v>
      </c>
      <c r="M1090">
        <v>3.6427882391641088E-3</v>
      </c>
      <c r="N1090">
        <v>0.3434243926828448</v>
      </c>
      <c r="O1090">
        <v>0.24280942555971988</v>
      </c>
      <c r="P1090">
        <v>1.3358020656023682E-2</v>
      </c>
      <c r="Q1090">
        <v>1.5930249777808539E-3</v>
      </c>
      <c r="R1090">
        <v>3.6364556385702603E-3</v>
      </c>
      <c r="S1090">
        <v>0.36896727280794422</v>
      </c>
      <c r="T1090">
        <v>0.40942709730803878</v>
      </c>
      <c r="U1090">
        <v>0</v>
      </c>
      <c r="V1090">
        <v>0.20231969529753993</v>
      </c>
      <c r="W1090">
        <v>0.21907340672274489</v>
      </c>
      <c r="X1090">
        <v>5.3350854053018364E-2</v>
      </c>
      <c r="Y1090">
        <v>9.8972334909091676E-3</v>
      </c>
    </row>
    <row r="1091" spans="1:25" x14ac:dyDescent="0.25">
      <c r="A1091" s="1083"/>
      <c r="B1091" s="1455">
        <v>841</v>
      </c>
      <c r="C1091" s="1087">
        <v>1.0110078531784576</v>
      </c>
      <c r="D1091" s="1087">
        <v>1.0240712912763601</v>
      </c>
      <c r="E1091" s="1087">
        <v>1.0027116165678154</v>
      </c>
      <c r="F1091" s="1087">
        <v>0.98465138338512559</v>
      </c>
      <c r="G1091" s="1087">
        <v>1.0077109871814822</v>
      </c>
      <c r="H1091" s="1087">
        <v>0.98595880410277981</v>
      </c>
      <c r="I1091" s="1087">
        <v>0.97602249528322071</v>
      </c>
      <c r="K1091">
        <v>1.7923527471530627</v>
      </c>
      <c r="L1091">
        <v>0</v>
      </c>
      <c r="M1091">
        <v>3.4820994985719053E-3</v>
      </c>
      <c r="N1091">
        <v>0.3333682567227243</v>
      </c>
      <c r="O1091">
        <v>0.2333262234042878</v>
      </c>
      <c r="P1091">
        <v>1.2825800258284347E-2</v>
      </c>
      <c r="Q1091">
        <v>1.5561129586715457E-3</v>
      </c>
      <c r="R1091">
        <v>3.4760100216687799E-3</v>
      </c>
      <c r="S1091">
        <v>0.34552445773531909</v>
      </c>
      <c r="T1091">
        <v>0.39652912847621735</v>
      </c>
      <c r="U1091">
        <v>0</v>
      </c>
      <c r="V1091">
        <v>0.19605102319987069</v>
      </c>
      <c r="W1091">
        <v>0.21198889474575108</v>
      </c>
      <c r="X1091">
        <v>5.1728385716252372E-2</v>
      </c>
      <c r="Y1091">
        <v>9.4605534125867339E-3</v>
      </c>
    </row>
    <row r="1092" spans="1:25" x14ac:dyDescent="0.25">
      <c r="A1092" s="1083"/>
      <c r="B1092" s="1455">
        <v>842</v>
      </c>
      <c r="C1092" s="1087">
        <v>0.99390688954818496</v>
      </c>
      <c r="D1092" s="1087">
        <v>1.0169910101945434</v>
      </c>
      <c r="E1092" s="1087">
        <v>1.0036709472045433</v>
      </c>
      <c r="F1092" s="1087">
        <v>1.021016562636466</v>
      </c>
      <c r="G1092" s="1087">
        <v>0.95695921840976073</v>
      </c>
      <c r="H1092" s="1087">
        <v>1.0082083849896164</v>
      </c>
      <c r="I1092" s="1087">
        <v>1.0218509705862475</v>
      </c>
      <c r="K1092">
        <v>1.8746097764440626</v>
      </c>
      <c r="L1092">
        <v>0</v>
      </c>
      <c r="M1092">
        <v>3.6283841054446792E-3</v>
      </c>
      <c r="N1092">
        <v>0.34840547216456336</v>
      </c>
      <c r="O1092">
        <v>0.24029295438589793</v>
      </c>
      <c r="P1092">
        <v>1.3490565467342567E-2</v>
      </c>
      <c r="Q1092">
        <v>1.588906712980851E-3</v>
      </c>
      <c r="R1092">
        <v>3.6221848235372992E-3</v>
      </c>
      <c r="S1092">
        <v>0.37350692571405242</v>
      </c>
      <c r="T1092">
        <v>0.41117970444197105</v>
      </c>
      <c r="U1092">
        <v>0</v>
      </c>
      <c r="V1092">
        <v>0.20133550849970147</v>
      </c>
      <c r="W1092">
        <v>0.2214186186162897</v>
      </c>
      <c r="X1092">
        <v>5.3538926686406446E-2</v>
      </c>
      <c r="Y1092">
        <v>9.8583930367623571E-3</v>
      </c>
    </row>
    <row r="1093" spans="1:25" x14ac:dyDescent="0.25">
      <c r="A1093" s="1083"/>
      <c r="B1093" s="1455">
        <v>843</v>
      </c>
      <c r="C1093" s="1087">
        <v>1.0106403955220222</v>
      </c>
      <c r="D1093" s="1087">
        <v>1.0272222982436678</v>
      </c>
      <c r="E1093" s="1087">
        <v>0.99760801899021634</v>
      </c>
      <c r="F1093" s="1087">
        <v>0.95296194283118107</v>
      </c>
      <c r="G1093" s="1087">
        <v>1.0269645167963728</v>
      </c>
      <c r="H1093" s="1087">
        <v>0.98065840399957993</v>
      </c>
      <c r="I1093" s="1087">
        <v>1.0105749621137488</v>
      </c>
      <c r="K1093">
        <v>1.7763547840600158</v>
      </c>
      <c r="L1093">
        <v>0</v>
      </c>
      <c r="M1093">
        <v>3.4952534129547887E-3</v>
      </c>
      <c r="N1093">
        <v>0.32945296326698087</v>
      </c>
      <c r="O1093">
        <v>0.22927744344247533</v>
      </c>
      <c r="P1093">
        <v>1.2710289291608905E-2</v>
      </c>
      <c r="Q1093">
        <v>1.5463353335406459E-3</v>
      </c>
      <c r="R1093">
        <v>3.489105352450411E-3</v>
      </c>
      <c r="S1093">
        <v>0.35627859954223429</v>
      </c>
      <c r="T1093">
        <v>0.38373799608976189</v>
      </c>
      <c r="U1093">
        <v>0</v>
      </c>
      <c r="V1093">
        <v>0.1931798147229026</v>
      </c>
      <c r="W1093">
        <v>0.21016820554201709</v>
      </c>
      <c r="X1093">
        <v>5.0513090302897953E-2</v>
      </c>
      <c r="Y1093">
        <v>9.496194586099703E-3</v>
      </c>
    </row>
    <row r="1094" spans="1:25" x14ac:dyDescent="0.25">
      <c r="A1094" s="1083"/>
      <c r="B1094" s="1455">
        <v>844</v>
      </c>
      <c r="C1094" s="1087">
        <v>1.0026818287964052</v>
      </c>
      <c r="D1094" s="1087">
        <v>1.0335485786106033</v>
      </c>
      <c r="E1094" s="1087">
        <v>1.0049009269240916</v>
      </c>
      <c r="F1094" s="1087">
        <v>0.99403446737607137</v>
      </c>
      <c r="G1094" s="1087">
        <v>0.99904114722100612</v>
      </c>
      <c r="H1094" s="1087">
        <v>0.99414079459526417</v>
      </c>
      <c r="I1094" s="1087">
        <v>1.0091121998898473</v>
      </c>
      <c r="K1094">
        <v>1.8210852987454387</v>
      </c>
      <c r="L1094">
        <v>0</v>
      </c>
      <c r="M1094">
        <v>3.5067891141223012E-3</v>
      </c>
      <c r="N1094">
        <v>0.33798603440454983</v>
      </c>
      <c r="O1094">
        <v>0.23452272255822817</v>
      </c>
      <c r="P1094">
        <v>1.3111550703946408E-2</v>
      </c>
      <c r="Q1094">
        <v>1.5669076027190582E-3</v>
      </c>
      <c r="R1094">
        <v>3.5006990056432375E-3</v>
      </c>
      <c r="S1094">
        <v>0.35986921533702693</v>
      </c>
      <c r="T1094">
        <v>0.4003210137287086</v>
      </c>
      <c r="U1094">
        <v>0</v>
      </c>
      <c r="V1094">
        <v>0.19725515832292886</v>
      </c>
      <c r="W1094">
        <v>0.2146323769305514</v>
      </c>
      <c r="X1094">
        <v>5.2298660577013011E-2</v>
      </c>
      <c r="Y1094">
        <v>9.5277486882438291E-3</v>
      </c>
    </row>
    <row r="1095" spans="1:25" x14ac:dyDescent="0.25">
      <c r="A1095" s="1083"/>
      <c r="B1095" s="1455">
        <v>845</v>
      </c>
      <c r="C1095" s="1087">
        <v>0.97466107191712048</v>
      </c>
      <c r="D1095" s="1087">
        <v>1.010374616777574</v>
      </c>
      <c r="E1095" s="1087">
        <v>1.0104710816595444</v>
      </c>
      <c r="F1095" s="1087">
        <v>1.0274764377876007</v>
      </c>
      <c r="G1095" s="1087">
        <v>0.98798633816901238</v>
      </c>
      <c r="H1095" s="1087">
        <v>0.96955582385854766</v>
      </c>
      <c r="I1095" s="1087">
        <v>0.97626256292380176</v>
      </c>
      <c r="K1095">
        <v>1.8638505367027327</v>
      </c>
      <c r="L1095">
        <v>0</v>
      </c>
      <c r="M1095">
        <v>3.521815462252045E-3</v>
      </c>
      <c r="N1095">
        <v>0.34523695448048886</v>
      </c>
      <c r="O1095">
        <v>0.24423140854907555</v>
      </c>
      <c r="P1095">
        <v>1.342862281052582E-2</v>
      </c>
      <c r="Q1095">
        <v>1.6362882435726742E-3</v>
      </c>
      <c r="R1095">
        <v>3.5155648913885646E-3</v>
      </c>
      <c r="S1095">
        <v>0.35831912792048376</v>
      </c>
      <c r="T1095">
        <v>0.41382374671347755</v>
      </c>
      <c r="U1095">
        <v>0</v>
      </c>
      <c r="V1095">
        <v>0.20442188244432216</v>
      </c>
      <c r="W1095">
        <v>0.21847963428744027</v>
      </c>
      <c r="X1095">
        <v>5.4710913095502599E-2</v>
      </c>
      <c r="Y1095">
        <v>9.5682087287046868E-3</v>
      </c>
    </row>
    <row r="1096" spans="1:25" x14ac:dyDescent="0.25">
      <c r="A1096" s="1083"/>
      <c r="B1096" s="1455">
        <v>846</v>
      </c>
      <c r="C1096" s="1087">
        <v>0.97808961055421328</v>
      </c>
      <c r="D1096" s="1087">
        <v>0.96539875237422612</v>
      </c>
      <c r="E1096" s="1087">
        <v>0.95504166318866779</v>
      </c>
      <c r="F1096" s="1087">
        <v>1.0000663509190384</v>
      </c>
      <c r="G1096" s="1087">
        <v>1.0162814652468677</v>
      </c>
      <c r="H1096" s="1087">
        <v>0.98036047922850478</v>
      </c>
      <c r="I1096" s="1087">
        <v>1.0066733541965327</v>
      </c>
      <c r="K1096">
        <v>1.8627166867110405</v>
      </c>
      <c r="L1096">
        <v>0</v>
      </c>
      <c r="M1096">
        <v>4.0714086338335875E-3</v>
      </c>
      <c r="N1096">
        <v>0.33694069528317522</v>
      </c>
      <c r="O1096">
        <v>0.24426458051034244</v>
      </c>
      <c r="P1096">
        <v>1.29901512837814E-2</v>
      </c>
      <c r="Q1096">
        <v>1.5644519286882931E-3</v>
      </c>
      <c r="R1096">
        <v>4.0643061410646003E-3</v>
      </c>
      <c r="S1096">
        <v>0.37896065660639011</v>
      </c>
      <c r="T1096">
        <v>0.40245245003564578</v>
      </c>
      <c r="U1096">
        <v>0</v>
      </c>
      <c r="V1096">
        <v>0.20375909137564713</v>
      </c>
      <c r="W1096">
        <v>0.22084447237763513</v>
      </c>
      <c r="X1096">
        <v>4.9885538284685463E-2</v>
      </c>
      <c r="Y1096">
        <v>1.1061701517818519E-2</v>
      </c>
    </row>
    <row r="1097" spans="1:25" x14ac:dyDescent="0.25">
      <c r="A1097" s="1083"/>
      <c r="B1097" s="1455">
        <v>847</v>
      </c>
      <c r="C1097" s="1087">
        <v>1.019378841268245</v>
      </c>
      <c r="D1097" s="1087">
        <v>0.97435443321313087</v>
      </c>
      <c r="E1097" s="1087">
        <v>1.0020193462500073</v>
      </c>
      <c r="F1097" s="1087">
        <v>1.0369663316367068</v>
      </c>
      <c r="G1097" s="1087">
        <v>1.038725287102044</v>
      </c>
      <c r="H1097" s="1087">
        <v>1.0044570946798017</v>
      </c>
      <c r="I1097" s="1087">
        <v>1.0113262981877376</v>
      </c>
      <c r="K1097">
        <v>1.8761132364378459</v>
      </c>
      <c r="L1097">
        <v>0</v>
      </c>
      <c r="M1097">
        <v>3.619219072285758E-3</v>
      </c>
      <c r="N1097">
        <v>0.3457799424688916</v>
      </c>
      <c r="O1097">
        <v>0.2433421875067675</v>
      </c>
      <c r="P1097">
        <v>1.3504103720729705E-2</v>
      </c>
      <c r="Q1097">
        <v>1.5732051183058732E-3</v>
      </c>
      <c r="R1097">
        <v>3.6130494381890858E-3</v>
      </c>
      <c r="S1097">
        <v>0.36836937226890631</v>
      </c>
      <c r="T1097">
        <v>0.41759253336254915</v>
      </c>
      <c r="U1097">
        <v>0</v>
      </c>
      <c r="V1097">
        <v>0.20226391043446962</v>
      </c>
      <c r="W1097">
        <v>0.21997644681144479</v>
      </c>
      <c r="X1097">
        <v>5.3884174850552823E-2</v>
      </c>
      <c r="Y1097">
        <v>9.8335295293234936E-3</v>
      </c>
    </row>
    <row r="1098" spans="1:25" x14ac:dyDescent="0.25">
      <c r="A1098" s="1083"/>
      <c r="B1098" s="1455">
        <v>848</v>
      </c>
      <c r="C1098" s="1087">
        <v>0.96619328705922047</v>
      </c>
      <c r="D1098" s="1087">
        <v>1.0010077476055286</v>
      </c>
      <c r="E1098" s="1087">
        <v>1.0252522953868917</v>
      </c>
      <c r="F1098" s="1087">
        <v>0.99719901244855713</v>
      </c>
      <c r="G1098" s="1087">
        <v>0.96508943171680817</v>
      </c>
      <c r="H1098" s="1087">
        <v>1.0088712042550267</v>
      </c>
      <c r="I1098" s="1087">
        <v>1.0120047789553026</v>
      </c>
      <c r="K1098">
        <v>1.9151295154876622</v>
      </c>
      <c r="L1098">
        <v>0</v>
      </c>
      <c r="M1098">
        <v>3.6041069781853501E-3</v>
      </c>
      <c r="N1098">
        <v>0.36961014538058767</v>
      </c>
      <c r="O1098">
        <v>0.24285086994354046</v>
      </c>
      <c r="P1098">
        <v>1.3752478283200536E-2</v>
      </c>
      <c r="Q1098">
        <v>1.6828487085390697E-3</v>
      </c>
      <c r="R1098">
        <v>3.5979670983903099E-3</v>
      </c>
      <c r="S1098">
        <v>0.38425923581104227</v>
      </c>
      <c r="T1098">
        <v>0.40171972200581724</v>
      </c>
      <c r="U1098">
        <v>0</v>
      </c>
      <c r="V1098">
        <v>0.20334584712208367</v>
      </c>
      <c r="W1098">
        <v>0.23178214183917292</v>
      </c>
      <c r="X1098">
        <v>5.6339885901190337E-2</v>
      </c>
      <c r="Y1098">
        <v>9.7924803722832018E-3</v>
      </c>
    </row>
    <row r="1099" spans="1:25" x14ac:dyDescent="0.25">
      <c r="A1099" s="1083"/>
      <c r="B1099" s="1455">
        <v>849</v>
      </c>
      <c r="C1099" s="1087">
        <v>0.99404300698675641</v>
      </c>
      <c r="D1099" s="1087">
        <v>0.98291891678186849</v>
      </c>
      <c r="E1099" s="1087">
        <v>1.0027914257154935</v>
      </c>
      <c r="F1099" s="1087">
        <v>0.98002796992266961</v>
      </c>
      <c r="G1099" s="1087">
        <v>0.9997434151213731</v>
      </c>
      <c r="H1099" s="1087">
        <v>0.9999127886446193</v>
      </c>
      <c r="I1099" s="1087">
        <v>1.0141134160344714</v>
      </c>
      <c r="K1099">
        <v>1.8623403936604503</v>
      </c>
      <c r="L1099">
        <v>0</v>
      </c>
      <c r="M1099">
        <v>3.6712412925708165E-3</v>
      </c>
      <c r="N1099">
        <v>0.35157388855545357</v>
      </c>
      <c r="O1099">
        <v>0.23879892430236174</v>
      </c>
      <c r="P1099">
        <v>1.3267787801642313E-2</v>
      </c>
      <c r="Q1099">
        <v>1.6089863297801643E-3</v>
      </c>
      <c r="R1099">
        <v>3.6649464711900484E-3</v>
      </c>
      <c r="S1099">
        <v>0.37611357184330541</v>
      </c>
      <c r="T1099">
        <v>0.39466770768819864</v>
      </c>
      <c r="U1099">
        <v>0</v>
      </c>
      <c r="V1099">
        <v>0.19958986306116389</v>
      </c>
      <c r="W1099">
        <v>0.22355473199754039</v>
      </c>
      <c r="X1099">
        <v>5.3196450757085657E-2</v>
      </c>
      <c r="Y1099">
        <v>9.9747761452997803E-3</v>
      </c>
    </row>
    <row r="1100" spans="1:25" x14ac:dyDescent="0.25">
      <c r="A1100" s="1083"/>
      <c r="B1100" s="1455">
        <v>850</v>
      </c>
      <c r="C1100" s="1087">
        <v>0.98586442905431526</v>
      </c>
      <c r="D1100" s="1087">
        <v>0.98313880121583364</v>
      </c>
      <c r="E1100" s="1087">
        <v>0.99155681441018662</v>
      </c>
      <c r="F1100" s="1087">
        <v>1.0383482455348165</v>
      </c>
      <c r="G1100" s="1087">
        <v>1.0324939639236543</v>
      </c>
      <c r="H1100" s="1087">
        <v>1.0208346584417192</v>
      </c>
      <c r="I1100" s="1087">
        <v>0.99256228346401743</v>
      </c>
      <c r="K1100">
        <v>1.9115389619391865</v>
      </c>
      <c r="L1100">
        <v>0</v>
      </c>
      <c r="M1100">
        <v>3.8672659076262493E-3</v>
      </c>
      <c r="N1100">
        <v>0.35787425040052201</v>
      </c>
      <c r="O1100">
        <v>0.24659632171372634</v>
      </c>
      <c r="P1100">
        <v>1.3537458718727666E-2</v>
      </c>
      <c r="Q1100">
        <v>1.6028569927691815E-3</v>
      </c>
      <c r="R1100">
        <v>3.8607719638114207E-3</v>
      </c>
      <c r="S1100">
        <v>0.37488983329587405</v>
      </c>
      <c r="T1100">
        <v>0.41808336388141226</v>
      </c>
      <c r="U1100">
        <v>0</v>
      </c>
      <c r="V1100">
        <v>0.20547187788010912</v>
      </c>
      <c r="W1100">
        <v>0.22916737875371712</v>
      </c>
      <c r="X1100">
        <v>5.3814365663781942E-2</v>
      </c>
      <c r="Y1100">
        <v>1.0507748582358863E-2</v>
      </c>
    </row>
    <row r="1101" spans="1:25" x14ac:dyDescent="0.25">
      <c r="A1101" s="1083"/>
      <c r="B1101" s="1455">
        <v>851</v>
      </c>
      <c r="C1101" s="1087">
        <v>0.98766209024445062</v>
      </c>
      <c r="D1101" s="1087">
        <v>1.0050083710625144</v>
      </c>
      <c r="E1101" s="1087">
        <v>0.9618089200386547</v>
      </c>
      <c r="F1101" s="1087">
        <v>1.017265538317158</v>
      </c>
      <c r="G1101" s="1087">
        <v>0.96447594184769092</v>
      </c>
      <c r="H1101" s="1087">
        <v>1.0181955494497281</v>
      </c>
      <c r="I1101" s="1087">
        <v>0.98228629471645712</v>
      </c>
      <c r="K1101">
        <v>1.8576251824206997</v>
      </c>
      <c r="L1101">
        <v>0</v>
      </c>
      <c r="M1101">
        <v>4.0424037321599385E-3</v>
      </c>
      <c r="N1101">
        <v>0.34156143959131524</v>
      </c>
      <c r="O1101">
        <v>0.24122849479119812</v>
      </c>
      <c r="P1101">
        <v>1.294379184638712E-2</v>
      </c>
      <c r="Q1101">
        <v>1.5358451540731476E-3</v>
      </c>
      <c r="R1101">
        <v>4.0355768208178901E-3</v>
      </c>
      <c r="S1101">
        <v>0.36502620180275003</v>
      </c>
      <c r="T1101">
        <v>0.40941429392365353</v>
      </c>
      <c r="U1101">
        <v>0</v>
      </c>
      <c r="V1101">
        <v>0.20208870900157494</v>
      </c>
      <c r="W1101">
        <v>0.22289839061647587</v>
      </c>
      <c r="X1101">
        <v>4.9951332825887693E-2</v>
      </c>
      <c r="Y1101">
        <v>1.0983509778724847E-2</v>
      </c>
    </row>
    <row r="1102" spans="1:25" x14ac:dyDescent="0.25">
      <c r="A1102" s="1083"/>
      <c r="B1102" s="1455">
        <v>852</v>
      </c>
      <c r="C1102" s="1087">
        <v>1.0105775855047245</v>
      </c>
      <c r="D1102" s="1087">
        <v>1.029615610639971</v>
      </c>
      <c r="E1102" s="1087">
        <v>1.0063135294124474</v>
      </c>
      <c r="F1102" s="1087">
        <v>0.99036070869756621</v>
      </c>
      <c r="G1102" s="1087">
        <v>0.99688913141692026</v>
      </c>
      <c r="H1102" s="1087">
        <v>1.0193593518242614</v>
      </c>
      <c r="I1102" s="1087">
        <v>1.0171939579143561</v>
      </c>
      <c r="K1102">
        <v>1.8347217204385986</v>
      </c>
      <c r="L1102">
        <v>0</v>
      </c>
      <c r="M1102">
        <v>3.5645836274026681E-3</v>
      </c>
      <c r="N1102">
        <v>0.34505504503610118</v>
      </c>
      <c r="O1102">
        <v>0.23355330169827168</v>
      </c>
      <c r="P1102">
        <v>1.3165616844527061E-2</v>
      </c>
      <c r="Q1102">
        <v>1.5593765741177326E-3</v>
      </c>
      <c r="R1102">
        <v>3.5585493563070267E-3</v>
      </c>
      <c r="S1102">
        <v>0.36521851818784568</v>
      </c>
      <c r="T1102">
        <v>0.39885001525374364</v>
      </c>
      <c r="U1102">
        <v>0</v>
      </c>
      <c r="V1102">
        <v>0.19631750596819977</v>
      </c>
      <c r="W1102">
        <v>0.21892892970373781</v>
      </c>
      <c r="X1102">
        <v>5.2394247170759661E-2</v>
      </c>
      <c r="Y1102">
        <v>9.6851982723876913E-3</v>
      </c>
    </row>
    <row r="1103" spans="1:25" x14ac:dyDescent="0.25">
      <c r="A1103" s="1083"/>
      <c r="B1103" s="1455">
        <v>853</v>
      </c>
      <c r="C1103" s="1087">
        <v>1.0301632742954325</v>
      </c>
      <c r="D1103" s="1087">
        <v>0.99214317850620026</v>
      </c>
      <c r="E1103" s="1087">
        <v>1.0029102905722351</v>
      </c>
      <c r="F1103" s="1087">
        <v>0.96234195187655269</v>
      </c>
      <c r="G1103" s="1087">
        <v>0.99519340169576387</v>
      </c>
      <c r="H1103" s="1087">
        <v>1.0220366117599518</v>
      </c>
      <c r="I1103" s="1087">
        <v>1.0241800077707586</v>
      </c>
      <c r="K1103">
        <v>1.8220552220728448</v>
      </c>
      <c r="L1103">
        <v>0</v>
      </c>
      <c r="M1103">
        <v>3.6019187429281439E-3</v>
      </c>
      <c r="N1103">
        <v>0.34507246958464344</v>
      </c>
      <c r="O1103">
        <v>0.23155246314424321</v>
      </c>
      <c r="P1103">
        <v>1.2990392228816705E-2</v>
      </c>
      <c r="Q1103">
        <v>1.5469765457575004E-3</v>
      </c>
      <c r="R1103">
        <v>3.5958687590510255E-3</v>
      </c>
      <c r="S1103">
        <v>0.36864935032882051</v>
      </c>
      <c r="T1103">
        <v>0.38754605424349925</v>
      </c>
      <c r="U1103">
        <v>0</v>
      </c>
      <c r="V1103">
        <v>0.19380406835148287</v>
      </c>
      <c r="W1103">
        <v>0.21940442425626713</v>
      </c>
      <c r="X1103">
        <v>5.170830398887101E-2</v>
      </c>
      <c r="Y1103">
        <v>9.7867693843190461E-3</v>
      </c>
    </row>
    <row r="1104" spans="1:25" x14ac:dyDescent="0.25">
      <c r="A1104" s="1083"/>
      <c r="B1104" s="1455">
        <v>854</v>
      </c>
      <c r="C1104" s="1087">
        <v>0.98757369306562048</v>
      </c>
      <c r="D1104" s="1087">
        <v>1.0190325624824732</v>
      </c>
      <c r="E1104" s="1087">
        <v>1.0222991630993521</v>
      </c>
      <c r="F1104" s="1087">
        <v>1.0017071652578986</v>
      </c>
      <c r="G1104" s="1087">
        <v>0.99353633809840103</v>
      </c>
      <c r="H1104" s="1087">
        <v>0.9772255744026197</v>
      </c>
      <c r="I1104" s="1087">
        <v>1.027536538357243</v>
      </c>
      <c r="K1104">
        <v>1.8572115515488343</v>
      </c>
      <c r="L1104">
        <v>0</v>
      </c>
      <c r="M1104">
        <v>3.4034751736377986E-3</v>
      </c>
      <c r="N1104">
        <v>0.34588825713475302</v>
      </c>
      <c r="O1104">
        <v>0.23890501641845405</v>
      </c>
      <c r="P1104">
        <v>1.3537040787974682E-2</v>
      </c>
      <c r="Q1104">
        <v>1.6296312201120448E-3</v>
      </c>
      <c r="R1104">
        <v>3.3974746768626238E-3</v>
      </c>
      <c r="S1104">
        <v>0.37202158023980703</v>
      </c>
      <c r="T1104">
        <v>0.40351759995685899</v>
      </c>
      <c r="U1104">
        <v>0</v>
      </c>
      <c r="V1104">
        <v>0.20039038132500944</v>
      </c>
      <c r="W1104">
        <v>0.21729968415949785</v>
      </c>
      <c r="X1104">
        <v>5.4781554709948138E-2</v>
      </c>
      <c r="Y1104">
        <v>9.2468060931938344E-3</v>
      </c>
    </row>
    <row r="1105" spans="1:25" x14ac:dyDescent="0.25">
      <c r="A1105" s="1083"/>
      <c r="B1105" s="1455">
        <v>855</v>
      </c>
      <c r="C1105" s="1087">
        <v>0.97727090307926945</v>
      </c>
      <c r="D1105" s="1087">
        <v>0.97525019328653628</v>
      </c>
      <c r="E1105" s="1087">
        <v>1.0035364250386816</v>
      </c>
      <c r="F1105" s="1087">
        <v>0.99993519790163377</v>
      </c>
      <c r="G1105" s="1087">
        <v>1.004985959167999</v>
      </c>
      <c r="H1105" s="1087">
        <v>0.99061760818849187</v>
      </c>
      <c r="I1105" s="1087">
        <v>0.96294618729947656</v>
      </c>
      <c r="K1105">
        <v>1.8751281201258787</v>
      </c>
      <c r="L1105">
        <v>0</v>
      </c>
      <c r="M1105">
        <v>3.7096554762963115E-3</v>
      </c>
      <c r="N1105">
        <v>0.35605595315334021</v>
      </c>
      <c r="O1105">
        <v>0.24406315287120661</v>
      </c>
      <c r="P1105">
        <v>1.3262705859099898E-2</v>
      </c>
      <c r="Q1105">
        <v>1.6430372989005399E-3</v>
      </c>
      <c r="R1105">
        <v>3.7032423156603315E-3</v>
      </c>
      <c r="S1105">
        <v>0.36317800798380484</v>
      </c>
      <c r="T1105">
        <v>0.40268908447016433</v>
      </c>
      <c r="U1105">
        <v>0</v>
      </c>
      <c r="V1105">
        <v>0.20359736180540075</v>
      </c>
      <c r="W1105">
        <v>0.22629962048025876</v>
      </c>
      <c r="X1105">
        <v>5.4266604554608716E-2</v>
      </c>
      <c r="Y1105">
        <v>1.0079004809726157E-2</v>
      </c>
    </row>
    <row r="1106" spans="1:25" x14ac:dyDescent="0.25">
      <c r="A1106" s="1083"/>
      <c r="B1106" s="1455">
        <v>856</v>
      </c>
      <c r="C1106" s="1087">
        <v>0.99261352994816132</v>
      </c>
      <c r="D1106" s="1087">
        <v>0.98204019563210454</v>
      </c>
      <c r="E1106" s="1087">
        <v>0.95955368654517681</v>
      </c>
      <c r="F1106" s="1087">
        <v>1.0291857502268915</v>
      </c>
      <c r="G1106" s="1087">
        <v>0.99529733012121147</v>
      </c>
      <c r="H1106" s="1087">
        <v>1.0075069804407057</v>
      </c>
      <c r="I1106" s="1087">
        <v>1.0213224139354635</v>
      </c>
      <c r="K1106">
        <v>1.8806500100007784</v>
      </c>
      <c r="L1106">
        <v>0</v>
      </c>
      <c r="M1106">
        <v>4.048637475704788E-3</v>
      </c>
      <c r="N1106">
        <v>0.33973096164136707</v>
      </c>
      <c r="O1106">
        <v>0.24431353603899822</v>
      </c>
      <c r="P1106">
        <v>1.3211625207702216E-2</v>
      </c>
      <c r="Q1106">
        <v>1.538603036847237E-3</v>
      </c>
      <c r="R1106">
        <v>4.0417500099947899E-3</v>
      </c>
      <c r="S1106">
        <v>0.38047188311065222</v>
      </c>
      <c r="T1106">
        <v>0.41419810689041509</v>
      </c>
      <c r="U1106">
        <v>0</v>
      </c>
      <c r="V1106">
        <v>0.20380269143674137</v>
      </c>
      <c r="W1106">
        <v>0.22202590814246637</v>
      </c>
      <c r="X1106">
        <v>5.0363270796626093E-2</v>
      </c>
      <c r="Y1106">
        <v>1.1000311164673104E-2</v>
      </c>
    </row>
    <row r="1107" spans="1:25" x14ac:dyDescent="0.25">
      <c r="A1107" s="1083"/>
      <c r="B1107" s="1455">
        <v>857</v>
      </c>
      <c r="C1107" s="1087">
        <v>1.0029230233118975</v>
      </c>
      <c r="D1107" s="1087">
        <v>1.0111029187733922</v>
      </c>
      <c r="E1107" s="1087">
        <v>1.0394975882028634</v>
      </c>
      <c r="F1107" s="1087">
        <v>1.0260970309760036</v>
      </c>
      <c r="G1107" s="1087">
        <v>0.95941678543168252</v>
      </c>
      <c r="H1107" s="1087">
        <v>0.99275514394013287</v>
      </c>
      <c r="I1107" s="1087">
        <v>1.0099687951513625</v>
      </c>
      <c r="K1107">
        <v>1.8744404661216607</v>
      </c>
      <c r="L1107">
        <v>0</v>
      </c>
      <c r="M1107">
        <v>3.2997329088343052E-3</v>
      </c>
      <c r="N1107">
        <v>0.35338416799222944</v>
      </c>
      <c r="O1107">
        <v>0.24086920852403301</v>
      </c>
      <c r="P1107">
        <v>1.3755365087816808E-2</v>
      </c>
      <c r="Q1107">
        <v>1.6390105635869727E-3</v>
      </c>
      <c r="R1107">
        <v>3.2940116021093575E-3</v>
      </c>
      <c r="S1107">
        <v>0.36461115210803569</v>
      </c>
      <c r="T1107">
        <v>0.41345179993090264</v>
      </c>
      <c r="U1107">
        <v>0</v>
      </c>
      <c r="V1107">
        <v>0.20131476494672526</v>
      </c>
      <c r="W1107">
        <v>0.21968997437412174</v>
      </c>
      <c r="X1107">
        <v>5.6765530190623664E-2</v>
      </c>
      <c r="Y1107">
        <v>8.9652137103088704E-3</v>
      </c>
    </row>
    <row r="1108" spans="1:25" x14ac:dyDescent="0.25">
      <c r="A1108" s="1083"/>
      <c r="B1108" s="1455">
        <v>858</v>
      </c>
      <c r="C1108" s="1087">
        <v>0.96872523982358905</v>
      </c>
      <c r="D1108" s="1087">
        <v>1.01640175500831</v>
      </c>
      <c r="E1108" s="1087">
        <v>1.0016353173796917</v>
      </c>
      <c r="F1108" s="1087">
        <v>0.9746982296084542</v>
      </c>
      <c r="G1108" s="1087">
        <v>1.0103496445395261</v>
      </c>
      <c r="H1108" s="1087">
        <v>1.0029881685589841</v>
      </c>
      <c r="I1108" s="1087">
        <v>0.99959594501459537</v>
      </c>
      <c r="K1108">
        <v>1.8634060022025105</v>
      </c>
      <c r="L1108">
        <v>0</v>
      </c>
      <c r="M1108">
        <v>3.7200154450565308E-3</v>
      </c>
      <c r="N1108">
        <v>0.35498930902223536</v>
      </c>
      <c r="O1108">
        <v>0.23794920194988925</v>
      </c>
      <c r="P1108">
        <v>1.3205453756433576E-2</v>
      </c>
      <c r="Q1108">
        <v>1.62705945622364E-3</v>
      </c>
      <c r="R1108">
        <v>3.7136269834876509E-3</v>
      </c>
      <c r="S1108">
        <v>0.37399572534004932</v>
      </c>
      <c r="T1108">
        <v>0.39251452591345587</v>
      </c>
      <c r="U1108">
        <v>0</v>
      </c>
      <c r="V1108">
        <v>0.20013285074227413</v>
      </c>
      <c r="W1108">
        <v>0.22588933390001611</v>
      </c>
      <c r="X1108">
        <v>5.3001662131254748E-2</v>
      </c>
      <c r="Y1108">
        <v>1.0107268452247291E-2</v>
      </c>
    </row>
    <row r="1109" spans="1:25" x14ac:dyDescent="0.25">
      <c r="A1109" s="1083"/>
      <c r="B1109" s="1455">
        <v>859</v>
      </c>
      <c r="C1109" s="1087">
        <v>0.96222579484674087</v>
      </c>
      <c r="D1109" s="1087">
        <v>0.9930713335257183</v>
      </c>
      <c r="E1109" s="1087">
        <v>0.98316161231821109</v>
      </c>
      <c r="F1109" s="1087">
        <v>0.96634784344674962</v>
      </c>
      <c r="G1109" s="1087">
        <v>1.0339146046512262</v>
      </c>
      <c r="H1109" s="1087">
        <v>0.97301914444672977</v>
      </c>
      <c r="I1109" s="1087">
        <v>1.0068479861461943</v>
      </c>
      <c r="K1109">
        <v>1.8508903465867672</v>
      </c>
      <c r="L1109">
        <v>0</v>
      </c>
      <c r="M1109">
        <v>3.8192306570447167E-3</v>
      </c>
      <c r="N1109">
        <v>0.34445161374701494</v>
      </c>
      <c r="O1109">
        <v>0.23969313561596203</v>
      </c>
      <c r="P1109">
        <v>1.3047505728929624E-2</v>
      </c>
      <c r="Q1109">
        <v>1.6209817920331126E-3</v>
      </c>
      <c r="R1109">
        <v>3.8124893268691056E-3</v>
      </c>
      <c r="S1109">
        <v>0.37816171605694393</v>
      </c>
      <c r="T1109">
        <v>0.38904421515356796</v>
      </c>
      <c r="U1109">
        <v>0</v>
      </c>
      <c r="V1109">
        <v>0.20120960843110583</v>
      </c>
      <c r="W1109">
        <v>0.22174328061352361</v>
      </c>
      <c r="X1109">
        <v>5.1548691616895112E-2</v>
      </c>
      <c r="Y1109">
        <v>1.0376339160968875E-2</v>
      </c>
    </row>
    <row r="1110" spans="1:25" x14ac:dyDescent="0.25">
      <c r="A1110" s="1083"/>
      <c r="B1110" s="1455">
        <v>860</v>
      </c>
      <c r="C1110" s="1087">
        <v>0.98025422328093603</v>
      </c>
      <c r="D1110" s="1087">
        <v>0.9927358714982023</v>
      </c>
      <c r="E1110" s="1087">
        <v>1.0217802845495796</v>
      </c>
      <c r="F1110" s="1087">
        <v>1.0201207368780749</v>
      </c>
      <c r="G1110" s="1087">
        <v>1.0199475675524909</v>
      </c>
      <c r="H1110" s="1087">
        <v>0.96400659002631472</v>
      </c>
      <c r="I1110" s="1087">
        <v>0.96337777530397939</v>
      </c>
      <c r="K1110">
        <v>1.8615360008133413</v>
      </c>
      <c r="L1110">
        <v>0</v>
      </c>
      <c r="M1110">
        <v>3.4343764074170643E-3</v>
      </c>
      <c r="N1110">
        <v>0.34847119968590606</v>
      </c>
      <c r="O1110">
        <v>0.24461116928978763</v>
      </c>
      <c r="P1110">
        <v>1.343948357280535E-2</v>
      </c>
      <c r="Q1110">
        <v>1.6581524403621059E-3</v>
      </c>
      <c r="R1110">
        <v>3.4282610441684828E-3</v>
      </c>
      <c r="S1110">
        <v>0.35414980871967244</v>
      </c>
      <c r="T1110">
        <v>0.41093188038467093</v>
      </c>
      <c r="U1110">
        <v>0</v>
      </c>
      <c r="V1110">
        <v>0.2041845757998493</v>
      </c>
      <c r="W1110">
        <v>0.2189922067340673</v>
      </c>
      <c r="X1110">
        <v>5.5773043113190764E-2</v>
      </c>
      <c r="Y1110">
        <v>9.330596436277129E-3</v>
      </c>
    </row>
    <row r="1111" spans="1:25" x14ac:dyDescent="0.25">
      <c r="A1111" s="1083"/>
      <c r="B1111" s="1455">
        <v>861</v>
      </c>
      <c r="C1111" s="1087">
        <v>1.0070983618527127</v>
      </c>
      <c r="D1111" s="1087">
        <v>1.0260138960747276</v>
      </c>
      <c r="E1111" s="1087">
        <v>1.02779461337411</v>
      </c>
      <c r="F1111" s="1087">
        <v>0.98432670095722208</v>
      </c>
      <c r="G1111" s="1087">
        <v>1.0282593510877664</v>
      </c>
      <c r="H1111" s="1087">
        <v>1.0004056613389385</v>
      </c>
      <c r="I1111" s="1087">
        <v>1.0022998034392947</v>
      </c>
      <c r="K1111">
        <v>1.8295339124287726</v>
      </c>
      <c r="L1111">
        <v>0</v>
      </c>
      <c r="M1111">
        <v>3.3656532330087075E-3</v>
      </c>
      <c r="N1111">
        <v>0.34783206862938248</v>
      </c>
      <c r="O1111">
        <v>0.23391716589921419</v>
      </c>
      <c r="P1111">
        <v>1.3254238034610503E-2</v>
      </c>
      <c r="Q1111">
        <v>1.602918466801577E-3</v>
      </c>
      <c r="R1111">
        <v>3.3598509629393452E-3</v>
      </c>
      <c r="S1111">
        <v>0.35869025341402039</v>
      </c>
      <c r="T1111">
        <v>0.39654958020984415</v>
      </c>
      <c r="U1111">
        <v>0</v>
      </c>
      <c r="V1111">
        <v>0.1964816244700337</v>
      </c>
      <c r="W1111">
        <v>0.21778572830119117</v>
      </c>
      <c r="X1111">
        <v>5.4281730527196002E-2</v>
      </c>
      <c r="Y1111">
        <v>9.1444067465486292E-3</v>
      </c>
    </row>
    <row r="1112" spans="1:25" x14ac:dyDescent="0.25">
      <c r="A1112" s="1083"/>
      <c r="B1112" s="1455">
        <v>862</v>
      </c>
      <c r="C1112" s="1087">
        <v>1.0015111764249893</v>
      </c>
      <c r="D1112" s="1087">
        <v>0.98209215394542804</v>
      </c>
      <c r="E1112" s="1087">
        <v>0.99295309907280638</v>
      </c>
      <c r="F1112" s="1087">
        <v>0.99303984154828462</v>
      </c>
      <c r="G1112" s="1087">
        <v>1.0237416031875473</v>
      </c>
      <c r="H1112" s="1087">
        <v>1.0191877908042106</v>
      </c>
      <c r="I1112" s="1087">
        <v>0.99659455468812552</v>
      </c>
      <c r="K1112">
        <v>1.8649658364480395</v>
      </c>
      <c r="L1112">
        <v>0</v>
      </c>
      <c r="M1112">
        <v>3.7916893147149282E-3</v>
      </c>
      <c r="N1112">
        <v>0.35237866650181437</v>
      </c>
      <c r="O1112">
        <v>0.23941716116873826</v>
      </c>
      <c r="P1112">
        <v>1.3168472644091482E-2</v>
      </c>
      <c r="Q1112">
        <v>1.5808474760950232E-3</v>
      </c>
      <c r="R1112">
        <v>3.7853123198980151E-3</v>
      </c>
      <c r="S1112">
        <v>0.37044898311359714</v>
      </c>
      <c r="T1112">
        <v>0.39984861973432501</v>
      </c>
      <c r="U1112">
        <v>0</v>
      </c>
      <c r="V1112">
        <v>0.19991416127007688</v>
      </c>
      <c r="W1112">
        <v>0.22545031486865622</v>
      </c>
      <c r="X1112">
        <v>5.2462614358571635E-2</v>
      </c>
      <c r="Y1112">
        <v>1.0302372306891501E-2</v>
      </c>
    </row>
    <row r="1113" spans="1:25" x14ac:dyDescent="0.25">
      <c r="A1113" s="1083"/>
      <c r="B1113" s="1455">
        <v>863</v>
      </c>
      <c r="C1113" s="1087">
        <v>1.0195732502559964</v>
      </c>
      <c r="D1113" s="1087">
        <v>0.97515453016087772</v>
      </c>
      <c r="E1113" s="1087">
        <v>1.0211637422674682</v>
      </c>
      <c r="F1113" s="1087">
        <v>0.98528955159385756</v>
      </c>
      <c r="G1113" s="1087">
        <v>0.99927838605011332</v>
      </c>
      <c r="H1113" s="1087">
        <v>0.98696737380743627</v>
      </c>
      <c r="I1113" s="1087">
        <v>0.99891679766247943</v>
      </c>
      <c r="K1113">
        <v>1.8350651202024695</v>
      </c>
      <c r="L1113">
        <v>0</v>
      </c>
      <c r="M1113">
        <v>3.41730919346962E-3</v>
      </c>
      <c r="N1113">
        <v>0.34610451034604262</v>
      </c>
      <c r="O1113">
        <v>0.2374511384951386</v>
      </c>
      <c r="P1113">
        <v>1.32422010233261E-2</v>
      </c>
      <c r="Q1113">
        <v>1.6045995775882701E-3</v>
      </c>
      <c r="R1113">
        <v>3.4113799922515305E-3</v>
      </c>
      <c r="S1113">
        <v>0.36068475670509786</v>
      </c>
      <c r="T1113">
        <v>0.39689721234469577</v>
      </c>
      <c r="U1113">
        <v>0</v>
      </c>
      <c r="V1113">
        <v>0.19788494631623355</v>
      </c>
      <c r="W1113">
        <v>0.21758735740081464</v>
      </c>
      <c r="X1113">
        <v>5.4329675416951821E-2</v>
      </c>
      <c r="Y1113">
        <v>9.2846517777964502E-3</v>
      </c>
    </row>
    <row r="1114" spans="1:25" x14ac:dyDescent="0.25">
      <c r="A1114" s="1083"/>
      <c r="B1114" s="1455">
        <v>864</v>
      </c>
      <c r="C1114" s="1087">
        <v>0.9782274468770441</v>
      </c>
      <c r="D1114" s="1087">
        <v>1.0126301077523421</v>
      </c>
      <c r="E1114" s="1087">
        <v>1.0216506208687126</v>
      </c>
      <c r="F1114" s="1087">
        <v>1.0358455746626332</v>
      </c>
      <c r="G1114" s="1087">
        <v>1.0111760346030441</v>
      </c>
      <c r="H1114" s="1087">
        <v>0.99591940837293158</v>
      </c>
      <c r="I1114" s="1087">
        <v>0.96813336364187352</v>
      </c>
      <c r="K1114">
        <v>1.8869926402630885</v>
      </c>
      <c r="L1114">
        <v>0</v>
      </c>
      <c r="M1114">
        <v>3.518271833915686E-3</v>
      </c>
      <c r="N1114">
        <v>0.35686134700410882</v>
      </c>
      <c r="O1114">
        <v>0.24468091950471432</v>
      </c>
      <c r="P1114">
        <v>1.3592091422436557E-2</v>
      </c>
      <c r="Q1114">
        <v>1.648227466628311E-3</v>
      </c>
      <c r="R1114">
        <v>3.5121906258360502E-3</v>
      </c>
      <c r="S1114">
        <v>0.35842295873346158</v>
      </c>
      <c r="T1114">
        <v>0.41726543883629175</v>
      </c>
      <c r="U1114">
        <v>0</v>
      </c>
      <c r="V1114">
        <v>0.20467738801787899</v>
      </c>
      <c r="W1114">
        <v>0.22428276233288799</v>
      </c>
      <c r="X1114">
        <v>5.6008563062563355E-2</v>
      </c>
      <c r="Y1114">
        <v>9.5590250901970864E-3</v>
      </c>
    </row>
    <row r="1115" spans="1:25" x14ac:dyDescent="0.25">
      <c r="A1115" s="1083"/>
      <c r="B1115" s="1455">
        <v>865</v>
      </c>
      <c r="C1115" s="1087">
        <v>1.0317204022704425</v>
      </c>
      <c r="D1115" s="1087">
        <v>1.0379078349056658</v>
      </c>
      <c r="E1115" s="1087">
        <v>1.0267788246763188</v>
      </c>
      <c r="F1115" s="1087">
        <v>0.98368473174847926</v>
      </c>
      <c r="G1115" s="1087">
        <v>1.0016842249411015</v>
      </c>
      <c r="H1115" s="1087">
        <v>0.98931316378480283</v>
      </c>
      <c r="I1115" s="1087">
        <v>1.0265221045561341</v>
      </c>
      <c r="K1115">
        <v>1.7922681033552483</v>
      </c>
      <c r="L1115">
        <v>0</v>
      </c>
      <c r="M1115">
        <v>3.2346189764878549E-3</v>
      </c>
      <c r="N1115">
        <v>0.33324984754905024</v>
      </c>
      <c r="O1115">
        <v>0.22981365144164953</v>
      </c>
      <c r="P1115">
        <v>1.313499695486278E-2</v>
      </c>
      <c r="Q1115">
        <v>1.5558064363750202E-3</v>
      </c>
      <c r="R1115">
        <v>3.2289694535862098E-3</v>
      </c>
      <c r="S1115">
        <v>0.35429807017891329</v>
      </c>
      <c r="T1115">
        <v>0.39628478407952433</v>
      </c>
      <c r="U1115">
        <v>0</v>
      </c>
      <c r="V1115">
        <v>0.19327452353400768</v>
      </c>
      <c r="W1115">
        <v>0.20878525094747469</v>
      </c>
      <c r="X1115">
        <v>5.3088631333122235E-2</v>
      </c>
      <c r="Y1115">
        <v>8.7881904231673601E-3</v>
      </c>
    </row>
    <row r="1116" spans="1:25" x14ac:dyDescent="0.25">
      <c r="A1116" s="1083"/>
      <c r="B1116" s="1455">
        <v>866</v>
      </c>
      <c r="C1116" s="1087">
        <v>1.0050918365152679</v>
      </c>
      <c r="D1116" s="1087">
        <v>0.96894572076917496</v>
      </c>
      <c r="E1116" s="1087">
        <v>0.99062438937698594</v>
      </c>
      <c r="F1116" s="1087">
        <v>1.0091543605870019</v>
      </c>
      <c r="G1116" s="1087">
        <v>0.96106861244159925</v>
      </c>
      <c r="H1116" s="1087">
        <v>1.0031000217101504</v>
      </c>
      <c r="I1116" s="1087">
        <v>1.0156056314858071</v>
      </c>
      <c r="K1116">
        <v>1.8738292359191968</v>
      </c>
      <c r="L1116">
        <v>0</v>
      </c>
      <c r="M1116">
        <v>3.7637548934479812E-3</v>
      </c>
      <c r="N1116">
        <v>0.34729596205530538</v>
      </c>
      <c r="O1116">
        <v>0.24221639736099518</v>
      </c>
      <c r="P1116">
        <v>1.3331419168157492E-2</v>
      </c>
      <c r="Q1116">
        <v>1.5797882762883578E-3</v>
      </c>
      <c r="R1116">
        <v>3.7573358058193003E-3</v>
      </c>
      <c r="S1116">
        <v>0.37597886534756564</v>
      </c>
      <c r="T1116">
        <v>0.40632299345186679</v>
      </c>
      <c r="U1116">
        <v>0</v>
      </c>
      <c r="V1116">
        <v>0.20163470480862705</v>
      </c>
      <c r="W1116">
        <v>0.22252397178634789</v>
      </c>
      <c r="X1116">
        <v>5.2725323293646799E-2</v>
      </c>
      <c r="Y1116">
        <v>1.0226229458024632E-2</v>
      </c>
    </row>
    <row r="1117" spans="1:25" x14ac:dyDescent="0.25">
      <c r="A1117" s="1083"/>
      <c r="B1117" s="1455">
        <v>867</v>
      </c>
      <c r="C1117" s="1087">
        <v>1.0368789636774709</v>
      </c>
      <c r="D1117" s="1087">
        <v>0.99361748706896857</v>
      </c>
      <c r="E1117" s="1087">
        <v>0.98047391474219259</v>
      </c>
      <c r="F1117" s="1087">
        <v>0.99393684596560405</v>
      </c>
      <c r="G1117" s="1087">
        <v>1.0006729884906858</v>
      </c>
      <c r="H1117" s="1087">
        <v>1.016260717639055</v>
      </c>
      <c r="I1117" s="1087">
        <v>1.0105926602589332</v>
      </c>
      <c r="K1117">
        <v>1.811841711612163</v>
      </c>
      <c r="L1117">
        <v>0</v>
      </c>
      <c r="M1117">
        <v>3.7221331063001179E-3</v>
      </c>
      <c r="N1117">
        <v>0.33297394256914786</v>
      </c>
      <c r="O1117">
        <v>0.23403323166448667</v>
      </c>
      <c r="P1117">
        <v>1.2848371597109182E-2</v>
      </c>
      <c r="Q1117">
        <v>1.4996019105454536E-3</v>
      </c>
      <c r="R1117">
        <v>3.7158441323494134E-3</v>
      </c>
      <c r="S1117">
        <v>0.35982109447007704</v>
      </c>
      <c r="T1117">
        <v>0.40013536061178118</v>
      </c>
      <c r="U1117">
        <v>0</v>
      </c>
      <c r="V1117">
        <v>0.19562720481074597</v>
      </c>
      <c r="W1117">
        <v>0.21471969608592251</v>
      </c>
      <c r="X1117">
        <v>5.007619406573259E-2</v>
      </c>
      <c r="Y1117">
        <v>1.0113302800566082E-2</v>
      </c>
    </row>
    <row r="1118" spans="1:25" x14ac:dyDescent="0.25">
      <c r="A1118" s="1083"/>
      <c r="B1118" s="1455">
        <v>868</v>
      </c>
      <c r="C1118" s="1087">
        <v>1.0083438673096321</v>
      </c>
      <c r="D1118" s="1087">
        <v>1.0321451584759389</v>
      </c>
      <c r="E1118" s="1087">
        <v>0.98556590565944535</v>
      </c>
      <c r="F1118" s="1087">
        <v>1.0028649805443521</v>
      </c>
      <c r="G1118" s="1087">
        <v>1.0212569091640606</v>
      </c>
      <c r="H1118" s="1087">
        <v>0.99376311821850505</v>
      </c>
      <c r="I1118" s="1087">
        <v>1.021592340307161</v>
      </c>
      <c r="K1118">
        <v>1.8146461255445561</v>
      </c>
      <c r="L1118">
        <v>0</v>
      </c>
      <c r="M1118">
        <v>3.6285871177161198E-3</v>
      </c>
      <c r="N1118">
        <v>0.32967967482959848</v>
      </c>
      <c r="O1118">
        <v>0.23471038031422692</v>
      </c>
      <c r="P1118">
        <v>1.3002864628492299E-2</v>
      </c>
      <c r="Q1118">
        <v>1.5270878782175426E-3</v>
      </c>
      <c r="R1118">
        <v>3.6222836549522634E-3</v>
      </c>
      <c r="S1118">
        <v>0.36223958493553404</v>
      </c>
      <c r="T1118">
        <v>0.40376017970866773</v>
      </c>
      <c r="U1118">
        <v>0</v>
      </c>
      <c r="V1118">
        <v>0.19735386324233326</v>
      </c>
      <c r="W1118">
        <v>0.21191137176378802</v>
      </c>
      <c r="X1118">
        <v>5.060875968316747E-2</v>
      </c>
      <c r="Y1118">
        <v>9.8586620232941242E-3</v>
      </c>
    </row>
    <row r="1119" spans="1:25" x14ac:dyDescent="0.25">
      <c r="A1119" s="1083"/>
      <c r="B1119" s="1455">
        <v>869</v>
      </c>
      <c r="C1119" s="1087">
        <v>0.96124524589172911</v>
      </c>
      <c r="D1119" s="1087">
        <v>0.99827145089803027</v>
      </c>
      <c r="E1119" s="1087">
        <v>0.99109271533665544</v>
      </c>
      <c r="F1119" s="1087">
        <v>1.0042722054645699</v>
      </c>
      <c r="G1119" s="1087">
        <v>1.0262189403492217</v>
      </c>
      <c r="H1119" s="1087">
        <v>1.0292184138329536</v>
      </c>
      <c r="I1119" s="1087">
        <v>1.0015639686955977</v>
      </c>
      <c r="K1119">
        <v>1.9203561054344365</v>
      </c>
      <c r="L1119">
        <v>0</v>
      </c>
      <c r="M1119">
        <v>3.9694553323630956E-3</v>
      </c>
      <c r="N1119">
        <v>0.36681424829764553</v>
      </c>
      <c r="O1119">
        <v>0.24410198566477062</v>
      </c>
      <c r="P1119">
        <v>1.3487362212235926E-2</v>
      </c>
      <c r="Q1119">
        <v>1.6330839227459862E-3</v>
      </c>
      <c r="R1119">
        <v>3.9628293584883243E-3</v>
      </c>
      <c r="S1119">
        <v>0.38627202690820484</v>
      </c>
      <c r="T1119">
        <v>0.40436008779678495</v>
      </c>
      <c r="U1119">
        <v>0</v>
      </c>
      <c r="V1119">
        <v>0.20446201059747071</v>
      </c>
      <c r="W1119">
        <v>0.2349607417476216</v>
      </c>
      <c r="X1119">
        <v>5.3485669093370901E-2</v>
      </c>
      <c r="Y1119">
        <v>1.0785515167458282E-2</v>
      </c>
    </row>
    <row r="1120" spans="1:25" x14ac:dyDescent="0.25">
      <c r="A1120" s="1083"/>
      <c r="B1120" s="1455">
        <v>870</v>
      </c>
      <c r="C1120" s="1087">
        <v>0.98275146499615063</v>
      </c>
      <c r="D1120" s="1087">
        <v>1.0068639470553826</v>
      </c>
      <c r="E1120" s="1087">
        <v>1.0278908939834681</v>
      </c>
      <c r="F1120" s="1087">
        <v>1.0138481948539593</v>
      </c>
      <c r="G1120" s="1087">
        <v>0.96867307412556758</v>
      </c>
      <c r="H1120" s="1087">
        <v>0.99538658114184642</v>
      </c>
      <c r="I1120" s="1087">
        <v>0.99970922728075207</v>
      </c>
      <c r="K1120">
        <v>1.88645085108854</v>
      </c>
      <c r="L1120">
        <v>0</v>
      </c>
      <c r="M1120">
        <v>3.4664488187650493E-3</v>
      </c>
      <c r="N1120">
        <v>0.35835268296224698</v>
      </c>
      <c r="O1120">
        <v>0.2422207684341833</v>
      </c>
      <c r="P1120">
        <v>1.3657967110540221E-2</v>
      </c>
      <c r="Q1120">
        <v>1.6552230471996714E-3</v>
      </c>
      <c r="R1120">
        <v>3.4604590064948675E-3</v>
      </c>
      <c r="S1120">
        <v>0.36955597511858013</v>
      </c>
      <c r="T1120">
        <v>0.40844332394882238</v>
      </c>
      <c r="U1120">
        <v>0</v>
      </c>
      <c r="V1120">
        <v>0.20264324970030023</v>
      </c>
      <c r="W1120">
        <v>0.22435971035727301</v>
      </c>
      <c r="X1120">
        <v>5.6149711545991493E-2</v>
      </c>
      <c r="Y1120">
        <v>9.4182286756741198E-3</v>
      </c>
    </row>
    <row r="1121" spans="1:25" x14ac:dyDescent="0.25">
      <c r="A1121" s="1083"/>
      <c r="B1121" s="1455">
        <v>871</v>
      </c>
      <c r="C1121" s="1087">
        <v>1.0305638778936654</v>
      </c>
      <c r="D1121" s="1087">
        <v>1.00594183432022</v>
      </c>
      <c r="E1121" s="1087">
        <v>0.99032016436920278</v>
      </c>
      <c r="F1121" s="1087">
        <v>0.98774170216793022</v>
      </c>
      <c r="G1121" s="1087">
        <v>1.0232956455129303</v>
      </c>
      <c r="H1121" s="1087">
        <v>1.0453115542056335</v>
      </c>
      <c r="I1121" s="1087">
        <v>0.98767274539126326</v>
      </c>
      <c r="K1121">
        <v>1.8251785055188896</v>
      </c>
      <c r="L1121">
        <v>0</v>
      </c>
      <c r="M1121">
        <v>3.7503302939935986E-3</v>
      </c>
      <c r="N1121">
        <v>0.34575665267784988</v>
      </c>
      <c r="O1121">
        <v>0.23297773681178488</v>
      </c>
      <c r="P1121">
        <v>1.2860613535822329E-2</v>
      </c>
      <c r="Q1121">
        <v>1.5173258772011912E-3</v>
      </c>
      <c r="R1121">
        <v>3.7441591650240851E-3</v>
      </c>
      <c r="S1121">
        <v>0.35655085530116831</v>
      </c>
      <c r="T1121">
        <v>0.39769965423802306</v>
      </c>
      <c r="U1121">
        <v>0</v>
      </c>
      <c r="V1121">
        <v>0.19515637508519862</v>
      </c>
      <c r="W1121">
        <v>0.22158010416789004</v>
      </c>
      <c r="X1121">
        <v>5.089499196746388E-2</v>
      </c>
      <c r="Y1121">
        <v>1.0190366985458525E-2</v>
      </c>
    </row>
    <row r="1122" spans="1:25" x14ac:dyDescent="0.25">
      <c r="A1122" s="1083"/>
      <c r="B1122" s="1455">
        <v>872</v>
      </c>
      <c r="C1122" s="1087">
        <v>0.99308179596931601</v>
      </c>
      <c r="D1122" s="1087">
        <v>1.0005496345858576</v>
      </c>
      <c r="E1122" s="1087">
        <v>1.0187931444703087</v>
      </c>
      <c r="F1122" s="1087">
        <v>0.98785326875001533</v>
      </c>
      <c r="G1122" s="1087">
        <v>0.98418474601748474</v>
      </c>
      <c r="H1122" s="1087">
        <v>0.99552751206889767</v>
      </c>
      <c r="I1122" s="1087">
        <v>1.0040958842830512</v>
      </c>
      <c r="K1122">
        <v>1.8580160707665672</v>
      </c>
      <c r="L1122">
        <v>0</v>
      </c>
      <c r="M1122">
        <v>3.5072358176542213E-3</v>
      </c>
      <c r="N1122">
        <v>0.35265862389210051</v>
      </c>
      <c r="O1122">
        <v>0.23835632572490936</v>
      </c>
      <c r="P1122">
        <v>1.3364512375243432E-2</v>
      </c>
      <c r="Q1122">
        <v>1.6264780185028926E-3</v>
      </c>
      <c r="R1122">
        <v>3.5011813496770182E-3</v>
      </c>
      <c r="S1122">
        <v>0.36850646098799494</v>
      </c>
      <c r="T1122">
        <v>0.39791554780954869</v>
      </c>
      <c r="U1122">
        <v>0</v>
      </c>
      <c r="V1122">
        <v>0.19954474961001692</v>
      </c>
      <c r="W1122">
        <v>0.22203151046915398</v>
      </c>
      <c r="X1122">
        <v>5.4488854877371651E-2</v>
      </c>
      <c r="Y1122">
        <v>9.5290614696991131E-3</v>
      </c>
    </row>
    <row r="1123" spans="1:25" x14ac:dyDescent="0.25">
      <c r="A1123" s="1083"/>
      <c r="B1123" s="1455">
        <v>873</v>
      </c>
      <c r="C1123" s="1087">
        <v>1.0057012978734323</v>
      </c>
      <c r="D1123" s="1087">
        <v>1.01416370234538</v>
      </c>
      <c r="E1123" s="1087">
        <v>1.006338562892124</v>
      </c>
      <c r="F1123" s="1087">
        <v>0.99485798456282082</v>
      </c>
      <c r="G1123" s="1087">
        <v>1.0398521786552395</v>
      </c>
      <c r="H1123" s="1087">
        <v>1.0258846321338579</v>
      </c>
      <c r="I1123" s="1087">
        <v>1.021146698017241</v>
      </c>
      <c r="K1123">
        <v>1.8604135120101639</v>
      </c>
      <c r="L1123">
        <v>0</v>
      </c>
      <c r="M1123">
        <v>3.6344057367157841E-3</v>
      </c>
      <c r="N1123">
        <v>0.3518458438647929</v>
      </c>
      <c r="O1123">
        <v>0.23615259412499762</v>
      </c>
      <c r="P1123">
        <v>1.3316602538633213E-2</v>
      </c>
      <c r="Q1123">
        <v>1.5764856643394919E-3</v>
      </c>
      <c r="R1123">
        <v>3.628305733981103E-3</v>
      </c>
      <c r="S1123">
        <v>0.37270831812973315</v>
      </c>
      <c r="T1123">
        <v>0.40066136403712493</v>
      </c>
      <c r="U1123">
        <v>0</v>
      </c>
      <c r="V1123">
        <v>0.19801155637228923</v>
      </c>
      <c r="W1123">
        <v>0.22323404917414422</v>
      </c>
      <c r="X1123">
        <v>5.3037745969609446E-2</v>
      </c>
      <c r="Y1123">
        <v>9.8750521372328072E-3</v>
      </c>
    </row>
    <row r="1124" spans="1:25" x14ac:dyDescent="0.25">
      <c r="A1124" s="1083"/>
      <c r="B1124" s="1455">
        <v>874</v>
      </c>
      <c r="C1124" s="1087">
        <v>1.0375738913504662</v>
      </c>
      <c r="D1124" s="1087">
        <v>1.0080836718015351</v>
      </c>
      <c r="E1124" s="1087">
        <v>0.99162203737225141</v>
      </c>
      <c r="F1124" s="1087">
        <v>1.0161875585701283</v>
      </c>
      <c r="G1124" s="1087">
        <v>1.0012108035776344</v>
      </c>
      <c r="H1124" s="1087">
        <v>1.0081020669389951</v>
      </c>
      <c r="I1124" s="1087">
        <v>1.0420156499081497</v>
      </c>
      <c r="K1124">
        <v>1.8262842437368787</v>
      </c>
      <c r="L1124">
        <v>0</v>
      </c>
      <c r="M1124">
        <v>3.5776333408889744E-3</v>
      </c>
      <c r="N1124">
        <v>0.33112848084321983</v>
      </c>
      <c r="O1124">
        <v>0.23518996975509243</v>
      </c>
      <c r="P1124">
        <v>1.3183347669450937E-2</v>
      </c>
      <c r="Q1124">
        <v>1.5078931072289E-3</v>
      </c>
      <c r="R1124">
        <v>3.5715253817029773E-3</v>
      </c>
      <c r="S1124">
        <v>0.36640031664899719</v>
      </c>
      <c r="T1124">
        <v>0.40916092374296975</v>
      </c>
      <c r="U1124">
        <v>0</v>
      </c>
      <c r="V1124">
        <v>0.19671950650819336</v>
      </c>
      <c r="W1124">
        <v>0.21203183476039839</v>
      </c>
      <c r="X1124">
        <v>5.1247563924542751E-2</v>
      </c>
      <c r="Y1124">
        <v>9.7205147359698436E-3</v>
      </c>
    </row>
    <row r="1125" spans="1:25" x14ac:dyDescent="0.25">
      <c r="A1125" s="1083"/>
      <c r="B1125" s="1455">
        <v>875</v>
      </c>
      <c r="C1125" s="1087">
        <v>1.0061867677140144</v>
      </c>
      <c r="D1125" s="1087">
        <v>1.0122673225200529</v>
      </c>
      <c r="E1125" s="1087">
        <v>1.0198583156123229</v>
      </c>
      <c r="F1125" s="1087">
        <v>0.97808263877001611</v>
      </c>
      <c r="G1125" s="1087">
        <v>1.0027015733636364</v>
      </c>
      <c r="H1125" s="1087">
        <v>1.0088108381821816</v>
      </c>
      <c r="I1125" s="1087">
        <v>0.95684152055848326</v>
      </c>
      <c r="K1125">
        <v>1.8212165962847391</v>
      </c>
      <c r="L1125">
        <v>0</v>
      </c>
      <c r="M1125">
        <v>3.4781139886587284E-3</v>
      </c>
      <c r="N1125">
        <v>0.35087444838204812</v>
      </c>
      <c r="O1125">
        <v>0.23450016088414777</v>
      </c>
      <c r="P1125">
        <v>1.2978519996497033E-2</v>
      </c>
      <c r="Q1125">
        <v>1.5996318090810383E-3</v>
      </c>
      <c r="R1125">
        <v>3.4721791258588816E-3</v>
      </c>
      <c r="S1125">
        <v>0.34665290690898448</v>
      </c>
      <c r="T1125">
        <v>0.39398625479178911</v>
      </c>
      <c r="U1125">
        <v>0</v>
      </c>
      <c r="V1125">
        <v>0.19669862563558571</v>
      </c>
      <c r="W1125">
        <v>0.22076334609598575</v>
      </c>
      <c r="X1125">
        <v>5.3718509666373579E-2</v>
      </c>
      <c r="Y1125">
        <v>9.4501269770466568E-3</v>
      </c>
    </row>
    <row r="1126" spans="1:25" x14ac:dyDescent="0.25">
      <c r="A1126" s="1083"/>
      <c r="B1126" s="1455">
        <v>876</v>
      </c>
      <c r="C1126" s="1087">
        <v>1.0168546877058058</v>
      </c>
      <c r="D1126" s="1087">
        <v>1.0177356996426319</v>
      </c>
      <c r="E1126" s="1087">
        <v>1.0047871626190226</v>
      </c>
      <c r="F1126" s="1087">
        <v>1.0195735493018092</v>
      </c>
      <c r="G1126" s="1087">
        <v>0.96805881177921072</v>
      </c>
      <c r="H1126" s="1087">
        <v>1.0122987580029841</v>
      </c>
      <c r="I1126" s="1087">
        <v>1.0074079699419227</v>
      </c>
      <c r="K1126">
        <v>1.8437724451744739</v>
      </c>
      <c r="L1126">
        <v>0</v>
      </c>
      <c r="M1126">
        <v>3.5505221981838686E-3</v>
      </c>
      <c r="N1126">
        <v>0.34209411107873156</v>
      </c>
      <c r="O1126">
        <v>0.23725817272556943</v>
      </c>
      <c r="P1126">
        <v>1.3279485468203235E-2</v>
      </c>
      <c r="Q1126">
        <v>1.5544382548507002E-3</v>
      </c>
      <c r="R1126">
        <v>3.5444784164377174E-3</v>
      </c>
      <c r="S1126">
        <v>0.36047065935428224</v>
      </c>
      <c r="T1126">
        <v>0.41060549629446819</v>
      </c>
      <c r="U1126">
        <v>0</v>
      </c>
      <c r="V1126">
        <v>0.19871545135537133</v>
      </c>
      <c r="W1126">
        <v>0.21725652875419363</v>
      </c>
      <c r="X1126">
        <v>5.28972438580027E-2</v>
      </c>
      <c r="Y1126">
        <v>9.6469018125475113E-3</v>
      </c>
    </row>
    <row r="1127" spans="1:25" x14ac:dyDescent="0.25">
      <c r="A1127" s="1083"/>
      <c r="B1127" s="1455">
        <v>877</v>
      </c>
      <c r="C1127" s="1087">
        <v>0.99472386807630453</v>
      </c>
      <c r="D1127" s="1087">
        <v>1.0246505291870713</v>
      </c>
      <c r="E1127" s="1087">
        <v>0.97290209366678226</v>
      </c>
      <c r="F1127" s="1087">
        <v>1.0117327749853104</v>
      </c>
      <c r="G1127" s="1087">
        <v>1.0205966096764163</v>
      </c>
      <c r="H1127" s="1087">
        <v>1.0331345258488693</v>
      </c>
      <c r="I1127" s="1087">
        <v>1.006997470563892</v>
      </c>
      <c r="K1127">
        <v>1.8587111834158556</v>
      </c>
      <c r="L1127">
        <v>0</v>
      </c>
      <c r="M1127">
        <v>3.9399271374498685E-3</v>
      </c>
      <c r="N1127">
        <v>0.34440003592928192</v>
      </c>
      <c r="O1127">
        <v>0.23792839676081906</v>
      </c>
      <c r="P1127">
        <v>1.3068117754026661E-2</v>
      </c>
      <c r="Q1127">
        <v>1.5314831854528002E-3</v>
      </c>
      <c r="R1127">
        <v>3.9333510993761322E-3</v>
      </c>
      <c r="S1127">
        <v>0.37041642893157606</v>
      </c>
      <c r="T1127">
        <v>0.4072539418612221</v>
      </c>
      <c r="U1127">
        <v>0</v>
      </c>
      <c r="V1127">
        <v>0.19987524868857504</v>
      </c>
      <c r="W1127">
        <v>0.22315978867208142</v>
      </c>
      <c r="X1127">
        <v>5.0379032607233649E-2</v>
      </c>
      <c r="Y1127">
        <v>1.07052850636604E-2</v>
      </c>
    </row>
    <row r="1128" spans="1:25" x14ac:dyDescent="0.25">
      <c r="A1128" s="1083"/>
      <c r="B1128" s="1455">
        <v>878</v>
      </c>
      <c r="C1128" s="1087">
        <v>0.97569458808053766</v>
      </c>
      <c r="D1128" s="1087">
        <v>0.97795935825188796</v>
      </c>
      <c r="E1128" s="1087">
        <v>1.0165542288556189</v>
      </c>
      <c r="F1128" s="1087">
        <v>0.98615106249686468</v>
      </c>
      <c r="G1128" s="1087">
        <v>1.0254366699550821</v>
      </c>
      <c r="H1128" s="1087">
        <v>1.0014468097640501</v>
      </c>
      <c r="I1128" s="1087">
        <v>1.0290686653934114</v>
      </c>
      <c r="K1128">
        <v>1.9077865694384695</v>
      </c>
      <c r="L1128">
        <v>0</v>
      </c>
      <c r="M1128">
        <v>3.6514883095968378E-3</v>
      </c>
      <c r="N1128">
        <v>0.36467218063992712</v>
      </c>
      <c r="O1128">
        <v>0.24247132279013556</v>
      </c>
      <c r="P1128">
        <v>1.3675574006327565E-2</v>
      </c>
      <c r="Q1128">
        <v>1.6667088628858715E-3</v>
      </c>
      <c r="R1128">
        <v>3.6452407751010785E-3</v>
      </c>
      <c r="S1128">
        <v>0.39037767218872527</v>
      </c>
      <c r="T1128">
        <v>0.39721634045792958</v>
      </c>
      <c r="U1128">
        <v>0</v>
      </c>
      <c r="V1128">
        <v>0.2024785934908431</v>
      </c>
      <c r="W1128">
        <v>0.22991233793049248</v>
      </c>
      <c r="X1128">
        <v>5.5400942869171993E-2</v>
      </c>
      <c r="Y1128">
        <v>9.9211437365265744E-3</v>
      </c>
    </row>
    <row r="1129" spans="1:25" x14ac:dyDescent="0.25">
      <c r="A1129" s="1083"/>
      <c r="B1129" s="1455">
        <v>879</v>
      </c>
      <c r="C1129" s="1087">
        <v>1.0220807809498191</v>
      </c>
      <c r="D1129" s="1087">
        <v>1.0180987595996098</v>
      </c>
      <c r="E1129" s="1087">
        <v>1.0338633768636192</v>
      </c>
      <c r="F1129" s="1087">
        <v>1.0210420503016797</v>
      </c>
      <c r="G1129" s="1087">
        <v>0.97424758414521517</v>
      </c>
      <c r="H1129" s="1087">
        <v>0.95973189792665536</v>
      </c>
      <c r="I1129" s="1087">
        <v>1.017634383099429</v>
      </c>
      <c r="K1129">
        <v>1.8179016354888282</v>
      </c>
      <c r="L1129">
        <v>0</v>
      </c>
      <c r="M1129">
        <v>3.1541156902754786E-3</v>
      </c>
      <c r="N1129">
        <v>0.33202573024257603</v>
      </c>
      <c r="O1129">
        <v>0.23717357037275821</v>
      </c>
      <c r="P1129">
        <v>1.3469401798152786E-2</v>
      </c>
      <c r="Q1129">
        <v>1.5944381622086852E-3</v>
      </c>
      <c r="R1129">
        <v>3.1484518221805906E-3</v>
      </c>
      <c r="S1129">
        <v>0.35310311224549673</v>
      </c>
      <c r="T1129">
        <v>0.41137921814808764</v>
      </c>
      <c r="U1129">
        <v>0</v>
      </c>
      <c r="V1129">
        <v>0.19844319645545122</v>
      </c>
      <c r="W1129">
        <v>0.20712014749693827</v>
      </c>
      <c r="X1129">
        <v>5.502943646214066E-2</v>
      </c>
      <c r="Y1129">
        <v>8.5690479731113274E-3</v>
      </c>
    </row>
    <row r="1130" spans="1:25" x14ac:dyDescent="0.25">
      <c r="A1130" s="1083"/>
      <c r="B1130" s="1455">
        <v>880</v>
      </c>
      <c r="C1130" s="1087">
        <v>0.96675418221511999</v>
      </c>
      <c r="D1130" s="1087">
        <v>0.98644405111642897</v>
      </c>
      <c r="E1130" s="1087">
        <v>0.99443267171511085</v>
      </c>
      <c r="F1130" s="1087">
        <v>1.0399967842680977</v>
      </c>
      <c r="G1130" s="1087">
        <v>1.0041338883438968</v>
      </c>
      <c r="H1130" s="1087">
        <v>0.9754126058210445</v>
      </c>
      <c r="I1130" s="1087">
        <v>0.96736024066159998</v>
      </c>
      <c r="K1130">
        <v>1.8907017864957099</v>
      </c>
      <c r="L1130">
        <v>0</v>
      </c>
      <c r="M1130">
        <v>3.7395271055270366E-3</v>
      </c>
      <c r="N1130">
        <v>0.34907775508032957</v>
      </c>
      <c r="O1130">
        <v>0.24894174149684492</v>
      </c>
      <c r="P1130">
        <v>1.3452126110134906E-2</v>
      </c>
      <c r="Q1130">
        <v>1.6373765627497032E-3</v>
      </c>
      <c r="R1130">
        <v>3.73295242550023E-3</v>
      </c>
      <c r="S1130">
        <v>0.3636368646162445</v>
      </c>
      <c r="T1130">
        <v>0.41876516762024069</v>
      </c>
      <c r="U1130">
        <v>0</v>
      </c>
      <c r="V1130">
        <v>0.20761230653402774</v>
      </c>
      <c r="W1130">
        <v>0.22313105029125982</v>
      </c>
      <c r="X1130">
        <v>5.4294106929126097E-2</v>
      </c>
      <c r="Y1130">
        <v>1.015986593477528E-2</v>
      </c>
    </row>
    <row r="1131" spans="1:25" x14ac:dyDescent="0.25">
      <c r="A1131" s="1083"/>
      <c r="B1131" s="1455">
        <v>881</v>
      </c>
      <c r="C1131" s="1087">
        <v>1.0278154394442041</v>
      </c>
      <c r="D1131" s="1087">
        <v>1.016938199142994</v>
      </c>
      <c r="E1131" s="1087">
        <v>0.99853670334839262</v>
      </c>
      <c r="F1131" s="1087">
        <v>0.99296440554831056</v>
      </c>
      <c r="G1131" s="1087">
        <v>0.99944932185914248</v>
      </c>
      <c r="H1131" s="1087">
        <v>1.0048099928819134</v>
      </c>
      <c r="I1131" s="1087">
        <v>1.033686693532891</v>
      </c>
      <c r="K1131">
        <v>1.8154168387739711</v>
      </c>
      <c r="L1131">
        <v>0</v>
      </c>
      <c r="M1131">
        <v>3.5334208802884725E-3</v>
      </c>
      <c r="N1131">
        <v>0.33401074769425976</v>
      </c>
      <c r="O1131">
        <v>0.23293725522580044</v>
      </c>
      <c r="P1131">
        <v>1.3082879581889098E-2</v>
      </c>
      <c r="Q1131">
        <v>1.528140710425181E-3</v>
      </c>
      <c r="R1131">
        <v>3.5273626910011175E-3</v>
      </c>
      <c r="S1131">
        <v>0.3646819070152803</v>
      </c>
      <c r="T1131">
        <v>0.39985173739430907</v>
      </c>
      <c r="U1131">
        <v>0</v>
      </c>
      <c r="V1131">
        <v>0.19535389630877487</v>
      </c>
      <c r="W1131">
        <v>0.2129519733523686</v>
      </c>
      <c r="X1131">
        <v>5.1424041230044293E-2</v>
      </c>
      <c r="Y1131">
        <v>9.6003184501064608E-3</v>
      </c>
    </row>
    <row r="1132" spans="1:25" x14ac:dyDescent="0.25">
      <c r="A1132" s="1083"/>
      <c r="B1132" s="1455">
        <v>882</v>
      </c>
      <c r="C1132" s="1087">
        <v>1.0226257261830876</v>
      </c>
      <c r="D1132" s="1087">
        <v>0.98451117789543907</v>
      </c>
      <c r="E1132" s="1087">
        <v>1.0054661774735054</v>
      </c>
      <c r="F1132" s="1087">
        <v>1.0009053669362478</v>
      </c>
      <c r="G1132" s="1087">
        <v>0.99522914572092802</v>
      </c>
      <c r="H1132" s="1087">
        <v>0.97543725111596558</v>
      </c>
      <c r="I1132" s="1087">
        <v>1.0248778922694923</v>
      </c>
      <c r="K1132">
        <v>1.826998025716027</v>
      </c>
      <c r="L1132">
        <v>0</v>
      </c>
      <c r="M1132">
        <v>3.4595607460202404E-3</v>
      </c>
      <c r="N1132">
        <v>0.33400248107498981</v>
      </c>
      <c r="O1132">
        <v>0.23777532099681406</v>
      </c>
      <c r="P1132">
        <v>1.3235888204235076E-2</v>
      </c>
      <c r="Q1132">
        <v>1.5674539797301931E-3</v>
      </c>
      <c r="R1132">
        <v>3.4534792139541016E-3</v>
      </c>
      <c r="S1132">
        <v>0.36471013453972789</v>
      </c>
      <c r="T1132">
        <v>0.40309152691509398</v>
      </c>
      <c r="U1132">
        <v>0</v>
      </c>
      <c r="V1132">
        <v>0.19831773317765872</v>
      </c>
      <c r="W1132">
        <v>0.21202808179351931</v>
      </c>
      <c r="X1132">
        <v>5.287625458505682E-2</v>
      </c>
      <c r="Y1132">
        <v>9.3992319812661457E-3</v>
      </c>
    </row>
    <row r="1133" spans="1:25" x14ac:dyDescent="0.25">
      <c r="A1133" s="1083"/>
      <c r="B1133" s="1455">
        <v>883</v>
      </c>
      <c r="C1133" s="1087">
        <v>0.96487508904930575</v>
      </c>
      <c r="D1133" s="1087">
        <v>0.98575909642666493</v>
      </c>
      <c r="E1133" s="1087">
        <v>1.0422589357240566</v>
      </c>
      <c r="F1133" s="1087">
        <v>1.019324459543318</v>
      </c>
      <c r="G1133" s="1087">
        <v>1.0216554056870717</v>
      </c>
      <c r="H1133" s="1087">
        <v>0.98612562516980695</v>
      </c>
      <c r="I1133" s="1087">
        <v>0.98437547203023934</v>
      </c>
      <c r="K1133">
        <v>1.922945196563826</v>
      </c>
      <c r="L1133">
        <v>0</v>
      </c>
      <c r="M1133">
        <v>3.4349980082236582E-3</v>
      </c>
      <c r="N1133">
        <v>0.37097220226688749</v>
      </c>
      <c r="O1133">
        <v>0.24749271375003146</v>
      </c>
      <c r="P1133">
        <v>1.3939890441932914E-2</v>
      </c>
      <c r="Q1133">
        <v>1.7259944460670722E-3</v>
      </c>
      <c r="R1133">
        <v>3.4290244490069637E-3</v>
      </c>
      <c r="S1133">
        <v>0.37344066515798674</v>
      </c>
      <c r="T1133">
        <v>0.41074042315830017</v>
      </c>
      <c r="U1133">
        <v>0</v>
      </c>
      <c r="V1133">
        <v>0.20636450239182524</v>
      </c>
      <c r="W1133">
        <v>0.23023841518397697</v>
      </c>
      <c r="X1133">
        <v>5.8703689153444663E-2</v>
      </c>
      <c r="Y1133">
        <v>9.3326741725911332E-3</v>
      </c>
    </row>
    <row r="1134" spans="1:25" x14ac:dyDescent="0.25">
      <c r="A1134" s="1083"/>
      <c r="B1134" s="1455">
        <v>884</v>
      </c>
      <c r="C1134" s="1087">
        <v>0.98385593871124744</v>
      </c>
      <c r="D1134" s="1087">
        <v>0.97209230130858326</v>
      </c>
      <c r="E1134" s="1087">
        <v>0.99015167486151734</v>
      </c>
      <c r="F1134" s="1087">
        <v>1.0022268213044279</v>
      </c>
      <c r="G1134" s="1087">
        <v>1.0054294274025064</v>
      </c>
      <c r="H1134" s="1087">
        <v>1.0072912407813226</v>
      </c>
      <c r="I1134" s="1087">
        <v>0.99702708212395175</v>
      </c>
      <c r="K1134">
        <v>1.889250992605068</v>
      </c>
      <c r="L1134">
        <v>0</v>
      </c>
      <c r="M1134">
        <v>3.8576886231323085E-3</v>
      </c>
      <c r="N1134">
        <v>0.35545228770502568</v>
      </c>
      <c r="O1134">
        <v>0.24365160424097609</v>
      </c>
      <c r="P1134">
        <v>1.3325398710602534E-2</v>
      </c>
      <c r="Q1134">
        <v>1.6109796258525337E-3</v>
      </c>
      <c r="R1134">
        <v>3.8511331563130086E-3</v>
      </c>
      <c r="S1134">
        <v>0.37714922981490923</v>
      </c>
      <c r="T1134">
        <v>0.40353085816461087</v>
      </c>
      <c r="U1134">
        <v>0</v>
      </c>
      <c r="V1134">
        <v>0.20316109512392755</v>
      </c>
      <c r="W1134">
        <v>0.22781776612412472</v>
      </c>
      <c r="X1134">
        <v>5.3076813636077878E-2</v>
      </c>
      <c r="Y1134">
        <v>1.0481514925780222E-2</v>
      </c>
    </row>
    <row r="1135" spans="1:25" x14ac:dyDescent="0.25">
      <c r="A1135" s="1083"/>
      <c r="B1135" s="1455">
        <v>885</v>
      </c>
      <c r="C1135" s="1087">
        <v>0.96960817924818865</v>
      </c>
      <c r="D1135" s="1087">
        <v>1.0055031587808323</v>
      </c>
      <c r="E1135" s="1087">
        <v>1.0274592749740945</v>
      </c>
      <c r="F1135" s="1087">
        <v>0.99675335112322239</v>
      </c>
      <c r="G1135" s="1087">
        <v>1.019360611928712</v>
      </c>
      <c r="H1135" s="1087">
        <v>1.0120759902176288</v>
      </c>
      <c r="I1135" s="1087">
        <v>0.96744614741456514</v>
      </c>
      <c r="K1135">
        <v>1.8938714242994763</v>
      </c>
      <c r="L1135">
        <v>0</v>
      </c>
      <c r="M1135">
        <v>3.577970181457685E-3</v>
      </c>
      <c r="N1135">
        <v>0.36940621874077495</v>
      </c>
      <c r="O1135">
        <v>0.24195125985132662</v>
      </c>
      <c r="P1135">
        <v>1.3505482471996138E-2</v>
      </c>
      <c r="Q1135">
        <v>1.6778069129965885E-3</v>
      </c>
      <c r="R1135">
        <v>3.5718905024556026E-3</v>
      </c>
      <c r="S1135">
        <v>0.36574999410660319</v>
      </c>
      <c r="T1135">
        <v>0.40155376311985486</v>
      </c>
      <c r="U1135">
        <v>0</v>
      </c>
      <c r="V1135">
        <v>0.2026942982231181</v>
      </c>
      <c r="W1135">
        <v>0.23134127793688938</v>
      </c>
      <c r="X1135">
        <v>5.6275894140622902E-2</v>
      </c>
      <c r="Y1135">
        <v>9.7215084742964687E-3</v>
      </c>
    </row>
    <row r="1136" spans="1:25" x14ac:dyDescent="0.25">
      <c r="A1136" s="1083"/>
      <c r="B1136" s="1455">
        <v>886</v>
      </c>
      <c r="C1136" s="1087">
        <v>0.99074715677295533</v>
      </c>
      <c r="D1136" s="1087">
        <v>1.0017068014930299</v>
      </c>
      <c r="E1136" s="1087">
        <v>0.97606652159614882</v>
      </c>
      <c r="F1136" s="1087">
        <v>0.98734329178003777</v>
      </c>
      <c r="G1136" s="1087">
        <v>1.0444877527733134</v>
      </c>
      <c r="H1136" s="1087">
        <v>1.0006130689551389</v>
      </c>
      <c r="I1136" s="1087">
        <v>1.0244623253863419</v>
      </c>
      <c r="K1136">
        <v>1.8474979454125329</v>
      </c>
      <c r="L1136">
        <v>0</v>
      </c>
      <c r="M1136">
        <v>3.8536245257885012E-3</v>
      </c>
      <c r="N1136">
        <v>0.34011434503074184</v>
      </c>
      <c r="O1136">
        <v>0.23784437054884647</v>
      </c>
      <c r="P1136">
        <v>1.3051676966825786E-2</v>
      </c>
      <c r="Q1136">
        <v>1.5569329888704491E-3</v>
      </c>
      <c r="R1136">
        <v>3.8470048254473426E-3</v>
      </c>
      <c r="S1136">
        <v>0.37707370495946518</v>
      </c>
      <c r="T1136">
        <v>0.39745499791809002</v>
      </c>
      <c r="U1136">
        <v>0</v>
      </c>
      <c r="V1136">
        <v>0.19943094499554409</v>
      </c>
      <c r="W1136">
        <v>0.21993903875439549</v>
      </c>
      <c r="X1136">
        <v>5.0568273980025773E-2</v>
      </c>
      <c r="Y1136">
        <v>1.0470278970067784E-2</v>
      </c>
    </row>
    <row r="1137" spans="1:25" x14ac:dyDescent="0.25">
      <c r="A1137" s="1083"/>
      <c r="B1137" s="1455">
        <v>887</v>
      </c>
      <c r="C1137" s="1087">
        <v>1.0071824404027292</v>
      </c>
      <c r="D1137" s="1087">
        <v>0.95808240425152802</v>
      </c>
      <c r="E1137" s="1087">
        <v>0.98622524639924858</v>
      </c>
      <c r="F1137" s="1087">
        <v>0.98379986491013682</v>
      </c>
      <c r="G1137" s="1087">
        <v>0.99918186705308165</v>
      </c>
      <c r="H1137" s="1087">
        <v>0.975435248410915</v>
      </c>
      <c r="I1137" s="1087">
        <v>0.97813421167151249</v>
      </c>
      <c r="K1137">
        <v>1.8248742754315916</v>
      </c>
      <c r="L1137">
        <v>0</v>
      </c>
      <c r="M1137">
        <v>3.7071357431315522E-3</v>
      </c>
      <c r="N1137">
        <v>0.33749057616717348</v>
      </c>
      <c r="O1137">
        <v>0.23994042774407712</v>
      </c>
      <c r="P1137">
        <v>1.28885663273678E-2</v>
      </c>
      <c r="Q1137">
        <v>1.576184580374284E-3</v>
      </c>
      <c r="R1137">
        <v>3.7006429667712942E-3</v>
      </c>
      <c r="S1137">
        <v>0.35856021558972806</v>
      </c>
      <c r="T1137">
        <v>0.39608832663765481</v>
      </c>
      <c r="U1137">
        <v>0</v>
      </c>
      <c r="V1137">
        <v>0.19976078365607242</v>
      </c>
      <c r="W1137">
        <v>0.21684175414552823</v>
      </c>
      <c r="X1137">
        <v>5.1662003121048627E-2</v>
      </c>
      <c r="Y1137">
        <v>1.0071930238925325E-2</v>
      </c>
    </row>
    <row r="1138" spans="1:25" x14ac:dyDescent="0.25">
      <c r="A1138" s="1083"/>
      <c r="B1138" s="1455">
        <v>888</v>
      </c>
      <c r="C1138" s="1087">
        <v>0.95723717006847286</v>
      </c>
      <c r="D1138" s="1087">
        <v>1.0047616494086244</v>
      </c>
      <c r="E1138" s="1087">
        <v>0.98391676347602042</v>
      </c>
      <c r="F1138" s="1087">
        <v>0.9943492726396812</v>
      </c>
      <c r="G1138" s="1087">
        <v>1.0049200547789925</v>
      </c>
      <c r="H1138" s="1087">
        <v>1.0147243960375845</v>
      </c>
      <c r="I1138" s="1087">
        <v>0.99916518718864167</v>
      </c>
      <c r="K1138">
        <v>1.8979397016788055</v>
      </c>
      <c r="L1138">
        <v>0</v>
      </c>
      <c r="M1138">
        <v>3.9738089054918236E-3</v>
      </c>
      <c r="N1138">
        <v>0.35924602495276775</v>
      </c>
      <c r="O1138">
        <v>0.24265856709305159</v>
      </c>
      <c r="P1138">
        <v>1.3301798917984151E-2</v>
      </c>
      <c r="Q1138">
        <v>1.6231363087098718E-3</v>
      </c>
      <c r="R1138">
        <v>3.9670744746812493E-3</v>
      </c>
      <c r="S1138">
        <v>0.38274348231049249</v>
      </c>
      <c r="T1138">
        <v>0.40032187130570379</v>
      </c>
      <c r="U1138">
        <v>0</v>
      </c>
      <c r="V1138">
        <v>0.20366145533428681</v>
      </c>
      <c r="W1138">
        <v>0.23115683664009398</v>
      </c>
      <c r="X1138">
        <v>5.243619427218988E-2</v>
      </c>
      <c r="Y1138">
        <v>1.0797068974333248E-2</v>
      </c>
    </row>
    <row r="1139" spans="1:25" x14ac:dyDescent="0.25">
      <c r="A1139" s="1083"/>
      <c r="B1139" s="1455">
        <v>889</v>
      </c>
      <c r="C1139" s="1087">
        <v>1.0382395322756337</v>
      </c>
      <c r="D1139" s="1087">
        <v>0.95542739734316784</v>
      </c>
      <c r="E1139" s="1087">
        <v>0.99693551844433625</v>
      </c>
      <c r="F1139" s="1087">
        <v>0.97094462159736228</v>
      </c>
      <c r="G1139" s="1087">
        <v>0.9769974241663526</v>
      </c>
      <c r="H1139" s="1087">
        <v>1.0188111351788371</v>
      </c>
      <c r="I1139" s="1087">
        <v>0.98706450691705072</v>
      </c>
      <c r="K1139">
        <v>1.8246316403486349</v>
      </c>
      <c r="L1139">
        <v>0</v>
      </c>
      <c r="M1139">
        <v>3.6805443847932437E-3</v>
      </c>
      <c r="N1139">
        <v>0.34623533104313381</v>
      </c>
      <c r="O1139">
        <v>0.23520124756102886</v>
      </c>
      <c r="P1139">
        <v>1.2877734275491489E-2</v>
      </c>
      <c r="Q1139">
        <v>1.5483809357013821E-3</v>
      </c>
      <c r="R1139">
        <v>3.6743752949700429E-3</v>
      </c>
      <c r="S1139">
        <v>0.35934381272284432</v>
      </c>
      <c r="T1139">
        <v>0.39097529889263588</v>
      </c>
      <c r="U1139">
        <v>0</v>
      </c>
      <c r="V1139">
        <v>0.19564695366309803</v>
      </c>
      <c r="W1139">
        <v>0.22096721571383579</v>
      </c>
      <c r="X1139">
        <v>5.1841396335270011E-2</v>
      </c>
      <c r="Y1139">
        <v>1.0000438295418001E-2</v>
      </c>
    </row>
    <row r="1140" spans="1:25" x14ac:dyDescent="0.25">
      <c r="A1140" s="1083"/>
      <c r="B1140" s="1455">
        <v>890</v>
      </c>
      <c r="C1140" s="1087">
        <v>0.98801357551753788</v>
      </c>
      <c r="D1140" s="1087">
        <v>0.97928744726333372</v>
      </c>
      <c r="E1140" s="1087">
        <v>0.97909227067227766</v>
      </c>
      <c r="F1140" s="1087">
        <v>1.0169430478384243</v>
      </c>
      <c r="G1140" s="1087">
        <v>0.95887954554585253</v>
      </c>
      <c r="H1140" s="1087">
        <v>0.95755497460145567</v>
      </c>
      <c r="I1140" s="1087">
        <v>0.9854718323528886</v>
      </c>
      <c r="K1140">
        <v>1.839245783545679</v>
      </c>
      <c r="L1140">
        <v>0</v>
      </c>
      <c r="M1140">
        <v>3.7206910250249916E-3</v>
      </c>
      <c r="N1140">
        <v>0.33140935976056041</v>
      </c>
      <c r="O1140">
        <v>0.24401306398058678</v>
      </c>
      <c r="P1140">
        <v>1.3074261330463893E-2</v>
      </c>
      <c r="Q1140">
        <v>1.5805878085951486E-3</v>
      </c>
      <c r="R1140">
        <v>3.71403381849104E-3</v>
      </c>
      <c r="S1140">
        <v>0.36048949650871948</v>
      </c>
      <c r="T1140">
        <v>0.40938872132165599</v>
      </c>
      <c r="U1140">
        <v>0</v>
      </c>
      <c r="V1140">
        <v>0.20352670067459211</v>
      </c>
      <c r="W1140">
        <v>0.21389817677563569</v>
      </c>
      <c r="X1140">
        <v>5.1763696868390156E-2</v>
      </c>
      <c r="Y1140">
        <v>1.010837572301339E-2</v>
      </c>
    </row>
    <row r="1141" spans="1:25" x14ac:dyDescent="0.25">
      <c r="A1141" s="1083"/>
      <c r="B1141" s="1455">
        <v>891</v>
      </c>
      <c r="C1141" s="1087">
        <v>1.0202426273452128</v>
      </c>
      <c r="D1141" s="1087">
        <v>0.96600130544223561</v>
      </c>
      <c r="E1141" s="1087">
        <v>0.99833140559278877</v>
      </c>
      <c r="F1141" s="1087">
        <v>1.0203674324942982</v>
      </c>
      <c r="G1141" s="1087">
        <v>1.0333042391225344</v>
      </c>
      <c r="H1141" s="1087">
        <v>1.0029174080171412</v>
      </c>
      <c r="I1141" s="1087">
        <v>0.99889770610496476</v>
      </c>
      <c r="K1141">
        <v>1.8628224788189729</v>
      </c>
      <c r="L1141">
        <v>0</v>
      </c>
      <c r="M1141">
        <v>3.6552519623655353E-3</v>
      </c>
      <c r="N1141">
        <v>0.34531415648658625</v>
      </c>
      <c r="O1141">
        <v>0.24214018512365251</v>
      </c>
      <c r="P1141">
        <v>1.3315010586213349E-2</v>
      </c>
      <c r="Q1141">
        <v>1.57111029170207E-3</v>
      </c>
      <c r="R1141">
        <v>3.6490194437497755E-3</v>
      </c>
      <c r="S1141">
        <v>0.36497386919477171</v>
      </c>
      <c r="T1141">
        <v>0.41088525373945639</v>
      </c>
      <c r="U1141">
        <v>0</v>
      </c>
      <c r="V1141">
        <v>0.20121047853045221</v>
      </c>
      <c r="W1141">
        <v>0.22018685327832754</v>
      </c>
      <c r="X1141">
        <v>5.3300366079472951E-2</v>
      </c>
      <c r="Y1141">
        <v>9.9314280269505468E-3</v>
      </c>
    </row>
    <row r="1142" spans="1:25" x14ac:dyDescent="0.25">
      <c r="A1142" s="1083"/>
      <c r="B1142" s="1455">
        <v>892</v>
      </c>
      <c r="C1142" s="1087">
        <v>1.0057615011657814</v>
      </c>
      <c r="D1142" s="1087">
        <v>1.0195072759942858</v>
      </c>
      <c r="E1142" s="1087">
        <v>1.0239546743078274</v>
      </c>
      <c r="F1142" s="1087">
        <v>0.97157135799414396</v>
      </c>
      <c r="G1142" s="1087">
        <v>1.012837655171666</v>
      </c>
      <c r="H1142" s="1087">
        <v>1.0157639894338986</v>
      </c>
      <c r="I1142" s="1087">
        <v>0.97709336998143848</v>
      </c>
      <c r="K1142">
        <v>1.8277450620160041</v>
      </c>
      <c r="L1142">
        <v>0</v>
      </c>
      <c r="M1142">
        <v>3.4608917167515082E-3</v>
      </c>
      <c r="N1142">
        <v>0.35352543515949436</v>
      </c>
      <c r="O1142">
        <v>0.23314268934490601</v>
      </c>
      <c r="P1142">
        <v>1.3071513002394912E-2</v>
      </c>
      <c r="Q1142">
        <v>1.6026547862609418E-3</v>
      </c>
      <c r="R1142">
        <v>3.4550208144134326E-3</v>
      </c>
      <c r="S1142">
        <v>0.35400731477995029</v>
      </c>
      <c r="T1142">
        <v>0.39138789956842146</v>
      </c>
      <c r="U1142">
        <v>0</v>
      </c>
      <c r="V1142">
        <v>0.19583482689032503</v>
      </c>
      <c r="W1142">
        <v>0.22187196733955641</v>
      </c>
      <c r="X1142">
        <v>5.3903204337504153E-2</v>
      </c>
      <c r="Y1142">
        <v>9.4034277095279926E-3</v>
      </c>
    </row>
    <row r="1143" spans="1:25" x14ac:dyDescent="0.25">
      <c r="A1143" s="1083"/>
      <c r="B1143" s="1455">
        <v>893</v>
      </c>
      <c r="C1143" s="1087">
        <v>0.97535586744439695</v>
      </c>
      <c r="D1143" s="1087">
        <v>1.0053847344925122</v>
      </c>
      <c r="E1143" s="1087">
        <v>1.0049684107942571</v>
      </c>
      <c r="F1143" s="1087">
        <v>1.0366219360858739</v>
      </c>
      <c r="G1143" s="1087">
        <v>1.0263202506561626</v>
      </c>
      <c r="H1143" s="1087">
        <v>1.014404944280705</v>
      </c>
      <c r="I1143" s="1087">
        <v>0.98758468484146833</v>
      </c>
      <c r="K1143">
        <v>1.9085737401081204</v>
      </c>
      <c r="L1143">
        <v>0</v>
      </c>
      <c r="M1143">
        <v>3.7337669549757108E-3</v>
      </c>
      <c r="N1143">
        <v>0.35995131457857571</v>
      </c>
      <c r="O1143">
        <v>0.2456286870518164</v>
      </c>
      <c r="P1143">
        <v>1.3615418339127721E-2</v>
      </c>
      <c r="Q1143">
        <v>1.6288234925314448E-3</v>
      </c>
      <c r="R1143">
        <v>3.7274375261802215E-3</v>
      </c>
      <c r="S1143">
        <v>0.37136086722729555</v>
      </c>
      <c r="T1143">
        <v>0.41747241241966621</v>
      </c>
      <c r="U1143">
        <v>0</v>
      </c>
      <c r="V1143">
        <v>0.20535669154719821</v>
      </c>
      <c r="W1143">
        <v>0.22857145831383208</v>
      </c>
      <c r="X1143">
        <v>5.4849540370060651E-2</v>
      </c>
      <c r="Y1143">
        <v>1.0144856196812291E-2</v>
      </c>
    </row>
    <row r="1144" spans="1:25" x14ac:dyDescent="0.25">
      <c r="A1144" s="1083"/>
      <c r="B1144" s="1455">
        <v>894</v>
      </c>
      <c r="C1144" s="1087">
        <v>0.97647692034017275</v>
      </c>
      <c r="D1144" s="1087">
        <v>0.99208397614214039</v>
      </c>
      <c r="E1144" s="1087">
        <v>0.97653074350163549</v>
      </c>
      <c r="F1144" s="1087">
        <v>1.0047070930635926</v>
      </c>
      <c r="G1144" s="1087">
        <v>0.96918034824145283</v>
      </c>
      <c r="H1144" s="1087">
        <v>0.97727981028714739</v>
      </c>
      <c r="I1144" s="1087">
        <v>1.0015716141533955</v>
      </c>
      <c r="K1144">
        <v>1.8564680289593303</v>
      </c>
      <c r="L1144">
        <v>0</v>
      </c>
      <c r="M1144">
        <v>3.8351815522602375E-3</v>
      </c>
      <c r="N1144">
        <v>0.33895418672063887</v>
      </c>
      <c r="O1144">
        <v>0.24264621633888048</v>
      </c>
      <c r="P1144">
        <v>1.312610183029298E-2</v>
      </c>
      <c r="Q1144">
        <v>1.5865915393203285E-3</v>
      </c>
      <c r="R1144">
        <v>3.8284455036511349E-3</v>
      </c>
      <c r="S1144">
        <v>0.3716933452597258</v>
      </c>
      <c r="T1144">
        <v>0.40444757308399093</v>
      </c>
      <c r="U1144">
        <v>0</v>
      </c>
      <c r="V1144">
        <v>0.20302753688556485</v>
      </c>
      <c r="W1144">
        <v>0.2191240940105402</v>
      </c>
      <c r="X1144">
        <v>5.1449352724768159E-2</v>
      </c>
      <c r="Y1144">
        <v>1.0419766614217294E-2</v>
      </c>
    </row>
    <row r="1145" spans="1:25" x14ac:dyDescent="0.25">
      <c r="A1145" s="1083"/>
      <c r="B1145" s="1455">
        <v>895</v>
      </c>
      <c r="C1145" s="1087">
        <v>0.99480479968215973</v>
      </c>
      <c r="D1145" s="1087">
        <v>0.96407143040454113</v>
      </c>
      <c r="E1145" s="1087">
        <v>0.99582802771167167</v>
      </c>
      <c r="F1145" s="1087">
        <v>1.0015949977305811</v>
      </c>
      <c r="G1145" s="1087">
        <v>1.02069594398124</v>
      </c>
      <c r="H1145" s="1087">
        <v>0.993209030253702</v>
      </c>
      <c r="I1145" s="1087">
        <v>1.0126260535356217</v>
      </c>
      <c r="K1145">
        <v>1.8791662975395353</v>
      </c>
      <c r="L1145">
        <v>0</v>
      </c>
      <c r="M1145">
        <v>3.7352301022681124E-3</v>
      </c>
      <c r="N1145">
        <v>0.35017796133438067</v>
      </c>
      <c r="O1145">
        <v>0.24313458775583965</v>
      </c>
      <c r="P1145">
        <v>1.3380286692376023E-2</v>
      </c>
      <c r="Q1145">
        <v>1.6082716931036885E-3</v>
      </c>
      <c r="R1145">
        <v>3.7288002725631994E-3</v>
      </c>
      <c r="S1145">
        <v>0.37800073718828464</v>
      </c>
      <c r="T1145">
        <v>0.40331074072541584</v>
      </c>
      <c r="U1145">
        <v>0</v>
      </c>
      <c r="V1145">
        <v>0.20238445915044045</v>
      </c>
      <c r="W1145">
        <v>0.22363852306177354</v>
      </c>
      <c r="X1145">
        <v>5.3388594624389267E-2</v>
      </c>
      <c r="Y1145">
        <v>1.0148565143237529E-2</v>
      </c>
    </row>
    <row r="1146" spans="1:25" x14ac:dyDescent="0.25">
      <c r="A1146" s="1083"/>
      <c r="B1146" s="1455">
        <v>896</v>
      </c>
      <c r="C1146" s="1087">
        <v>1.0142959680048369</v>
      </c>
      <c r="D1146" s="1087">
        <v>0.98715085018917115</v>
      </c>
      <c r="E1146" s="1087">
        <v>1.0036686664070009</v>
      </c>
      <c r="F1146" s="1087">
        <v>0.98344964856715711</v>
      </c>
      <c r="G1146" s="1087">
        <v>0.97984728737439353</v>
      </c>
      <c r="H1146" s="1087">
        <v>1.0042586835093206</v>
      </c>
      <c r="I1146" s="1087">
        <v>1.0115707511860539</v>
      </c>
      <c r="K1146">
        <v>1.8400048830942166</v>
      </c>
      <c r="L1146">
        <v>0</v>
      </c>
      <c r="M1146">
        <v>3.5990422488810059E-3</v>
      </c>
      <c r="N1146">
        <v>0.34558575704054667</v>
      </c>
      <c r="O1146">
        <v>0.23640414869190415</v>
      </c>
      <c r="P1146">
        <v>1.3150965391174427E-2</v>
      </c>
      <c r="Q1146">
        <v>1.575621086666543E-3</v>
      </c>
      <c r="R1146">
        <v>3.5928947585928766E-3</v>
      </c>
      <c r="S1146">
        <v>0.36762184046791468</v>
      </c>
      <c r="T1146">
        <v>0.39605089350797196</v>
      </c>
      <c r="U1146">
        <v>0</v>
      </c>
      <c r="V1146">
        <v>0.19752860003380376</v>
      </c>
      <c r="W1146">
        <v>0.21962694560594714</v>
      </c>
      <c r="X1146">
        <v>5.2687583623125915E-2</v>
      </c>
      <c r="Y1146">
        <v>9.7786751354509566E-3</v>
      </c>
    </row>
    <row r="1147" spans="1:25" x14ac:dyDescent="0.25">
      <c r="A1147" s="1083"/>
      <c r="B1147" s="1455">
        <v>897</v>
      </c>
      <c r="C1147" s="1087">
        <v>1.0010212282829722</v>
      </c>
      <c r="D1147" s="1087">
        <v>0.99527200294443596</v>
      </c>
      <c r="E1147" s="1087">
        <v>0.98766184098114507</v>
      </c>
      <c r="F1147" s="1087">
        <v>0.991855774233801</v>
      </c>
      <c r="G1147" s="1087">
        <v>1.0083380037080405</v>
      </c>
      <c r="H1147" s="1087">
        <v>1.0053533650827535</v>
      </c>
      <c r="I1147" s="1087">
        <v>0.98065506457216589</v>
      </c>
      <c r="K1147">
        <v>1.8360507316521757</v>
      </c>
      <c r="L1147">
        <v>0</v>
      </c>
      <c r="M1147">
        <v>3.7556416728259344E-3</v>
      </c>
      <c r="N1147">
        <v>0.34342501631240618</v>
      </c>
      <c r="O1147">
        <v>0.23794611066554358</v>
      </c>
      <c r="P1147">
        <v>1.2950619242979033E-2</v>
      </c>
      <c r="Q1147">
        <v>1.5643203385851641E-3</v>
      </c>
      <c r="R1147">
        <v>3.749226532742267E-3</v>
      </c>
      <c r="S1147">
        <v>0.35949722503919146</v>
      </c>
      <c r="T1147">
        <v>0.39934027461885169</v>
      </c>
      <c r="U1147">
        <v>0</v>
      </c>
      <c r="V1147">
        <v>0.19912873537138334</v>
      </c>
      <c r="W1147">
        <v>0.22045477277572709</v>
      </c>
      <c r="X1147">
        <v>5.1545913737659321E-2</v>
      </c>
      <c r="Y1147">
        <v>1.0204158689930095E-2</v>
      </c>
    </row>
    <row r="1148" spans="1:25" x14ac:dyDescent="0.25">
      <c r="A1148" s="1083"/>
      <c r="B1148" s="1455">
        <v>898</v>
      </c>
      <c r="C1148" s="1087">
        <v>1.00082243456366</v>
      </c>
      <c r="D1148" s="1087">
        <v>0.97151095125573605</v>
      </c>
      <c r="E1148" s="1087">
        <v>0.99275140306491116</v>
      </c>
      <c r="F1148" s="1087">
        <v>1.0342961811056803</v>
      </c>
      <c r="G1148" s="1087">
        <v>0.99463284031797794</v>
      </c>
      <c r="H1148" s="1087">
        <v>1.032625724394715</v>
      </c>
      <c r="I1148" s="1087">
        <v>1.0034859178328992</v>
      </c>
      <c r="K1148">
        <v>1.9127476257375478</v>
      </c>
      <c r="L1148">
        <v>0</v>
      </c>
      <c r="M1148">
        <v>3.8688069983703415E-3</v>
      </c>
      <c r="N1148">
        <v>0.35933303974348557</v>
      </c>
      <c r="O1148">
        <v>0.24548250864321783</v>
      </c>
      <c r="P1148">
        <v>1.3551847225012672E-2</v>
      </c>
      <c r="Q1148">
        <v>1.5884621441125584E-3</v>
      </c>
      <c r="R1148">
        <v>3.8623952624519484E-3</v>
      </c>
      <c r="S1148">
        <v>0.37801429092895672</v>
      </c>
      <c r="T1148">
        <v>0.41645927412850187</v>
      </c>
      <c r="U1148">
        <v>0</v>
      </c>
      <c r="V1148">
        <v>0.20413633842410958</v>
      </c>
      <c r="W1148">
        <v>0.22992882326018152</v>
      </c>
      <c r="X1148">
        <v>5.3747286309747663E-2</v>
      </c>
      <c r="Y1148">
        <v>1.0512166666138125E-2</v>
      </c>
    </row>
    <row r="1149" spans="1:25" x14ac:dyDescent="0.25">
      <c r="A1149" s="1083"/>
      <c r="B1149" s="1455">
        <v>899</v>
      </c>
      <c r="C1149" s="1087">
        <v>0.9892231477757325</v>
      </c>
      <c r="D1149" s="1087">
        <v>1.0079940426514302</v>
      </c>
      <c r="E1149" s="1087">
        <v>1.0132211337193393</v>
      </c>
      <c r="F1149" s="1087">
        <v>0.97701640374646836</v>
      </c>
      <c r="G1149" s="1087">
        <v>1.014325510638983</v>
      </c>
      <c r="H1149" s="1087">
        <v>0.97109744701956546</v>
      </c>
      <c r="I1149" s="1087">
        <v>1.0159855252568695</v>
      </c>
      <c r="K1149">
        <v>1.8328512145378566</v>
      </c>
      <c r="L1149">
        <v>0</v>
      </c>
      <c r="M1149">
        <v>3.4600097600710959E-3</v>
      </c>
      <c r="N1149">
        <v>0.34203535073823749</v>
      </c>
      <c r="O1149">
        <v>0.23670905421690744</v>
      </c>
      <c r="P1149">
        <v>1.3231781788857646E-2</v>
      </c>
      <c r="Q1149">
        <v>1.6184297008792503E-3</v>
      </c>
      <c r="R1149">
        <v>3.4538800311383149E-3</v>
      </c>
      <c r="S1149">
        <v>0.36818855406278411</v>
      </c>
      <c r="T1149">
        <v>0.39351701042773735</v>
      </c>
      <c r="U1149">
        <v>0</v>
      </c>
      <c r="V1149">
        <v>0.19859131901292948</v>
      </c>
      <c r="W1149">
        <v>0.21608521005397488</v>
      </c>
      <c r="X1149">
        <v>5.3480311390970411E-2</v>
      </c>
      <c r="Y1149">
        <v>9.400322873512227E-3</v>
      </c>
    </row>
    <row r="1150" spans="1:25" x14ac:dyDescent="0.25">
      <c r="A1150" s="1083"/>
      <c r="B1150" s="1455">
        <v>900</v>
      </c>
      <c r="C1150" s="1087">
        <v>1.0127092180399477</v>
      </c>
      <c r="D1150" s="1087">
        <v>0.99665888081835852</v>
      </c>
      <c r="E1150" s="1087">
        <v>1.0276270610581175</v>
      </c>
      <c r="F1150" s="1087">
        <v>1.0077555049125202</v>
      </c>
      <c r="G1150" s="1087">
        <v>0.9930261119917313</v>
      </c>
      <c r="H1150" s="1087">
        <v>1.0162035244322822</v>
      </c>
      <c r="I1150" s="1087">
        <v>1.0222282247866203</v>
      </c>
      <c r="K1150">
        <v>1.8772545789503303</v>
      </c>
      <c r="L1150">
        <v>0</v>
      </c>
      <c r="M1150">
        <v>3.4547439273868519E-3</v>
      </c>
      <c r="N1150">
        <v>0.35686926706032646</v>
      </c>
      <c r="O1150">
        <v>0.23885012782515475</v>
      </c>
      <c r="P1150">
        <v>1.3618326050080693E-2</v>
      </c>
      <c r="Q1150">
        <v>1.612370335650053E-3</v>
      </c>
      <c r="R1150">
        <v>3.4489044063261776E-3</v>
      </c>
      <c r="S1150">
        <v>0.37257655934488632</v>
      </c>
      <c r="T1150">
        <v>0.40598715391520157</v>
      </c>
      <c r="U1150">
        <v>0</v>
      </c>
      <c r="V1150">
        <v>0.19941993953645995</v>
      </c>
      <c r="W1150">
        <v>0.2234670405822195</v>
      </c>
      <c r="X1150">
        <v>5.5472852958423156E-2</v>
      </c>
      <c r="Y1150">
        <v>9.386780862987866E-3</v>
      </c>
    </row>
    <row r="1151" spans="1:25" x14ac:dyDescent="0.25">
      <c r="A1151" s="1083"/>
      <c r="B1151" s="1455">
        <v>901</v>
      </c>
      <c r="C1151" s="1087">
        <v>1.0093268579442034</v>
      </c>
      <c r="D1151" s="1087">
        <v>1.0085992457010604</v>
      </c>
      <c r="E1151" s="1087">
        <v>0.99321440556261631</v>
      </c>
      <c r="F1151" s="1087">
        <v>0.98985213055582899</v>
      </c>
      <c r="G1151" s="1087">
        <v>1.0247632786968048</v>
      </c>
      <c r="H1151" s="1087">
        <v>0.97279311711937544</v>
      </c>
      <c r="I1151" s="1087">
        <v>0.99184464622178259</v>
      </c>
      <c r="K1151">
        <v>1.798545066507951</v>
      </c>
      <c r="L1151">
        <v>0</v>
      </c>
      <c r="M1151">
        <v>3.5378792571503993E-3</v>
      </c>
      <c r="N1151">
        <v>0.32902477468125063</v>
      </c>
      <c r="O1151">
        <v>0.23549335006753919</v>
      </c>
      <c r="P1151">
        <v>1.2872547028094263E-2</v>
      </c>
      <c r="Q1151">
        <v>1.5524182542453152E-3</v>
      </c>
      <c r="R1151">
        <v>3.5316220347353339E-3</v>
      </c>
      <c r="S1151">
        <v>0.35224517087340673</v>
      </c>
      <c r="T1151">
        <v>0.39856664377817469</v>
      </c>
      <c r="U1151">
        <v>0</v>
      </c>
      <c r="V1151">
        <v>0.19741310519854019</v>
      </c>
      <c r="W1151">
        <v>0.21047405164177901</v>
      </c>
      <c r="X1151">
        <v>5.1297351227676938E-2</v>
      </c>
      <c r="Y1151">
        <v>9.6119109796587113E-3</v>
      </c>
    </row>
    <row r="1152" spans="1:25" x14ac:dyDescent="0.25">
      <c r="A1152" s="1083"/>
      <c r="B1152" s="1455">
        <v>902</v>
      </c>
      <c r="C1152" s="1087">
        <v>1.0071049216875072</v>
      </c>
      <c r="D1152" s="1087">
        <v>1.0256195559581889</v>
      </c>
      <c r="E1152" s="1087">
        <v>1.0095753388499749</v>
      </c>
      <c r="F1152" s="1087">
        <v>0.96986216528831459</v>
      </c>
      <c r="G1152" s="1087">
        <v>0.99931166616410649</v>
      </c>
      <c r="H1152" s="1087">
        <v>1.0070082020991615</v>
      </c>
      <c r="I1152" s="1087">
        <v>0.99785307107960342</v>
      </c>
      <c r="K1152">
        <v>1.8139834593059838</v>
      </c>
      <c r="L1152">
        <v>0</v>
      </c>
      <c r="M1152">
        <v>3.5176649396635533E-3</v>
      </c>
      <c r="N1152">
        <v>0.34391091207161845</v>
      </c>
      <c r="O1152">
        <v>0.23200438563421258</v>
      </c>
      <c r="P1152">
        <v>1.2971050291808317E-2</v>
      </c>
      <c r="Q1152">
        <v>1.5726235650400178E-3</v>
      </c>
      <c r="R1152">
        <v>3.5116408139432365E-3</v>
      </c>
      <c r="S1152">
        <v>0.35814228533883991</v>
      </c>
      <c r="T1152">
        <v>0.39061387048536284</v>
      </c>
      <c r="U1152">
        <v>0</v>
      </c>
      <c r="V1152">
        <v>0.19515495562583227</v>
      </c>
      <c r="W1152">
        <v>0.21776139088698188</v>
      </c>
      <c r="X1152">
        <v>5.2300480848538777E-2</v>
      </c>
      <c r="Y1152">
        <v>9.5575286834702882E-3</v>
      </c>
    </row>
    <row r="1153" spans="1:25" x14ac:dyDescent="0.25">
      <c r="A1153" s="1083"/>
      <c r="B1153" s="1455">
        <v>903</v>
      </c>
      <c r="C1153" s="1087">
        <v>1.0184531003912993</v>
      </c>
      <c r="D1153" s="1087">
        <v>0.96524158290375706</v>
      </c>
      <c r="E1153" s="1087">
        <v>1.0376270164894787</v>
      </c>
      <c r="F1153" s="1087">
        <v>1.0251381083956599</v>
      </c>
      <c r="G1153" s="1087">
        <v>1.0040033337015948</v>
      </c>
      <c r="H1153" s="1087">
        <v>0.97797554812973519</v>
      </c>
      <c r="I1153" s="1087">
        <v>0.96774814854229585</v>
      </c>
      <c r="K1153">
        <v>1.8595529764390211</v>
      </c>
      <c r="L1153">
        <v>0</v>
      </c>
      <c r="M1153">
        <v>3.2955198167284455E-3</v>
      </c>
      <c r="N1153">
        <v>0.35092454474500417</v>
      </c>
      <c r="O1153">
        <v>0.24356896651635332</v>
      </c>
      <c r="P1153">
        <v>1.3543032139144293E-2</v>
      </c>
      <c r="Q1153">
        <v>1.641055998413285E-3</v>
      </c>
      <c r="R1153">
        <v>3.2897580312857984E-3</v>
      </c>
      <c r="S1153">
        <v>0.3504204970266746</v>
      </c>
      <c r="T1153">
        <v>0.41305348483342158</v>
      </c>
      <c r="U1153">
        <v>0</v>
      </c>
      <c r="V1153">
        <v>0.20208730124757079</v>
      </c>
      <c r="W1153">
        <v>0.21840875396102097</v>
      </c>
      <c r="X1153">
        <v>5.6957464864144935E-2</v>
      </c>
      <c r="Y1153">
        <v>8.9536368927163879E-3</v>
      </c>
    </row>
    <row r="1154" spans="1:25" x14ac:dyDescent="0.25">
      <c r="A1154" s="1083"/>
      <c r="B1154" s="1455">
        <v>904</v>
      </c>
      <c r="C1154" s="1087">
        <v>1.0064021766781579</v>
      </c>
      <c r="D1154" s="1087">
        <v>1.0229480056549654</v>
      </c>
      <c r="E1154" s="1087">
        <v>1.0422959078352405</v>
      </c>
      <c r="F1154" s="1087">
        <v>0.97496796914331907</v>
      </c>
      <c r="G1154" s="1087">
        <v>0.96958661557952852</v>
      </c>
      <c r="H1154" s="1087">
        <v>0.97332488390684579</v>
      </c>
      <c r="I1154" s="1087">
        <v>0.98812281633772925</v>
      </c>
      <c r="K1154">
        <v>1.8084596320716675</v>
      </c>
      <c r="L1154">
        <v>0</v>
      </c>
      <c r="M1154">
        <v>3.1857417570728516E-3</v>
      </c>
      <c r="N1154">
        <v>0.34408070591864498</v>
      </c>
      <c r="O1154">
        <v>0.23340111965094482</v>
      </c>
      <c r="P1154">
        <v>1.3210655671352226E-2</v>
      </c>
      <c r="Q1154">
        <v>1.6305065801993446E-3</v>
      </c>
      <c r="R1154">
        <v>3.1800993224375693E-3</v>
      </c>
      <c r="S1154">
        <v>0.34984114908743391</v>
      </c>
      <c r="T1154">
        <v>0.39286704210862206</v>
      </c>
      <c r="U1154">
        <v>0</v>
      </c>
      <c r="V1154">
        <v>0.19599506899643945</v>
      </c>
      <c r="W1154">
        <v>0.21354382588282675</v>
      </c>
      <c r="X1154">
        <v>5.5240018573624254E-2</v>
      </c>
      <c r="Y1154">
        <v>8.6551820362151637E-3</v>
      </c>
    </row>
    <row r="1155" spans="1:25" x14ac:dyDescent="0.25">
      <c r="A1155" s="1083"/>
      <c r="B1155" s="1455">
        <v>905</v>
      </c>
      <c r="C1155" s="1087">
        <v>1.0090219756833547</v>
      </c>
      <c r="D1155" s="1087">
        <v>1.0347698403397732</v>
      </c>
      <c r="E1155" s="1087">
        <v>1.0030823584609598</v>
      </c>
      <c r="F1155" s="1087">
        <v>1.0232714538183687</v>
      </c>
      <c r="G1155" s="1087">
        <v>0.96824970854210557</v>
      </c>
      <c r="H1155" s="1087">
        <v>1.0048548051250745</v>
      </c>
      <c r="I1155" s="1087">
        <v>1.0154048987781357</v>
      </c>
      <c r="K1155">
        <v>1.840231655273953</v>
      </c>
      <c r="L1155">
        <v>0</v>
      </c>
      <c r="M1155">
        <v>3.5320102568394528E-3</v>
      </c>
      <c r="N1155">
        <v>0.33853941263692999</v>
      </c>
      <c r="O1155">
        <v>0.23690759324337637</v>
      </c>
      <c r="P1155">
        <v>1.3299369353003949E-2</v>
      </c>
      <c r="Q1155">
        <v>1.5533199071025301E-3</v>
      </c>
      <c r="R1155">
        <v>3.5259387154460728E-3</v>
      </c>
      <c r="S1155">
        <v>0.36144316776803792</v>
      </c>
      <c r="T1155">
        <v>0.41208412709596454</v>
      </c>
      <c r="U1155">
        <v>0</v>
      </c>
      <c r="V1155">
        <v>0.19894724558782098</v>
      </c>
      <c r="W1155">
        <v>0.2152274788559157</v>
      </c>
      <c r="X1155">
        <v>5.2639569509135391E-2</v>
      </c>
      <c r="Y1155">
        <v>9.5964428580590441E-3</v>
      </c>
    </row>
    <row r="1156" spans="1:25" x14ac:dyDescent="0.25">
      <c r="A1156" s="1083"/>
      <c r="B1156" s="1455">
        <v>906</v>
      </c>
      <c r="C1156" s="1087">
        <v>1.0204289901300021</v>
      </c>
      <c r="D1156" s="1087">
        <v>1.0247757225831113</v>
      </c>
      <c r="E1156" s="1087">
        <v>0.99602897001262525</v>
      </c>
      <c r="F1156" s="1087">
        <v>0.99906368886535402</v>
      </c>
      <c r="G1156" s="1087">
        <v>1.0416473705724307</v>
      </c>
      <c r="H1156" s="1087">
        <v>1.0162898729767806</v>
      </c>
      <c r="I1156" s="1087">
        <v>0.97298414846751446</v>
      </c>
      <c r="K1156">
        <v>1.8077756940922631</v>
      </c>
      <c r="L1156">
        <v>0</v>
      </c>
      <c r="M1156">
        <v>3.6031037170669556E-3</v>
      </c>
      <c r="N1156">
        <v>0.33800662015744942</v>
      </c>
      <c r="O1156">
        <v>0.23369950728162059</v>
      </c>
      <c r="P1156">
        <v>1.2851966464502049E-2</v>
      </c>
      <c r="Q1156">
        <v>1.530381977239431E-3</v>
      </c>
      <c r="R1156">
        <v>3.5969891134003495E-3</v>
      </c>
      <c r="S1156">
        <v>0.34621614915195392</v>
      </c>
      <c r="T1156">
        <v>0.40229267529234547</v>
      </c>
      <c r="U1156">
        <v>0</v>
      </c>
      <c r="V1156">
        <v>0.19620750860284311</v>
      </c>
      <c r="W1156">
        <v>0.21583820343270615</v>
      </c>
      <c r="X1156">
        <v>5.134897771573653E-2</v>
      </c>
      <c r="Y1156">
        <v>9.7898186195331978E-3</v>
      </c>
    </row>
    <row r="1157" spans="1:25" x14ac:dyDescent="0.25">
      <c r="A1157" s="1083"/>
      <c r="B1157" s="1455">
        <v>907</v>
      </c>
      <c r="C1157" s="1087">
        <v>1.0149992427641648</v>
      </c>
      <c r="D1157" s="1087">
        <v>0.97894498708658173</v>
      </c>
      <c r="E1157" s="1087">
        <v>1.0146988611142098</v>
      </c>
      <c r="F1157" s="1087">
        <v>0.99850071698643117</v>
      </c>
      <c r="G1157" s="1087">
        <v>1.0273289589291925</v>
      </c>
      <c r="H1157" s="1087">
        <v>1.0058428883890802</v>
      </c>
      <c r="I1157" s="1087">
        <v>0.99732123615498502</v>
      </c>
      <c r="K1157">
        <v>1.8566620766717923</v>
      </c>
      <c r="L1157">
        <v>0</v>
      </c>
      <c r="M1157">
        <v>3.5377738835117084E-3</v>
      </c>
      <c r="N1157">
        <v>0.35132569939304842</v>
      </c>
      <c r="O1157">
        <v>0.2390927101211052</v>
      </c>
      <c r="P1157">
        <v>1.3321173578974044E-2</v>
      </c>
      <c r="Q1157">
        <v>1.5983843132968477E-3</v>
      </c>
      <c r="R1157">
        <v>3.5317478146965945E-3</v>
      </c>
      <c r="S1157">
        <v>0.36429117112760762</v>
      </c>
      <c r="T1157">
        <v>0.4021793661150973</v>
      </c>
      <c r="U1157">
        <v>0</v>
      </c>
      <c r="V1157">
        <v>0.1992642481682613</v>
      </c>
      <c r="W1157">
        <v>0.22175180205130618</v>
      </c>
      <c r="X1157">
        <v>5.4231294560660483E-2</v>
      </c>
      <c r="Y1157">
        <v>9.6122533112499089E-3</v>
      </c>
    </row>
    <row r="1158" spans="1:25" x14ac:dyDescent="0.25">
      <c r="A1158" s="1083"/>
      <c r="B1158" s="1455">
        <v>908</v>
      </c>
      <c r="C1158" s="1087">
        <v>0.98246554501741701</v>
      </c>
      <c r="D1158" s="1087">
        <v>1.0172629429900024</v>
      </c>
      <c r="E1158" s="1087">
        <v>1.0066150252553119</v>
      </c>
      <c r="F1158" s="1087">
        <v>1.013174406807259</v>
      </c>
      <c r="G1158" s="1087">
        <v>1.004415864850577</v>
      </c>
      <c r="H1158" s="1087">
        <v>1.0116215907441024</v>
      </c>
      <c r="I1158" s="1087">
        <v>1.0024419430698945</v>
      </c>
      <c r="K1158">
        <v>1.8807937902484175</v>
      </c>
      <c r="L1158">
        <v>0</v>
      </c>
      <c r="M1158">
        <v>3.6607801908701606E-3</v>
      </c>
      <c r="N1158">
        <v>0.35468950759019607</v>
      </c>
      <c r="O1158">
        <v>0.24082955777689644</v>
      </c>
      <c r="P1158">
        <v>1.3455022477462785E-2</v>
      </c>
      <c r="Q1158">
        <v>1.6122751323150472E-3</v>
      </c>
      <c r="R1158">
        <v>3.6545470663990279E-3</v>
      </c>
      <c r="S1158">
        <v>0.37130413662936901</v>
      </c>
      <c r="T1158">
        <v>0.40803968240600319</v>
      </c>
      <c r="U1158">
        <v>0</v>
      </c>
      <c r="V1158">
        <v>0.20193418424176773</v>
      </c>
      <c r="W1158">
        <v>0.2249995747174629</v>
      </c>
      <c r="X1158">
        <v>5.3989610007793301E-2</v>
      </c>
      <c r="Y1158">
        <v>9.9464723936214926E-3</v>
      </c>
    </row>
    <row r="1159" spans="1:25" x14ac:dyDescent="0.25">
      <c r="A1159" s="1083"/>
      <c r="B1159" s="1455">
        <v>909</v>
      </c>
      <c r="C1159" s="1087">
        <v>1.0000851643524682</v>
      </c>
      <c r="D1159" s="1087">
        <v>0.97162476338831738</v>
      </c>
      <c r="E1159" s="1087">
        <v>1.0415759258812261</v>
      </c>
      <c r="F1159" s="1087">
        <v>1.0209778986948617</v>
      </c>
      <c r="G1159" s="1087">
        <v>0.97784064657074166</v>
      </c>
      <c r="H1159" s="1087">
        <v>0.98869678922991877</v>
      </c>
      <c r="I1159" s="1087">
        <v>0.96286482791727923</v>
      </c>
      <c r="K1159">
        <v>1.8832424978764866</v>
      </c>
      <c r="L1159">
        <v>0</v>
      </c>
      <c r="M1159">
        <v>3.3535038817360851E-3</v>
      </c>
      <c r="N1159">
        <v>0.36142213334378487</v>
      </c>
      <c r="O1159">
        <v>0.24471540541693967</v>
      </c>
      <c r="P1159">
        <v>1.3650742229903094E-2</v>
      </c>
      <c r="Q1159">
        <v>1.673682397659605E-3</v>
      </c>
      <c r="R1159">
        <v>3.3476990877345323E-3</v>
      </c>
      <c r="S1159">
        <v>0.35570968494511029</v>
      </c>
      <c r="T1159">
        <v>0.4114023342641398</v>
      </c>
      <c r="U1159">
        <v>0</v>
      </c>
      <c r="V1159">
        <v>0.20336523034941109</v>
      </c>
      <c r="W1159">
        <v>0.22440409573358097</v>
      </c>
      <c r="X1159">
        <v>5.779366064185306E-2</v>
      </c>
      <c r="Y1159">
        <v>9.1113333481057136E-3</v>
      </c>
    </row>
    <row r="1160" spans="1:25" x14ac:dyDescent="0.25">
      <c r="A1160" s="1083"/>
      <c r="B1160" s="1455">
        <v>910</v>
      </c>
      <c r="C1160" s="1087">
        <v>1.0085350958506689</v>
      </c>
      <c r="D1160" s="1087">
        <v>1.0081689954978847</v>
      </c>
      <c r="E1160" s="1087">
        <v>0.97271402741911728</v>
      </c>
      <c r="F1160" s="1087">
        <v>1.0316092512351978</v>
      </c>
      <c r="G1160" s="1087">
        <v>0.96597716544536405</v>
      </c>
      <c r="H1160" s="1087">
        <v>1.000291941416134</v>
      </c>
      <c r="I1160" s="1087">
        <v>0.97015835090910441</v>
      </c>
      <c r="K1160">
        <v>1.8275382622850518</v>
      </c>
      <c r="L1160">
        <v>0</v>
      </c>
      <c r="M1160">
        <v>3.7963809875637754E-3</v>
      </c>
      <c r="N1160">
        <v>0.33164448754064546</v>
      </c>
      <c r="O1160">
        <v>0.2401322486264125</v>
      </c>
      <c r="P1160">
        <v>1.2906462890166503E-2</v>
      </c>
      <c r="Q1160">
        <v>1.5200310514727122E-3</v>
      </c>
      <c r="R1160">
        <v>3.7898502961615545E-3</v>
      </c>
      <c r="S1160">
        <v>0.34941398933094042</v>
      </c>
      <c r="T1160">
        <v>0.41525368995308898</v>
      </c>
      <c r="U1160">
        <v>0</v>
      </c>
      <c r="V1160">
        <v>0.20092756122035474</v>
      </c>
      <c r="W1160">
        <v>0.21492039371205041</v>
      </c>
      <c r="X1160">
        <v>5.0511205468984743E-2</v>
      </c>
      <c r="Y1160">
        <v>1.0314723182337384E-2</v>
      </c>
    </row>
    <row r="1161" spans="1:25" x14ac:dyDescent="0.25">
      <c r="A1161" s="1083"/>
      <c r="B1161" s="1455">
        <v>911</v>
      </c>
      <c r="C1161" s="1087">
        <v>0.97150465829636978</v>
      </c>
      <c r="D1161" s="1087">
        <v>0.96633882423569872</v>
      </c>
      <c r="E1161" s="1087">
        <v>1.031278648861387</v>
      </c>
      <c r="F1161" s="1087">
        <v>1.015167606845202</v>
      </c>
      <c r="G1161" s="1087">
        <v>0.99647763518272958</v>
      </c>
      <c r="H1161" s="1087">
        <v>0.98017586995179484</v>
      </c>
      <c r="I1161" s="1087">
        <v>1.0099283778482779</v>
      </c>
      <c r="K1161">
        <v>1.9245249053356199</v>
      </c>
      <c r="L1161">
        <v>0</v>
      </c>
      <c r="M1161">
        <v>3.5055954514304133E-3</v>
      </c>
      <c r="N1161">
        <v>0.36615125835412177</v>
      </c>
      <c r="O1161">
        <v>0.24798517276322757</v>
      </c>
      <c r="P1161">
        <v>1.3943816960356252E-2</v>
      </c>
      <c r="Q1161">
        <v>1.7081891010096114E-3</v>
      </c>
      <c r="R1161">
        <v>3.4994786368435457E-3</v>
      </c>
      <c r="S1161">
        <v>0.38345440671196523</v>
      </c>
      <c r="T1161">
        <v>0.40899613702362791</v>
      </c>
      <c r="U1161">
        <v>0</v>
      </c>
      <c r="V1161">
        <v>0.20625462297152311</v>
      </c>
      <c r="W1161">
        <v>0.22876817694687132</v>
      </c>
      <c r="X1161">
        <v>5.774481407083535E-2</v>
      </c>
      <c r="Y1161">
        <v>9.5244272466655337E-3</v>
      </c>
    </row>
    <row r="1162" spans="1:25" x14ac:dyDescent="0.25">
      <c r="A1162" s="1083"/>
      <c r="B1162" s="1455">
        <v>912</v>
      </c>
      <c r="C1162" s="1087">
        <v>0.99902965086562356</v>
      </c>
      <c r="D1162" s="1087">
        <v>1.0029142334356727</v>
      </c>
      <c r="E1162" s="1087">
        <v>1.003580818411697</v>
      </c>
      <c r="F1162" s="1087">
        <v>1.0021524923274376</v>
      </c>
      <c r="G1162" s="1087">
        <v>0.98232316330500891</v>
      </c>
      <c r="H1162" s="1087">
        <v>0.98024222148521778</v>
      </c>
      <c r="I1162" s="1087">
        <v>1.0199149668165974</v>
      </c>
      <c r="K1162">
        <v>1.8438367592338243</v>
      </c>
      <c r="L1162">
        <v>0</v>
      </c>
      <c r="M1162">
        <v>3.5370684878452113E-3</v>
      </c>
      <c r="N1162">
        <v>0.33952839470251089</v>
      </c>
      <c r="O1162">
        <v>0.23887514619429367</v>
      </c>
      <c r="P1162">
        <v>1.3299194472559738E-2</v>
      </c>
      <c r="Q1162">
        <v>1.5894446880334436E-3</v>
      </c>
      <c r="R1162">
        <v>3.5308653683249471E-3</v>
      </c>
      <c r="S1162">
        <v>0.36859703311925585</v>
      </c>
      <c r="T1162">
        <v>0.40358229284352559</v>
      </c>
      <c r="U1162">
        <v>0</v>
      </c>
      <c r="V1162">
        <v>0.19992022139403362</v>
      </c>
      <c r="W1162">
        <v>0.21578917767177402</v>
      </c>
      <c r="X1162">
        <v>5.3052205684231163E-2</v>
      </c>
      <c r="Y1162">
        <v>9.6098515831246571E-3</v>
      </c>
    </row>
    <row r="1163" spans="1:25" x14ac:dyDescent="0.25">
      <c r="A1163" s="1083"/>
      <c r="B1163" s="1455">
        <v>913</v>
      </c>
      <c r="C1163" s="1087">
        <v>1.0117093769420142</v>
      </c>
      <c r="D1163" s="1087">
        <v>1.0181370598854567</v>
      </c>
      <c r="E1163" s="1087">
        <v>0.96637992835551156</v>
      </c>
      <c r="F1163" s="1087">
        <v>0.96622651414357208</v>
      </c>
      <c r="G1163" s="1087">
        <v>0.95999751612735351</v>
      </c>
      <c r="H1163" s="1087">
        <v>0.97772639287908636</v>
      </c>
      <c r="I1163" s="1087">
        <v>0.98935696677646823</v>
      </c>
      <c r="K1163">
        <v>1.7632141215291244</v>
      </c>
      <c r="L1163">
        <v>0</v>
      </c>
      <c r="M1163">
        <v>3.7279222081066377E-3</v>
      </c>
      <c r="N1163">
        <v>0.31940238718763381</v>
      </c>
      <c r="O1163">
        <v>0.23114443816880001</v>
      </c>
      <c r="P1163">
        <v>1.2406104541020748E-2</v>
      </c>
      <c r="Q1163">
        <v>1.4989963623783323E-3</v>
      </c>
      <c r="R1163">
        <v>3.7213534257126029E-3</v>
      </c>
      <c r="S1163">
        <v>0.34928671748104656</v>
      </c>
      <c r="T1163">
        <v>0.38889891016705158</v>
      </c>
      <c r="U1163">
        <v>0</v>
      </c>
      <c r="V1163">
        <v>0.19448855378597013</v>
      </c>
      <c r="W1163">
        <v>0.20782690848491797</v>
      </c>
      <c r="X1163">
        <v>4.8139376851736179E-2</v>
      </c>
      <c r="Y1163">
        <v>1.012829728096261E-2</v>
      </c>
    </row>
    <row r="1164" spans="1:25" x14ac:dyDescent="0.25">
      <c r="A1164" s="1083"/>
      <c r="B1164" s="1455">
        <v>914</v>
      </c>
      <c r="C1164" s="1087">
        <v>1.024066278132632</v>
      </c>
      <c r="D1164" s="1087">
        <v>0.97626466643983512</v>
      </c>
      <c r="E1164" s="1087">
        <v>0.97942861629867217</v>
      </c>
      <c r="F1164" s="1087">
        <v>1.0191425442631863</v>
      </c>
      <c r="G1164" s="1087">
        <v>0.98234348695048512</v>
      </c>
      <c r="H1164" s="1087">
        <v>1.0286204586671981</v>
      </c>
      <c r="I1164" s="1087">
        <v>0.98612891688285509</v>
      </c>
      <c r="K1164">
        <v>1.854284945203253</v>
      </c>
      <c r="L1164">
        <v>0</v>
      </c>
      <c r="M1164">
        <v>3.8595620837002039E-3</v>
      </c>
      <c r="N1164">
        <v>0.34417527387313018</v>
      </c>
      <c r="O1164">
        <v>0.24019115647950159</v>
      </c>
      <c r="P1164">
        <v>1.3051677023608918E-2</v>
      </c>
      <c r="Q1164">
        <v>1.5273826581086421E-3</v>
      </c>
      <c r="R1164">
        <v>3.8531357080329141E-3</v>
      </c>
      <c r="S1164">
        <v>0.36118363442674428</v>
      </c>
      <c r="T1164">
        <v>0.41027621415982513</v>
      </c>
      <c r="U1164">
        <v>0</v>
      </c>
      <c r="V1164">
        <v>0.20001583029264189</v>
      </c>
      <c r="W1164">
        <v>0.22209013669997246</v>
      </c>
      <c r="X1164">
        <v>5.1293100753966203E-2</v>
      </c>
      <c r="Y1164">
        <v>1.0486965211420809E-2</v>
      </c>
    </row>
    <row r="1165" spans="1:25" x14ac:dyDescent="0.25">
      <c r="A1165" s="1083"/>
      <c r="B1165" s="1455">
        <v>915</v>
      </c>
      <c r="C1165" s="1087">
        <v>0.99061712214516684</v>
      </c>
      <c r="D1165" s="1087">
        <v>1.0032594790020533</v>
      </c>
      <c r="E1165" s="1087">
        <v>1.0272404560774016</v>
      </c>
      <c r="F1165" s="1087">
        <v>1.024244346194767</v>
      </c>
      <c r="G1165" s="1087">
        <v>0.98326437270815958</v>
      </c>
      <c r="H1165" s="1087">
        <v>0.9787878789891945</v>
      </c>
      <c r="I1165" s="1087">
        <v>0.99927511025412108</v>
      </c>
      <c r="K1165">
        <v>1.8721416980662708</v>
      </c>
      <c r="L1165">
        <v>0</v>
      </c>
      <c r="M1165">
        <v>3.3925213751017417E-3</v>
      </c>
      <c r="N1165">
        <v>0.35000620798998111</v>
      </c>
      <c r="O1165">
        <v>0.2428058007946427</v>
      </c>
      <c r="P1165">
        <v>1.3637263028137498E-2</v>
      </c>
      <c r="Q1165">
        <v>1.6433143188033278E-3</v>
      </c>
      <c r="R1165">
        <v>3.3865626360553474E-3</v>
      </c>
      <c r="S1165">
        <v>0.36414052963132387</v>
      </c>
      <c r="T1165">
        <v>0.41262744851818189</v>
      </c>
      <c r="U1165">
        <v>0</v>
      </c>
      <c r="V1165">
        <v>0.2028524703543873</v>
      </c>
      <c r="W1165">
        <v>0.21922135021711003</v>
      </c>
      <c r="X1165">
        <v>5.5996164837478449E-2</v>
      </c>
      <c r="Y1165">
        <v>9.2171071152697143E-3</v>
      </c>
    </row>
    <row r="1166" spans="1:25" x14ac:dyDescent="0.25">
      <c r="A1166" s="1083"/>
      <c r="B1166" s="1455">
        <v>916</v>
      </c>
      <c r="C1166" s="1087">
        <v>1.0089434673980275</v>
      </c>
      <c r="D1166" s="1087">
        <v>0.96270737386553051</v>
      </c>
      <c r="E1166" s="1087">
        <v>1.0195959166685746</v>
      </c>
      <c r="F1166" s="1087">
        <v>0.98540810289552316</v>
      </c>
      <c r="G1166" s="1087">
        <v>0.96612778301557944</v>
      </c>
      <c r="H1166" s="1087">
        <v>0.99253058237405145</v>
      </c>
      <c r="I1166" s="1087">
        <v>1.0187410276485931</v>
      </c>
      <c r="K1166">
        <v>1.8675449403338304</v>
      </c>
      <c r="L1166">
        <v>0</v>
      </c>
      <c r="M1166">
        <v>3.5079842576976636E-3</v>
      </c>
      <c r="N1166">
        <v>0.3535992561655707</v>
      </c>
      <c r="O1166">
        <v>0.23994516977214864</v>
      </c>
      <c r="P1166">
        <v>1.3455827859296757E-2</v>
      </c>
      <c r="Q1166">
        <v>1.6271663918647156E-3</v>
      </c>
      <c r="R1166">
        <v>3.501942314507333E-3</v>
      </c>
      <c r="S1166">
        <v>0.37539177746178781</v>
      </c>
      <c r="T1166">
        <v>0.39693547241025007</v>
      </c>
      <c r="U1166">
        <v>0</v>
      </c>
      <c r="V1166">
        <v>0.19966687025298369</v>
      </c>
      <c r="W1166">
        <v>0.22251368463803917</v>
      </c>
      <c r="X1166">
        <v>5.4884624759962773E-2</v>
      </c>
      <c r="Y1166">
        <v>9.5311325651152422E-3</v>
      </c>
    </row>
    <row r="1167" spans="1:25" x14ac:dyDescent="0.25">
      <c r="A1167" s="1083"/>
      <c r="B1167" s="1455">
        <v>917</v>
      </c>
      <c r="C1167" s="1087">
        <v>1.0364269566397228</v>
      </c>
      <c r="D1167" s="1087">
        <v>0.97795693954005969</v>
      </c>
      <c r="E1167" s="1087">
        <v>1.0208375018141538</v>
      </c>
      <c r="F1167" s="1087">
        <v>1.0232222410717986</v>
      </c>
      <c r="G1167" s="1087">
        <v>0.98240110488685706</v>
      </c>
      <c r="H1167" s="1087">
        <v>1.0389032542418744</v>
      </c>
      <c r="I1167" s="1087">
        <v>0.98003950944353291</v>
      </c>
      <c r="K1167">
        <v>1.8697930674098309</v>
      </c>
      <c r="L1167">
        <v>0</v>
      </c>
      <c r="M1167">
        <v>3.5350896221228566E-3</v>
      </c>
      <c r="N1167">
        <v>0.35770832959171334</v>
      </c>
      <c r="O1167">
        <v>0.2396158709126861</v>
      </c>
      <c r="P1167">
        <v>1.3412225934168765E-2</v>
      </c>
      <c r="Q1167">
        <v>1.5761536067069705E-3</v>
      </c>
      <c r="R1167">
        <v>3.5292596273268279E-3</v>
      </c>
      <c r="S1167">
        <v>0.35655586538962153</v>
      </c>
      <c r="T1167">
        <v>0.41217531653351519</v>
      </c>
      <c r="U1167">
        <v>0</v>
      </c>
      <c r="V1167">
        <v>0.19923693724829666</v>
      </c>
      <c r="W1167">
        <v>0.22492752039137723</v>
      </c>
      <c r="X1167">
        <v>5.4985196511082336E-2</v>
      </c>
      <c r="Y1167">
        <v>9.6054812854601528E-3</v>
      </c>
    </row>
    <row r="1168" spans="1:25" x14ac:dyDescent="0.25">
      <c r="A1168" s="1083"/>
      <c r="B1168" s="1455">
        <v>918</v>
      </c>
      <c r="C1168" s="1087">
        <v>0.99724729553087643</v>
      </c>
      <c r="D1168" s="1087">
        <v>1.0010707956179612</v>
      </c>
      <c r="E1168" s="1087">
        <v>0.98398028533853554</v>
      </c>
      <c r="F1168" s="1087">
        <v>1.0203894365114323</v>
      </c>
      <c r="G1168" s="1087">
        <v>1.0357148211693008</v>
      </c>
      <c r="H1168" s="1087">
        <v>0.97301397134273526</v>
      </c>
      <c r="I1168" s="1087">
        <v>0.99414949704624855</v>
      </c>
      <c r="K1168">
        <v>1.833118540357485</v>
      </c>
      <c r="L1168">
        <v>0</v>
      </c>
      <c r="M1168">
        <v>3.6645770724053183E-3</v>
      </c>
      <c r="N1168">
        <v>0.33133092264904146</v>
      </c>
      <c r="O1168">
        <v>0.24112113128902882</v>
      </c>
      <c r="P1168">
        <v>1.3093345198081649E-2</v>
      </c>
      <c r="Q1168">
        <v>1.5604168265890945E-3</v>
      </c>
      <c r="R1168">
        <v>3.6581041470568074E-3</v>
      </c>
      <c r="S1168">
        <v>0.35876418679350763</v>
      </c>
      <c r="T1168">
        <v>0.41080594710816876</v>
      </c>
      <c r="U1168">
        <v>0</v>
      </c>
      <c r="V1168">
        <v>0.20165109689571073</v>
      </c>
      <c r="W1168">
        <v>0.21318630098016414</v>
      </c>
      <c r="X1168">
        <v>5.1655511947961127E-2</v>
      </c>
      <c r="Y1168">
        <v>9.9561535945806422E-3</v>
      </c>
    </row>
    <row r="1169" spans="1:25" x14ac:dyDescent="0.25">
      <c r="A1169" s="1083"/>
      <c r="B1169" s="1455">
        <v>919</v>
      </c>
      <c r="C1169" s="1087">
        <v>1.0073011918641619</v>
      </c>
      <c r="D1169" s="1087">
        <v>0.98743285572975192</v>
      </c>
      <c r="E1169" s="1087">
        <v>0.98459916592610597</v>
      </c>
      <c r="F1169" s="1087">
        <v>1.0103136437685656</v>
      </c>
      <c r="G1169" s="1087">
        <v>0.99881122381335552</v>
      </c>
      <c r="H1169" s="1087">
        <v>1.0015139411772473</v>
      </c>
      <c r="I1169" s="1087">
        <v>1.0019045769424555</v>
      </c>
      <c r="K1169">
        <v>1.8490474978604212</v>
      </c>
      <c r="L1169">
        <v>0</v>
      </c>
      <c r="M1169">
        <v>3.7573419472980334E-3</v>
      </c>
      <c r="N1169">
        <v>0.34037943043757263</v>
      </c>
      <c r="O1169">
        <v>0.24011075319883862</v>
      </c>
      <c r="P1169">
        <v>1.3124484880877257E-2</v>
      </c>
      <c r="Q1169">
        <v>1.5543748959353666E-3</v>
      </c>
      <c r="R1169">
        <v>3.7509065023493904E-3</v>
      </c>
      <c r="S1169">
        <v>0.36586986774513847</v>
      </c>
      <c r="T1169">
        <v>0.40675320685213129</v>
      </c>
      <c r="U1169">
        <v>0</v>
      </c>
      <c r="V1169">
        <v>0.20045135452837606</v>
      </c>
      <c r="W1169">
        <v>0.21892264867723399</v>
      </c>
      <c r="X1169">
        <v>5.1679081075867342E-2</v>
      </c>
      <c r="Y1169">
        <v>1.0208731013398852E-2</v>
      </c>
    </row>
    <row r="1170" spans="1:25" x14ac:dyDescent="0.25">
      <c r="A1170" s="1083"/>
      <c r="B1170" s="1455">
        <v>920</v>
      </c>
      <c r="C1170" s="1087">
        <v>1.0116579512254387</v>
      </c>
      <c r="D1170" s="1087">
        <v>1.0153265843824293</v>
      </c>
      <c r="E1170" s="1087">
        <v>0.98473045000270709</v>
      </c>
      <c r="F1170" s="1087">
        <v>0.9663429544505715</v>
      </c>
      <c r="G1170" s="1087">
        <v>1.0006935911785984</v>
      </c>
      <c r="H1170" s="1087">
        <v>1.0443967041656945</v>
      </c>
      <c r="I1170" s="1087">
        <v>1.018382243611486</v>
      </c>
      <c r="K1170">
        <v>1.8351311185628691</v>
      </c>
      <c r="L1170">
        <v>0</v>
      </c>
      <c r="M1170">
        <v>3.8418928995745507E-3</v>
      </c>
      <c r="N1170">
        <v>0.34820082700746141</v>
      </c>
      <c r="O1170">
        <v>0.23168301689295787</v>
      </c>
      <c r="P1170">
        <v>1.2897915117344567E-2</v>
      </c>
      <c r="Q1170">
        <v>1.5307468978687051E-3</v>
      </c>
      <c r="R1170">
        <v>3.8355578705453752E-3</v>
      </c>
      <c r="S1170">
        <v>0.37237604726661705</v>
      </c>
      <c r="T1170">
        <v>0.3890513269293418</v>
      </c>
      <c r="U1170">
        <v>0</v>
      </c>
      <c r="V1170">
        <v>0.19475121198466347</v>
      </c>
      <c r="W1170">
        <v>0.22393457146821577</v>
      </c>
      <c r="X1170">
        <v>5.0272665895115434E-2</v>
      </c>
      <c r="Y1170">
        <v>1.0439124132312299E-2</v>
      </c>
    </row>
    <row r="1171" spans="1:25" x14ac:dyDescent="0.25">
      <c r="A1171" s="1083"/>
      <c r="B1171" s="1455">
        <v>921</v>
      </c>
      <c r="C1171" s="1087">
        <v>1.0126992134990402</v>
      </c>
      <c r="D1171" s="1087">
        <v>1.0008084848527636</v>
      </c>
      <c r="E1171" s="1087">
        <v>1.0178228522787478</v>
      </c>
      <c r="F1171" s="1087">
        <v>0.99584841917354783</v>
      </c>
      <c r="G1171" s="1087">
        <v>0.99025452914590129</v>
      </c>
      <c r="H1171" s="1087">
        <v>1.0069484943805325</v>
      </c>
      <c r="I1171" s="1087">
        <v>0.98143113556862027</v>
      </c>
      <c r="K1171">
        <v>1.8391098885625969</v>
      </c>
      <c r="L1171">
        <v>0</v>
      </c>
      <c r="M1171">
        <v>3.485117643838998E-3</v>
      </c>
      <c r="N1171">
        <v>0.34940668748491349</v>
      </c>
      <c r="O1171">
        <v>0.23690915931291823</v>
      </c>
      <c r="P1171">
        <v>1.3195196278692537E-2</v>
      </c>
      <c r="Q1171">
        <v>1.5931732420388339E-3</v>
      </c>
      <c r="R1171">
        <v>3.4791692458870749E-3</v>
      </c>
      <c r="S1171">
        <v>0.35515369538835756</v>
      </c>
      <c r="T1171">
        <v>0.40113013103313089</v>
      </c>
      <c r="U1171">
        <v>0</v>
      </c>
      <c r="V1171">
        <v>0.19812580266062832</v>
      </c>
      <c r="W1171">
        <v>0.22011569993984226</v>
      </c>
      <c r="X1171">
        <v>5.4017139840556588E-2</v>
      </c>
      <c r="Y1171">
        <v>9.4691517794709516E-3</v>
      </c>
    </row>
    <row r="1172" spans="1:25" x14ac:dyDescent="0.25">
      <c r="A1172" s="1083"/>
      <c r="B1172" s="1455">
        <v>922</v>
      </c>
      <c r="C1172" s="1087">
        <v>0.99731098812151475</v>
      </c>
      <c r="D1172" s="1087">
        <v>0.98864961997539524</v>
      </c>
      <c r="E1172" s="1087">
        <v>0.99240437687541838</v>
      </c>
      <c r="F1172" s="1087">
        <v>1.015918544535799</v>
      </c>
      <c r="G1172" s="1087">
        <v>0.96955281828961082</v>
      </c>
      <c r="H1172" s="1087">
        <v>1.0356315443396524</v>
      </c>
      <c r="I1172" s="1087">
        <v>1.017168489809968</v>
      </c>
      <c r="K1172">
        <v>1.9002806333741595</v>
      </c>
      <c r="L1172">
        <v>0</v>
      </c>
      <c r="M1172">
        <v>3.8597496158516392E-3</v>
      </c>
      <c r="N1172">
        <v>0.35811239460824146</v>
      </c>
      <c r="O1172">
        <v>0.24198038220814241</v>
      </c>
      <c r="P1172">
        <v>1.3464122646760831E-2</v>
      </c>
      <c r="Q1172">
        <v>1.5823560189502917E-3</v>
      </c>
      <c r="R1172">
        <v>3.8533556236967702E-3</v>
      </c>
      <c r="S1172">
        <v>0.38135496325022772</v>
      </c>
      <c r="T1172">
        <v>0.40905739540262875</v>
      </c>
      <c r="U1172">
        <v>0</v>
      </c>
      <c r="V1172">
        <v>0.20199052027010841</v>
      </c>
      <c r="W1172">
        <v>0.22919773085640019</v>
      </c>
      <c r="X1172">
        <v>5.3059598355488874E-2</v>
      </c>
      <c r="Y1172">
        <v>1.0487563749362645E-2</v>
      </c>
    </row>
    <row r="1173" spans="1:25" x14ac:dyDescent="0.25">
      <c r="A1173" s="1083"/>
      <c r="B1173" s="1455">
        <v>923</v>
      </c>
      <c r="C1173" s="1087">
        <v>1.0007394395265581</v>
      </c>
      <c r="D1173" s="1087">
        <v>1.0144982503316906</v>
      </c>
      <c r="E1173" s="1087">
        <v>1.0014008056610459</v>
      </c>
      <c r="F1173" s="1087">
        <v>0.98051025037511341</v>
      </c>
      <c r="G1173" s="1087">
        <v>0.99324236559902113</v>
      </c>
      <c r="H1173" s="1087">
        <v>0.99792052935858777</v>
      </c>
      <c r="I1173" s="1087">
        <v>0.99474528268547169</v>
      </c>
      <c r="K1173">
        <v>1.8232308318148076</v>
      </c>
      <c r="L1173">
        <v>0</v>
      </c>
      <c r="M1173">
        <v>3.5884038453822867E-3</v>
      </c>
      <c r="N1173">
        <v>0.34218228761687031</v>
      </c>
      <c r="O1173">
        <v>0.23495560586907907</v>
      </c>
      <c r="P1173">
        <v>1.3001235851519561E-2</v>
      </c>
      <c r="Q1173">
        <v>1.5757968338200776E-3</v>
      </c>
      <c r="R1173">
        <v>3.5822121453366173E-3</v>
      </c>
      <c r="S1173">
        <v>0.35975042706580801</v>
      </c>
      <c r="T1173">
        <v>0.39485365308197767</v>
      </c>
      <c r="U1173">
        <v>0</v>
      </c>
      <c r="V1173">
        <v>0.19725838077540828</v>
      </c>
      <c r="W1173">
        <v>0.21777174947973574</v>
      </c>
      <c r="X1173">
        <v>5.213828635694398E-2</v>
      </c>
      <c r="Y1173">
        <v>9.7496005836899303E-3</v>
      </c>
    </row>
    <row r="1174" spans="1:25" x14ac:dyDescent="0.25">
      <c r="A1174" s="1083"/>
      <c r="B1174" s="1455">
        <v>924</v>
      </c>
      <c r="C1174" s="1087">
        <v>1.0128767897570123</v>
      </c>
      <c r="D1174" s="1087">
        <v>1.0088587142285201</v>
      </c>
      <c r="E1174" s="1087">
        <v>1.0090361323106483</v>
      </c>
      <c r="F1174" s="1087">
        <v>0.992398932273451</v>
      </c>
      <c r="G1174" s="1087">
        <v>0.99700370728402909</v>
      </c>
      <c r="H1174" s="1087">
        <v>1.0130567450439378</v>
      </c>
      <c r="I1174" s="1087">
        <v>0.99041625076363138</v>
      </c>
      <c r="K1174">
        <v>1.8342535850280248</v>
      </c>
      <c r="L1174">
        <v>0</v>
      </c>
      <c r="M1174">
        <v>3.5538943411549603E-3</v>
      </c>
      <c r="N1174">
        <v>0.34688697011528363</v>
      </c>
      <c r="O1174">
        <v>0.23556480328371598</v>
      </c>
      <c r="P1174">
        <v>1.311486117105844E-2</v>
      </c>
      <c r="Q1174">
        <v>1.573102136484704E-3</v>
      </c>
      <c r="R1174">
        <v>3.5478582719642411E-3</v>
      </c>
      <c r="S1174">
        <v>0.35773522579572209</v>
      </c>
      <c r="T1174">
        <v>0.39968733350655272</v>
      </c>
      <c r="U1174">
        <v>0</v>
      </c>
      <c r="V1174">
        <v>0.19733535698297924</v>
      </c>
      <c r="W1174">
        <v>0.21971930208544585</v>
      </c>
      <c r="X1174">
        <v>5.298656535485094E-2</v>
      </c>
      <c r="Y1174">
        <v>9.6561006651216374E-3</v>
      </c>
    </row>
    <row r="1175" spans="1:25" x14ac:dyDescent="0.25">
      <c r="A1175" s="1083"/>
      <c r="B1175" s="1455">
        <v>925</v>
      </c>
      <c r="C1175" s="1087">
        <v>0.9711840959257404</v>
      </c>
      <c r="D1175" s="1087">
        <v>0.98060313006572519</v>
      </c>
      <c r="E1175" s="1087">
        <v>1.000116619992389</v>
      </c>
      <c r="F1175" s="1087">
        <v>0.98198749460144619</v>
      </c>
      <c r="G1175" s="1087">
        <v>1.0100101225934031</v>
      </c>
      <c r="H1175" s="1087">
        <v>0.97230938930646249</v>
      </c>
      <c r="I1175" s="1087">
        <v>0.99901939092124481</v>
      </c>
      <c r="K1175">
        <v>1.8645452926997879</v>
      </c>
      <c r="L1175">
        <v>0</v>
      </c>
      <c r="M1175">
        <v>3.6780785566957737E-3</v>
      </c>
      <c r="N1175">
        <v>0.34934859985553762</v>
      </c>
      <c r="O1175">
        <v>0.24200762756409858</v>
      </c>
      <c r="P1175">
        <v>1.3267385103526898E-2</v>
      </c>
      <c r="Q1175">
        <v>1.6437237641205313E-3</v>
      </c>
      <c r="R1175">
        <v>3.6715941008932276E-3</v>
      </c>
      <c r="S1175">
        <v>0.37446775863213239</v>
      </c>
      <c r="T1175">
        <v>0.39544089754399259</v>
      </c>
      <c r="U1175">
        <v>0</v>
      </c>
      <c r="V1175">
        <v>0.20236722751873026</v>
      </c>
      <c r="W1175">
        <v>0.22251090269677107</v>
      </c>
      <c r="X1175">
        <v>5.3504785674719439E-2</v>
      </c>
      <c r="Y1175">
        <v>9.992868801961291E-3</v>
      </c>
    </row>
    <row r="1176" spans="1:25" x14ac:dyDescent="0.25">
      <c r="A1176" s="1083"/>
      <c r="B1176" s="1455">
        <v>926</v>
      </c>
      <c r="C1176" s="1087">
        <v>1.0160638587054533</v>
      </c>
      <c r="D1176" s="1087">
        <v>0.98746842029925586</v>
      </c>
      <c r="E1176" s="1087">
        <v>0.9647763614669348</v>
      </c>
      <c r="F1176" s="1087">
        <v>0.9699078069177417</v>
      </c>
      <c r="G1176" s="1087">
        <v>1.015275544859829</v>
      </c>
      <c r="H1176" s="1087">
        <v>1.0302198885157523</v>
      </c>
      <c r="I1176" s="1087">
        <v>0.99983900668173742</v>
      </c>
      <c r="K1176">
        <v>1.8226811947728632</v>
      </c>
      <c r="L1176">
        <v>0</v>
      </c>
      <c r="M1176">
        <v>3.9891518354052231E-3</v>
      </c>
      <c r="N1176">
        <v>0.34014445863189763</v>
      </c>
      <c r="O1176">
        <v>0.23398625169837189</v>
      </c>
      <c r="P1176">
        <v>1.2662968991609886E-2</v>
      </c>
      <c r="Q1176">
        <v>1.5083186084024847E-3</v>
      </c>
      <c r="R1176">
        <v>3.9825090600685252E-3</v>
      </c>
      <c r="S1176">
        <v>0.36687073718486057</v>
      </c>
      <c r="T1176">
        <v>0.39037141435911571</v>
      </c>
      <c r="U1176">
        <v>0</v>
      </c>
      <c r="V1176">
        <v>0.19591579270443077</v>
      </c>
      <c r="W1176">
        <v>0.22155095147707188</v>
      </c>
      <c r="X1176">
        <v>4.883786706468804E-2</v>
      </c>
      <c r="Y1176">
        <v>1.0839076827747705E-2</v>
      </c>
    </row>
    <row r="1177" spans="1:25" x14ac:dyDescent="0.25">
      <c r="A1177" s="1083"/>
      <c r="B1177" s="1455">
        <v>927</v>
      </c>
      <c r="C1177" s="1087">
        <v>1.0185543639466497</v>
      </c>
      <c r="D1177" s="1087">
        <v>0.97462488980456852</v>
      </c>
      <c r="E1177" s="1087">
        <v>1.0112059757164191</v>
      </c>
      <c r="F1177" s="1087">
        <v>0.98509969624965765</v>
      </c>
      <c r="G1177" s="1087">
        <v>1.0158386985222168</v>
      </c>
      <c r="H1177" s="1087">
        <v>0.98476780548068665</v>
      </c>
      <c r="I1177" s="1087">
        <v>1.022076596980267</v>
      </c>
      <c r="K1177">
        <v>1.8378475235281733</v>
      </c>
      <c r="L1177">
        <v>0</v>
      </c>
      <c r="M1177">
        <v>3.4845283278799421E-3</v>
      </c>
      <c r="N1177">
        <v>0.34236042742779199</v>
      </c>
      <c r="O1177">
        <v>0.23745424477361593</v>
      </c>
      <c r="P1177">
        <v>1.3259042449589234E-2</v>
      </c>
      <c r="Q1177">
        <v>1.5897373605102826E-3</v>
      </c>
      <c r="R1177">
        <v>3.4784694373367134E-3</v>
      </c>
      <c r="S1177">
        <v>0.36900559751465567</v>
      </c>
      <c r="T1177">
        <v>0.39676062022763925</v>
      </c>
      <c r="U1177">
        <v>0</v>
      </c>
      <c r="V1177">
        <v>0.19794045608895164</v>
      </c>
      <c r="W1177">
        <v>0.21656059788561693</v>
      </c>
      <c r="X1177">
        <v>5.3455611559057259E-2</v>
      </c>
      <c r="Y1177">
        <v>9.467247131288695E-3</v>
      </c>
    </row>
    <row r="1178" spans="1:25" x14ac:dyDescent="0.25">
      <c r="A1178" s="1083"/>
      <c r="B1178" s="1455">
        <v>928</v>
      </c>
      <c r="C1178" s="1087">
        <v>0.98453591341273583</v>
      </c>
      <c r="D1178" s="1087">
        <v>1.0031802261502776</v>
      </c>
      <c r="E1178" s="1087">
        <v>1.0096330942379463</v>
      </c>
      <c r="F1178" s="1087">
        <v>1.0000202037783048</v>
      </c>
      <c r="G1178" s="1087">
        <v>0.99566952463602332</v>
      </c>
      <c r="H1178" s="1087">
        <v>1.0075925326705739</v>
      </c>
      <c r="I1178" s="1087">
        <v>1.0126004706263887</v>
      </c>
      <c r="K1178">
        <v>1.882064925903562</v>
      </c>
      <c r="L1178">
        <v>0</v>
      </c>
      <c r="M1178">
        <v>3.6434035215819728E-3</v>
      </c>
      <c r="N1178">
        <v>0.35626898924066625</v>
      </c>
      <c r="O1178">
        <v>0.24045832348312948</v>
      </c>
      <c r="P1178">
        <v>1.3475146947365546E-2</v>
      </c>
      <c r="Q1178">
        <v>1.6230707909403888E-3</v>
      </c>
      <c r="R1178">
        <v>3.6371872678948466E-3</v>
      </c>
      <c r="S1178">
        <v>0.37645670164633122</v>
      </c>
      <c r="T1178">
        <v>0.40276043138555723</v>
      </c>
      <c r="U1178">
        <v>0</v>
      </c>
      <c r="V1178">
        <v>0.20133482168242992</v>
      </c>
      <c r="W1178">
        <v>0.22557833556815701</v>
      </c>
      <c r="X1178">
        <v>5.421609666791944E-2</v>
      </c>
      <c r="Y1178">
        <v>9.8992247447491494E-3</v>
      </c>
    </row>
    <row r="1179" spans="1:25" x14ac:dyDescent="0.25">
      <c r="A1179" s="1083"/>
      <c r="B1179" s="1455">
        <v>929</v>
      </c>
      <c r="C1179" s="1087">
        <v>1.0085741974915348</v>
      </c>
      <c r="D1179" s="1087">
        <v>1.0301882623175331</v>
      </c>
      <c r="E1179" s="1087">
        <v>1.0240174321740034</v>
      </c>
      <c r="F1179" s="1087">
        <v>0.97865806564967994</v>
      </c>
      <c r="G1179" s="1087">
        <v>0.97037959379301153</v>
      </c>
      <c r="H1179" s="1087">
        <v>0.99141169999349821</v>
      </c>
      <c r="I1179" s="1087">
        <v>1.022539964402341</v>
      </c>
      <c r="K1179">
        <v>1.8198080345918155</v>
      </c>
      <c r="L1179">
        <v>0</v>
      </c>
      <c r="M1179">
        <v>3.3490974695563271E-3</v>
      </c>
      <c r="N1179">
        <v>0.34215605096178658</v>
      </c>
      <c r="O1179">
        <v>0.2326306869079319</v>
      </c>
      <c r="P1179">
        <v>1.3232247563418753E-2</v>
      </c>
      <c r="Q1179">
        <v>1.5916417332840485E-3</v>
      </c>
      <c r="R1179">
        <v>3.3432680468954128E-3</v>
      </c>
      <c r="S1179">
        <v>0.36290841945596736</v>
      </c>
      <c r="T1179">
        <v>0.3942430879657397</v>
      </c>
      <c r="U1179">
        <v>0</v>
      </c>
      <c r="V1179">
        <v>0.19560833736435923</v>
      </c>
      <c r="W1179">
        <v>0.21472829090810017</v>
      </c>
      <c r="X1179">
        <v>5.3615827638254149E-2</v>
      </c>
      <c r="Y1179">
        <v>9.0992735156338513E-3</v>
      </c>
    </row>
    <row r="1180" spans="1:25" x14ac:dyDescent="0.25">
      <c r="A1180" s="1083"/>
      <c r="B1180" s="1455">
        <v>930</v>
      </c>
      <c r="C1180" s="1087">
        <v>1.0088431016891115</v>
      </c>
      <c r="D1180" s="1087">
        <v>1.0066529071762691</v>
      </c>
      <c r="E1180" s="1087">
        <v>0.99011322712556848</v>
      </c>
      <c r="F1180" s="1087">
        <v>0.96223123474761119</v>
      </c>
      <c r="G1180" s="1087">
        <v>0.99209209999483439</v>
      </c>
      <c r="H1180" s="1087">
        <v>1.0023963635773032</v>
      </c>
      <c r="I1180" s="1087">
        <v>1.0450070910116598</v>
      </c>
      <c r="K1180">
        <v>1.822891256707573</v>
      </c>
      <c r="L1180">
        <v>0</v>
      </c>
      <c r="M1180">
        <v>3.674122827610718E-3</v>
      </c>
      <c r="N1180">
        <v>0.33849289515477438</v>
      </c>
      <c r="O1180">
        <v>0.2324175451287657</v>
      </c>
      <c r="P1180">
        <v>1.2999171935644975E-2</v>
      </c>
      <c r="Q1180">
        <v>1.5492130531306971E-3</v>
      </c>
      <c r="R1180">
        <v>3.6678179492908676E-3</v>
      </c>
      <c r="S1180">
        <v>0.37719575899143704</v>
      </c>
      <c r="T1180">
        <v>0.38742704204306433</v>
      </c>
      <c r="U1180">
        <v>0</v>
      </c>
      <c r="V1180">
        <v>0.19515861823407388</v>
      </c>
      <c r="W1180">
        <v>0.21695334158145851</v>
      </c>
      <c r="X1180">
        <v>5.0721384101435653E-2</v>
      </c>
      <c r="Y1180">
        <v>9.9825913621077074E-3</v>
      </c>
    </row>
    <row r="1181" spans="1:25" x14ac:dyDescent="0.25">
      <c r="A1181" s="1083"/>
      <c r="B1181" s="1455">
        <v>931</v>
      </c>
      <c r="C1181" s="1087">
        <v>1.0169636917526403</v>
      </c>
      <c r="D1181" s="1087">
        <v>0.98049912932503602</v>
      </c>
      <c r="E1181" s="1087">
        <v>0.99318472702544447</v>
      </c>
      <c r="F1181" s="1087">
        <v>0.96321568673377911</v>
      </c>
      <c r="G1181" s="1087">
        <v>0.99259852495091361</v>
      </c>
      <c r="H1181" s="1087">
        <v>1.0181350419262125</v>
      </c>
      <c r="I1181" s="1087">
        <v>1.0171852369349799</v>
      </c>
      <c r="K1181">
        <v>1.8352973089230638</v>
      </c>
      <c r="L1181">
        <v>0</v>
      </c>
      <c r="M1181">
        <v>3.7312201549064119E-3</v>
      </c>
      <c r="N1181">
        <v>0.34700376623233858</v>
      </c>
      <c r="O1181">
        <v>0.23415142347427065</v>
      </c>
      <c r="P1181">
        <v>1.297903826611433E-2</v>
      </c>
      <c r="Q1181">
        <v>1.5582240774404878E-3</v>
      </c>
      <c r="R1181">
        <v>3.7249389511412822E-3</v>
      </c>
      <c r="S1181">
        <v>0.37247767038736684</v>
      </c>
      <c r="T1181">
        <v>0.38784123509241247</v>
      </c>
      <c r="U1181">
        <v>0</v>
      </c>
      <c r="V1181">
        <v>0.19576828354729972</v>
      </c>
      <c r="W1181">
        <v>0.2219791807524259</v>
      </c>
      <c r="X1181">
        <v>5.1406712397950763E-2</v>
      </c>
      <c r="Y1181">
        <v>1.0138055899211339E-2</v>
      </c>
    </row>
    <row r="1182" spans="1:25" x14ac:dyDescent="0.25">
      <c r="A1182" s="1083"/>
      <c r="B1182" s="1455">
        <v>932</v>
      </c>
      <c r="C1182" s="1087">
        <v>1.0166108672129923</v>
      </c>
      <c r="D1182" s="1087">
        <v>0.97103093720397204</v>
      </c>
      <c r="E1182" s="1087">
        <v>1.0380831674995423</v>
      </c>
      <c r="F1182" s="1087">
        <v>1.0094252489753748</v>
      </c>
      <c r="G1182" s="1087">
        <v>0.99743572828248683</v>
      </c>
      <c r="H1182" s="1087">
        <v>1.0125771788659081</v>
      </c>
      <c r="I1182" s="1087">
        <v>0.98064690008167721</v>
      </c>
      <c r="K1182">
        <v>1.8796481470242965</v>
      </c>
      <c r="L1182">
        <v>0</v>
      </c>
      <c r="M1182">
        <v>3.404040179081629E-3</v>
      </c>
      <c r="N1182">
        <v>0.3630051185102674</v>
      </c>
      <c r="O1182">
        <v>0.24134391306124839</v>
      </c>
      <c r="P1182">
        <v>1.3582466906395502E-2</v>
      </c>
      <c r="Q1182">
        <v>1.6408840555919182E-3</v>
      </c>
      <c r="R1182">
        <v>3.3982871446093239E-3</v>
      </c>
      <c r="S1182">
        <v>0.36071555401537603</v>
      </c>
      <c r="T1182">
        <v>0.40672524871393267</v>
      </c>
      <c r="U1182">
        <v>0</v>
      </c>
      <c r="V1182">
        <v>0.20061195646108299</v>
      </c>
      <c r="W1182">
        <v>0.22586488896531839</v>
      </c>
      <c r="X1182">
        <v>5.6914852006981743E-2</v>
      </c>
      <c r="Y1182">
        <v>9.249017362570432E-3</v>
      </c>
    </row>
    <row r="1183" spans="1:25" x14ac:dyDescent="0.25">
      <c r="A1183" s="1083"/>
      <c r="B1183" s="1455">
        <v>933</v>
      </c>
      <c r="C1183" s="1087">
        <v>0.99188013365026273</v>
      </c>
      <c r="D1183" s="1087">
        <v>0.96326497073323869</v>
      </c>
      <c r="E1183" s="1087">
        <v>0.98769435563197461</v>
      </c>
      <c r="F1183" s="1087">
        <v>1.0218588925651431</v>
      </c>
      <c r="G1183" s="1087">
        <v>0.99420260264613614</v>
      </c>
      <c r="H1183" s="1087">
        <v>0.99115634527438745</v>
      </c>
      <c r="I1183" s="1087">
        <v>1.0224759155083443</v>
      </c>
      <c r="K1183">
        <v>1.8940119556112887</v>
      </c>
      <c r="L1183">
        <v>0</v>
      </c>
      <c r="M1183">
        <v>3.8032640344818347E-3</v>
      </c>
      <c r="N1183">
        <v>0.34780853223892283</v>
      </c>
      <c r="O1183">
        <v>0.24591289532487348</v>
      </c>
      <c r="P1183">
        <v>1.3497694555280607E-2</v>
      </c>
      <c r="Q1183">
        <v>1.5995703256858635E-3</v>
      </c>
      <c r="R1183">
        <v>3.7967050014321153E-3</v>
      </c>
      <c r="S1183">
        <v>0.38251227994099302</v>
      </c>
      <c r="T1183">
        <v>0.41142030857280454</v>
      </c>
      <c r="U1183">
        <v>0</v>
      </c>
      <c r="V1183">
        <v>0.2044755345397431</v>
      </c>
      <c r="W1183">
        <v>0.22326410438962269</v>
      </c>
      <c r="X1183">
        <v>5.3194215325982286E-2</v>
      </c>
      <c r="Y1183">
        <v>1.0333379430430866E-2</v>
      </c>
    </row>
    <row r="1184" spans="1:25" x14ac:dyDescent="0.25">
      <c r="A1184" s="1083"/>
      <c r="B1184" s="1455">
        <v>934</v>
      </c>
      <c r="C1184" s="1087">
        <v>1.0240275665725693</v>
      </c>
      <c r="D1184" s="1087">
        <v>0.98961067775603195</v>
      </c>
      <c r="E1184" s="1087">
        <v>1.0026140917937656</v>
      </c>
      <c r="F1184" s="1087">
        <v>0.97910501290599394</v>
      </c>
      <c r="G1184" s="1087">
        <v>1.0108530528155417</v>
      </c>
      <c r="H1184" s="1087">
        <v>1.0414978356306195</v>
      </c>
      <c r="I1184" s="1087">
        <v>1.007997950351321</v>
      </c>
      <c r="K1184">
        <v>1.850326070443987</v>
      </c>
      <c r="L1184">
        <v>0</v>
      </c>
      <c r="M1184">
        <v>3.6999925058711393E-3</v>
      </c>
      <c r="N1184">
        <v>0.35415934173984231</v>
      </c>
      <c r="O1184">
        <v>0.23449313965772087</v>
      </c>
      <c r="P1184">
        <v>1.3114928738874702E-2</v>
      </c>
      <c r="Q1184">
        <v>1.5573465250796332E-3</v>
      </c>
      <c r="R1184">
        <v>3.6938963527090099E-3</v>
      </c>
      <c r="S1184">
        <v>0.3690147116103521</v>
      </c>
      <c r="T1184">
        <v>0.39429496899775252</v>
      </c>
      <c r="U1184">
        <v>0</v>
      </c>
      <c r="V1184">
        <v>0.19600924296966821</v>
      </c>
      <c r="W1184">
        <v>0.22522364325860389</v>
      </c>
      <c r="X1184">
        <v>5.2411274919785186E-2</v>
      </c>
      <c r="Y1184">
        <v>1.0053568179468519E-2</v>
      </c>
    </row>
    <row r="1185" spans="1:25" x14ac:dyDescent="0.25">
      <c r="A1185" s="1083"/>
      <c r="B1185" s="1455">
        <v>935</v>
      </c>
      <c r="C1185" s="1087">
        <v>0.98052848929352432</v>
      </c>
      <c r="D1185" s="1087">
        <v>1.0000913667166904</v>
      </c>
      <c r="E1185" s="1087">
        <v>1.0182144999747906</v>
      </c>
      <c r="F1185" s="1087">
        <v>1.0067092969001556</v>
      </c>
      <c r="G1185" s="1087">
        <v>1.0179121547319108</v>
      </c>
      <c r="H1185" s="1087">
        <v>0.96828083849378987</v>
      </c>
      <c r="I1185" s="1087">
        <v>0.9783649645756749</v>
      </c>
      <c r="K1185">
        <v>1.8545201792362043</v>
      </c>
      <c r="L1185">
        <v>0</v>
      </c>
      <c r="M1185">
        <v>3.4600637304982953E-3</v>
      </c>
      <c r="N1185">
        <v>0.34728556624413554</v>
      </c>
      <c r="O1185">
        <v>0.24218600450714498</v>
      </c>
      <c r="P1185">
        <v>1.3371764179628976E-2</v>
      </c>
      <c r="Q1185">
        <v>1.6465971061561096E-3</v>
      </c>
      <c r="R1185">
        <v>3.4539233413614216E-3</v>
      </c>
      <c r="S1185">
        <v>0.35882104650822821</v>
      </c>
      <c r="T1185">
        <v>0.40550733788594862</v>
      </c>
      <c r="U1185">
        <v>0</v>
      </c>
      <c r="V1185">
        <v>0.2025743753496396</v>
      </c>
      <c r="W1185">
        <v>0.21872664537401787</v>
      </c>
      <c r="X1185">
        <v>5.5006541720778776E-2</v>
      </c>
      <c r="Y1185">
        <v>9.4004407496623092E-3</v>
      </c>
    </row>
    <row r="1186" spans="1:25" x14ac:dyDescent="0.25">
      <c r="A1186" s="1083"/>
      <c r="B1186" s="1455">
        <v>936</v>
      </c>
      <c r="C1186" s="1087">
        <v>0.9973232524418606</v>
      </c>
      <c r="D1186" s="1087">
        <v>0.98682956637576236</v>
      </c>
      <c r="E1186" s="1087">
        <v>0.98865676705630479</v>
      </c>
      <c r="F1186" s="1087">
        <v>1.0094970132452425</v>
      </c>
      <c r="G1186" s="1087">
        <v>1.0233130331902673</v>
      </c>
      <c r="H1186" s="1087">
        <v>1.0059730578697059</v>
      </c>
      <c r="I1186" s="1087">
        <v>1.0443604361911423</v>
      </c>
      <c r="K1186">
        <v>1.8826571851220131</v>
      </c>
      <c r="L1186">
        <v>0</v>
      </c>
      <c r="M1186">
        <v>3.7817254734182526E-3</v>
      </c>
      <c r="N1186">
        <v>0.34686373406743021</v>
      </c>
      <c r="O1186">
        <v>0.24134529728920914</v>
      </c>
      <c r="P1186">
        <v>1.3450334858172498E-2</v>
      </c>
      <c r="Q1186">
        <v>1.5771614225154882E-3</v>
      </c>
      <c r="R1186">
        <v>3.7752776796947242E-3</v>
      </c>
      <c r="S1186">
        <v>0.38622603209658785</v>
      </c>
      <c r="T1186">
        <v>0.40644901194737615</v>
      </c>
      <c r="U1186">
        <v>0</v>
      </c>
      <c r="V1186">
        <v>0.20150798758894806</v>
      </c>
      <c r="W1186">
        <v>0.22252257363691155</v>
      </c>
      <c r="X1186">
        <v>5.2446438684406849E-2</v>
      </c>
      <c r="Y1186">
        <v>1.02750613241764E-2</v>
      </c>
    </row>
    <row r="1187" spans="1:25" x14ac:dyDescent="0.25">
      <c r="A1187" s="1083"/>
      <c r="B1187" s="1455">
        <v>937</v>
      </c>
      <c r="C1187" s="1087">
        <v>0.97851636594771629</v>
      </c>
      <c r="D1187" s="1087">
        <v>0.98758350068633438</v>
      </c>
      <c r="E1187" s="1087">
        <v>1.0115406299497904</v>
      </c>
      <c r="F1187" s="1087">
        <v>1.0113381578218759</v>
      </c>
      <c r="G1187" s="1087">
        <v>0.98502478000256799</v>
      </c>
      <c r="H1187" s="1087">
        <v>0.99094026946512481</v>
      </c>
      <c r="I1187" s="1087">
        <v>1.0197628209319993</v>
      </c>
      <c r="K1187">
        <v>1.8986567177716895</v>
      </c>
      <c r="L1187">
        <v>0</v>
      </c>
      <c r="M1187">
        <v>3.6216952087572704E-3</v>
      </c>
      <c r="N1187">
        <v>0.35620334899187983</v>
      </c>
      <c r="O1187">
        <v>0.2441550297409576</v>
      </c>
      <c r="P1187">
        <v>1.3662624110254477E-2</v>
      </c>
      <c r="Q1187">
        <v>1.6466486123892388E-3</v>
      </c>
      <c r="R1187">
        <v>3.6154259401871879E-3</v>
      </c>
      <c r="S1187">
        <v>0.38162934771191509</v>
      </c>
      <c r="T1187">
        <v>0.40733053991773743</v>
      </c>
      <c r="U1187">
        <v>0</v>
      </c>
      <c r="V1187">
        <v>0.20383477277110895</v>
      </c>
      <c r="W1187">
        <v>0.22527025050262767</v>
      </c>
      <c r="X1187">
        <v>5.5090427097039721E-2</v>
      </c>
      <c r="Y1187">
        <v>9.8399975843486524E-3</v>
      </c>
    </row>
    <row r="1188" spans="1:25" x14ac:dyDescent="0.25">
      <c r="A1188" s="1083"/>
      <c r="B1188" s="1455">
        <v>938</v>
      </c>
      <c r="C1188" s="1087">
        <v>0.97454814566444981</v>
      </c>
      <c r="D1188" s="1087">
        <v>1.0029357691054603</v>
      </c>
      <c r="E1188" s="1087">
        <v>1.0139748119057579</v>
      </c>
      <c r="F1188" s="1087">
        <v>1.0292015297189629</v>
      </c>
      <c r="G1188" s="1087">
        <v>0.99951629719753765</v>
      </c>
      <c r="H1188" s="1087">
        <v>0.96215997441126222</v>
      </c>
      <c r="I1188" s="1087">
        <v>1.0094074515630673</v>
      </c>
      <c r="K1188">
        <v>1.8787329610522905</v>
      </c>
      <c r="L1188">
        <v>0</v>
      </c>
      <c r="M1188">
        <v>3.484265816083295E-3</v>
      </c>
      <c r="N1188">
        <v>0.34522028946316646</v>
      </c>
      <c r="O1188">
        <v>0.24525533594656207</v>
      </c>
      <c r="P1188">
        <v>1.365202157044669E-2</v>
      </c>
      <c r="Q1188">
        <v>1.6474228767019235E-3</v>
      </c>
      <c r="R1188">
        <v>3.4780408753141701E-3</v>
      </c>
      <c r="S1188">
        <v>0.37070038411007372</v>
      </c>
      <c r="T1188">
        <v>0.41454057842507852</v>
      </c>
      <c r="U1188">
        <v>0</v>
      </c>
      <c r="V1188">
        <v>0.20500710562793034</v>
      </c>
      <c r="W1188">
        <v>0.21799569769713428</v>
      </c>
      <c r="X1188">
        <v>5.5254269549225625E-2</v>
      </c>
      <c r="Y1188">
        <v>9.4660807267387577E-3</v>
      </c>
    </row>
    <row r="1189" spans="1:25" x14ac:dyDescent="0.25">
      <c r="A1189" s="1083"/>
      <c r="B1189" s="1455">
        <v>939</v>
      </c>
      <c r="C1189" s="1087">
        <v>1.0309785892551973</v>
      </c>
      <c r="D1189" s="1087">
        <v>1.0259700616570875</v>
      </c>
      <c r="E1189" s="1087">
        <v>0.97829617419373327</v>
      </c>
      <c r="F1189" s="1087">
        <v>0.96144408954506855</v>
      </c>
      <c r="G1189" s="1087">
        <v>0.98760022917285495</v>
      </c>
      <c r="H1189" s="1087">
        <v>0.98885557823284997</v>
      </c>
      <c r="I1189" s="1087">
        <v>0.96526106758807584</v>
      </c>
      <c r="K1189">
        <v>1.739455638392295</v>
      </c>
      <c r="L1189">
        <v>0</v>
      </c>
      <c r="M1189">
        <v>3.596028944141314E-3</v>
      </c>
      <c r="N1189">
        <v>0.31954144819475322</v>
      </c>
      <c r="O1189">
        <v>0.22781088664775126</v>
      </c>
      <c r="P1189">
        <v>1.2266363247429378E-2</v>
      </c>
      <c r="Q1189">
        <v>1.4854895088822861E-3</v>
      </c>
      <c r="R1189">
        <v>3.5897567379227246E-3</v>
      </c>
      <c r="S1189">
        <v>0.33497444462377701</v>
      </c>
      <c r="T1189">
        <v>0.38704205054523244</v>
      </c>
      <c r="U1189">
        <v>0</v>
      </c>
      <c r="V1189">
        <v>0.19179215769375424</v>
      </c>
      <c r="W1189">
        <v>0.20634266594119127</v>
      </c>
      <c r="X1189">
        <v>4.8436269718105419E-2</v>
      </c>
      <c r="Y1189">
        <v>9.7701344776350355E-3</v>
      </c>
    </row>
    <row r="1190" spans="1:25" x14ac:dyDescent="0.25">
      <c r="A1190" s="1083"/>
      <c r="B1190" s="1455">
        <v>940</v>
      </c>
      <c r="C1190" s="1087">
        <v>0.99130433431653131</v>
      </c>
      <c r="D1190" s="1087">
        <v>1.0213696461198127</v>
      </c>
      <c r="E1190" s="1087">
        <v>0.97451478330026542</v>
      </c>
      <c r="F1190" s="1087">
        <v>1.0338915528800889</v>
      </c>
      <c r="G1190" s="1087">
        <v>0.98946268900378798</v>
      </c>
      <c r="H1190" s="1087">
        <v>1.0038279123466471</v>
      </c>
      <c r="I1190" s="1087">
        <v>0.97831805482560774</v>
      </c>
      <c r="K1190">
        <v>1.8471748703427342</v>
      </c>
      <c r="L1190">
        <v>0</v>
      </c>
      <c r="M1190">
        <v>3.8350520545894409E-3</v>
      </c>
      <c r="N1190">
        <v>0.33687345302528277</v>
      </c>
      <c r="O1190">
        <v>0.24122188730689614</v>
      </c>
      <c r="P1190">
        <v>1.3050709871491701E-2</v>
      </c>
      <c r="Q1190">
        <v>1.5414216501097465E-3</v>
      </c>
      <c r="R1190">
        <v>3.8284665308153374E-3</v>
      </c>
      <c r="S1190">
        <v>0.35656714082366381</v>
      </c>
      <c r="T1190">
        <v>0.41618345075973345</v>
      </c>
      <c r="U1190">
        <v>0</v>
      </c>
      <c r="V1190">
        <v>0.20229420730673323</v>
      </c>
      <c r="W1190">
        <v>0.21805856961923595</v>
      </c>
      <c r="X1190">
        <v>5.0970791660134636E-2</v>
      </c>
      <c r="Y1190">
        <v>1.0419823843226646E-2</v>
      </c>
    </row>
    <row r="1191" spans="1:25" x14ac:dyDescent="0.25">
      <c r="A1191" s="1083"/>
      <c r="B1191" s="1455">
        <v>941</v>
      </c>
      <c r="C1191" s="1087">
        <v>1.0149745448368701</v>
      </c>
      <c r="D1191" s="1087">
        <v>0.98034558315348197</v>
      </c>
      <c r="E1191" s="1087">
        <v>1.0053329753628826</v>
      </c>
      <c r="F1191" s="1087">
        <v>1.0073877839045733</v>
      </c>
      <c r="G1191" s="1087">
        <v>0.98583264985124663</v>
      </c>
      <c r="H1191" s="1087">
        <v>0.9622811654979575</v>
      </c>
      <c r="I1191" s="1087">
        <v>1.0444765082603886</v>
      </c>
      <c r="K1191">
        <v>1.8398868709654739</v>
      </c>
      <c r="L1191">
        <v>0</v>
      </c>
      <c r="M1191">
        <v>3.4475656713849751E-3</v>
      </c>
      <c r="N1191">
        <v>0.33270156370325632</v>
      </c>
      <c r="O1191">
        <v>0.23986359321070186</v>
      </c>
      <c r="P1191">
        <v>1.3404030532874776E-2</v>
      </c>
      <c r="Q1191">
        <v>1.5817268018829373E-3</v>
      </c>
      <c r="R1191">
        <v>3.4414262198081205E-3</v>
      </c>
      <c r="S1191">
        <v>0.37289045321239234</v>
      </c>
      <c r="T1191">
        <v>0.40570135450952921</v>
      </c>
      <c r="U1191">
        <v>0</v>
      </c>
      <c r="V1191">
        <v>0.19989677686294624</v>
      </c>
      <c r="W1191">
        <v>0.21121975396043163</v>
      </c>
      <c r="X1191">
        <v>5.326732991856635E-2</v>
      </c>
      <c r="Y1191">
        <v>9.36642770446924E-3</v>
      </c>
    </row>
    <row r="1192" spans="1:25" x14ac:dyDescent="0.25">
      <c r="A1192" s="1083"/>
      <c r="B1192" s="1455">
        <v>942</v>
      </c>
      <c r="C1192" s="1087">
        <v>0.99904154060265038</v>
      </c>
      <c r="D1192" s="1087">
        <v>0.98388569419378169</v>
      </c>
      <c r="E1192" s="1087">
        <v>1.0316469065324663</v>
      </c>
      <c r="F1192" s="1087">
        <v>1.0029055586232887</v>
      </c>
      <c r="G1192" s="1087">
        <v>0.99342936639002022</v>
      </c>
      <c r="H1192" s="1087">
        <v>1.0226177407463066</v>
      </c>
      <c r="I1192" s="1087">
        <v>0.98313040938404106</v>
      </c>
      <c r="K1192">
        <v>1.8928204280124108</v>
      </c>
      <c r="L1192">
        <v>0</v>
      </c>
      <c r="M1192">
        <v>3.51975565135505E-3</v>
      </c>
      <c r="N1192">
        <v>0.36806787459812729</v>
      </c>
      <c r="O1192">
        <v>0.24127929450011942</v>
      </c>
      <c r="P1192">
        <v>1.3578474954849068E-2</v>
      </c>
      <c r="Q1192">
        <v>1.6498288069187632E-3</v>
      </c>
      <c r="R1192">
        <v>3.5138545667399174E-3</v>
      </c>
      <c r="S1192">
        <v>0.36704714109652264</v>
      </c>
      <c r="T1192">
        <v>0.40405822461803331</v>
      </c>
      <c r="U1192">
        <v>0</v>
      </c>
      <c r="V1192">
        <v>0.20117446744538703</v>
      </c>
      <c r="W1192">
        <v>0.22991398709173869</v>
      </c>
      <c r="X1192">
        <v>5.6493482196509404E-2</v>
      </c>
      <c r="Y1192">
        <v>9.5635537888194375E-3</v>
      </c>
    </row>
    <row r="1193" spans="1:25" x14ac:dyDescent="0.25">
      <c r="A1193" s="1083"/>
      <c r="B1193" s="1455">
        <v>943</v>
      </c>
      <c r="C1193" s="1087">
        <v>1.0027532465269278</v>
      </c>
      <c r="D1193" s="1087">
        <v>0.98366864345431115</v>
      </c>
      <c r="E1193" s="1087">
        <v>1.0206662368789128</v>
      </c>
      <c r="F1193" s="1087">
        <v>1.0009620870647684</v>
      </c>
      <c r="G1193" s="1087">
        <v>0.99656447229137368</v>
      </c>
      <c r="H1193" s="1087">
        <v>0.99525131062155059</v>
      </c>
      <c r="I1193" s="1087">
        <v>0.99330892584443897</v>
      </c>
      <c r="K1193">
        <v>1.8632641206930016</v>
      </c>
      <c r="L1193">
        <v>0</v>
      </c>
      <c r="M1193">
        <v>3.4911206805623919E-3</v>
      </c>
      <c r="N1193">
        <v>0.35304892904217716</v>
      </c>
      <c r="O1193">
        <v>0.24045705746237536</v>
      </c>
      <c r="P1193">
        <v>1.341357752367126E-2</v>
      </c>
      <c r="Q1193">
        <v>1.6249990522032751E-3</v>
      </c>
      <c r="R1193">
        <v>3.4851068140158807E-3</v>
      </c>
      <c r="S1193">
        <v>0.36442648617740508</v>
      </c>
      <c r="T1193">
        <v>0.4032074071305024</v>
      </c>
      <c r="U1193">
        <v>0</v>
      </c>
      <c r="V1193">
        <v>0.20055100023332731</v>
      </c>
      <c r="W1193">
        <v>0.22202107271987195</v>
      </c>
      <c r="X1193">
        <v>5.5034293335415652E-2</v>
      </c>
      <c r="Y1193">
        <v>9.4853118825987525E-3</v>
      </c>
    </row>
    <row r="1194" spans="1:25" x14ac:dyDescent="0.25">
      <c r="A1194" s="1083"/>
      <c r="B1194" s="1455">
        <v>944</v>
      </c>
      <c r="C1194" s="1087">
        <v>1.0280134945903199</v>
      </c>
      <c r="D1194" s="1087">
        <v>1.0266325000734031</v>
      </c>
      <c r="E1194" s="1087">
        <v>1.0050143922055448</v>
      </c>
      <c r="F1194" s="1087">
        <v>0.99724497236625886</v>
      </c>
      <c r="G1194" s="1087">
        <v>0.9766912729822107</v>
      </c>
      <c r="H1194" s="1087">
        <v>0.99948892767599251</v>
      </c>
      <c r="I1194" s="1087">
        <v>0.97725203089449719</v>
      </c>
      <c r="K1194">
        <v>1.7907624421488524</v>
      </c>
      <c r="L1194">
        <v>0</v>
      </c>
      <c r="M1194">
        <v>3.4496667379762822E-3</v>
      </c>
      <c r="N1194">
        <v>0.33259915904159182</v>
      </c>
      <c r="O1194">
        <v>0.23254953931399652</v>
      </c>
      <c r="P1194">
        <v>1.2858595168236861E-2</v>
      </c>
      <c r="Q1194">
        <v>1.5325916153876241E-3</v>
      </c>
      <c r="R1194">
        <v>3.4437121072379354E-3</v>
      </c>
      <c r="S1194">
        <v>0.34205157881768478</v>
      </c>
      <c r="T1194">
        <v>0.40161464747227527</v>
      </c>
      <c r="U1194">
        <v>0</v>
      </c>
      <c r="V1194">
        <v>0.19523067771778854</v>
      </c>
      <c r="W1194">
        <v>0.21119661409846421</v>
      </c>
      <c r="X1194">
        <v>5.1762344397652864E-2</v>
      </c>
      <c r="Y1194">
        <v>9.3726491365106069E-3</v>
      </c>
    </row>
    <row r="1195" spans="1:25" x14ac:dyDescent="0.25">
      <c r="A1195" s="1083"/>
      <c r="B1195" s="1455">
        <v>945</v>
      </c>
      <c r="C1195" s="1087">
        <v>1.0050759081746887</v>
      </c>
      <c r="D1195" s="1087">
        <v>1.0219370032612356</v>
      </c>
      <c r="E1195" s="1087">
        <v>0.99016203754236931</v>
      </c>
      <c r="F1195" s="1087">
        <v>0.9987084979026335</v>
      </c>
      <c r="G1195" s="1087">
        <v>0.97608358463327705</v>
      </c>
      <c r="H1195" s="1087">
        <v>0.99929151384555159</v>
      </c>
      <c r="I1195" s="1087">
        <v>1.0096170884967552</v>
      </c>
      <c r="K1195">
        <v>1.8249523662682781</v>
      </c>
      <c r="L1195">
        <v>0</v>
      </c>
      <c r="M1195">
        <v>3.6463526571243708E-3</v>
      </c>
      <c r="N1195">
        <v>0.33598152697376488</v>
      </c>
      <c r="O1195">
        <v>0.23568151856737957</v>
      </c>
      <c r="P1195">
        <v>1.3032567445943418E-2</v>
      </c>
      <c r="Q1195">
        <v>1.5457557402862238E-3</v>
      </c>
      <c r="R1195">
        <v>3.6400628050472419E-3</v>
      </c>
      <c r="S1195">
        <v>0.36219840725224922</v>
      </c>
      <c r="T1195">
        <v>0.40211432287927645</v>
      </c>
      <c r="U1195">
        <v>0</v>
      </c>
      <c r="V1195">
        <v>0.19790246087611085</v>
      </c>
      <c r="W1195">
        <v>0.21533709106789567</v>
      </c>
      <c r="X1195">
        <v>5.1257954308492469E-2</v>
      </c>
      <c r="Y1195">
        <v>9.9070510089574026E-3</v>
      </c>
    </row>
    <row r="1196" spans="1:25" x14ac:dyDescent="0.25">
      <c r="A1196" s="1083"/>
      <c r="B1196" s="1455">
        <v>946</v>
      </c>
      <c r="C1196" s="1087">
        <v>1.0036239838313861</v>
      </c>
      <c r="D1196" s="1087">
        <v>1.0498798357329651</v>
      </c>
      <c r="E1196" s="1087">
        <v>1.0037814393584528</v>
      </c>
      <c r="F1196" s="1087">
        <v>1.0222571738282351</v>
      </c>
      <c r="G1196" s="1087">
        <v>1.0431225865941645</v>
      </c>
      <c r="H1196" s="1087">
        <v>1.0043985377216729</v>
      </c>
      <c r="I1196" s="1087">
        <v>1.0055215259454926</v>
      </c>
      <c r="K1196">
        <v>1.8324753557076308</v>
      </c>
      <c r="L1196">
        <v>0</v>
      </c>
      <c r="M1196">
        <v>3.516447664547799E-3</v>
      </c>
      <c r="N1196">
        <v>0.3377659075376051</v>
      </c>
      <c r="O1196">
        <v>0.23598518460398535</v>
      </c>
      <c r="P1196">
        <v>1.3234751580137332E-2</v>
      </c>
      <c r="Q1196">
        <v>1.5537999816724491E-3</v>
      </c>
      <c r="R1196">
        <v>3.5103874381463896E-3</v>
      </c>
      <c r="S1196">
        <v>0.35690485395887034</v>
      </c>
      <c r="T1196">
        <v>0.41168000461806337</v>
      </c>
      <c r="U1196">
        <v>0</v>
      </c>
      <c r="V1196">
        <v>0.19866249794996513</v>
      </c>
      <c r="W1196">
        <v>0.21464218581562292</v>
      </c>
      <c r="X1196">
        <v>5.2498112480381907E-2</v>
      </c>
      <c r="Y1196">
        <v>9.5541174077264906E-3</v>
      </c>
    </row>
    <row r="1197" spans="1:25" x14ac:dyDescent="0.25">
      <c r="A1197" s="1083"/>
      <c r="B1197" s="1455">
        <v>947</v>
      </c>
      <c r="C1197" s="1087">
        <v>0.96438623206774943</v>
      </c>
      <c r="D1197" s="1087">
        <v>0.99029256243564068</v>
      </c>
      <c r="E1197" s="1087">
        <v>0.99940899058580046</v>
      </c>
      <c r="F1197" s="1087">
        <v>1.0049793133742271</v>
      </c>
      <c r="G1197" s="1087">
        <v>0.96450860557629314</v>
      </c>
      <c r="H1197" s="1087">
        <v>0.97017140251523493</v>
      </c>
      <c r="I1197" s="1087">
        <v>0.95841353674772667</v>
      </c>
      <c r="K1197">
        <v>1.8636753068562129</v>
      </c>
      <c r="L1197">
        <v>0</v>
      </c>
      <c r="M1197">
        <v>3.682506085571816E-3</v>
      </c>
      <c r="N1197">
        <v>0.3490125595948283</v>
      </c>
      <c r="O1197">
        <v>0.24471408317855409</v>
      </c>
      <c r="P1197">
        <v>1.3212975261710747E-2</v>
      </c>
      <c r="Q1197">
        <v>1.6475696563567337E-3</v>
      </c>
      <c r="R1197">
        <v>3.6759921327710731E-3</v>
      </c>
      <c r="S1197">
        <v>0.35945874019692658</v>
      </c>
      <c r="T1197">
        <v>0.40469526670170292</v>
      </c>
      <c r="U1197">
        <v>0</v>
      </c>
      <c r="V1197">
        <v>0.20464814724732172</v>
      </c>
      <c r="W1197">
        <v>0.22239519452203879</v>
      </c>
      <c r="X1197">
        <v>5.3892445654649464E-2</v>
      </c>
      <c r="Y1197">
        <v>1.0004838794921971E-2</v>
      </c>
    </row>
    <row r="1198" spans="1:25" x14ac:dyDescent="0.25">
      <c r="A1198" s="1083"/>
      <c r="B1198" s="1455">
        <v>948</v>
      </c>
      <c r="C1198" s="1087">
        <v>1.0265343650733638</v>
      </c>
      <c r="D1198" s="1087">
        <v>0.97886126452975242</v>
      </c>
      <c r="E1198" s="1087">
        <v>1.0456259486835779</v>
      </c>
      <c r="F1198" s="1087">
        <v>1.003155548047733</v>
      </c>
      <c r="G1198" s="1087">
        <v>1.0348867402416213</v>
      </c>
      <c r="H1198" s="1087">
        <v>0.97973123831514142</v>
      </c>
      <c r="I1198" s="1087">
        <v>1.0044575355044096</v>
      </c>
      <c r="K1198">
        <v>1.8455986157435273</v>
      </c>
      <c r="L1198">
        <v>0</v>
      </c>
      <c r="M1198">
        <v>3.1974658010234048E-3</v>
      </c>
      <c r="N1198">
        <v>0.34887086286576752</v>
      </c>
      <c r="O1198">
        <v>0.23873176226283865</v>
      </c>
      <c r="P1198">
        <v>1.3561654320957106E-2</v>
      </c>
      <c r="Q1198">
        <v>1.6326016533435154E-3</v>
      </c>
      <c r="R1198">
        <v>3.191874157575388E-3</v>
      </c>
      <c r="S1198">
        <v>0.35844575853369071</v>
      </c>
      <c r="T1198">
        <v>0.40424619110699794</v>
      </c>
      <c r="U1198">
        <v>0</v>
      </c>
      <c r="V1198">
        <v>0.19865413366873438</v>
      </c>
      <c r="W1198">
        <v>0.2160812125295464</v>
      </c>
      <c r="X1198">
        <v>5.6692801189212959E-2</v>
      </c>
      <c r="Y1198">
        <v>8.6872292558869482E-3</v>
      </c>
    </row>
    <row r="1199" spans="1:25" x14ac:dyDescent="0.25">
      <c r="A1199" s="1083"/>
      <c r="B1199" s="1455">
        <v>949</v>
      </c>
      <c r="C1199" s="1087">
        <v>1.0198080090349926</v>
      </c>
      <c r="D1199" s="1087">
        <v>0.99641126844331662</v>
      </c>
      <c r="E1199" s="1087">
        <v>0.99750716091459379</v>
      </c>
      <c r="F1199" s="1087">
        <v>0.99788029915615106</v>
      </c>
      <c r="G1199" s="1087">
        <v>1.0305447667876633</v>
      </c>
      <c r="H1199" s="1087">
        <v>1.0061773664070333</v>
      </c>
      <c r="I1199" s="1087">
        <v>0.99716684726522409</v>
      </c>
      <c r="K1199">
        <v>1.8290222966322816</v>
      </c>
      <c r="L1199">
        <v>0</v>
      </c>
      <c r="M1199">
        <v>3.6135899409555899E-3</v>
      </c>
      <c r="N1199">
        <v>0.34051989783342512</v>
      </c>
      <c r="O1199">
        <v>0.23645059403654758</v>
      </c>
      <c r="P1199">
        <v>1.3051618416871545E-2</v>
      </c>
      <c r="Q1199">
        <v>1.5510489497322102E-3</v>
      </c>
      <c r="R1199">
        <v>3.6074212039507378E-3</v>
      </c>
      <c r="S1199">
        <v>0.35883706699910217</v>
      </c>
      <c r="T1199">
        <v>0.40182507716149996</v>
      </c>
      <c r="U1199">
        <v>0</v>
      </c>
      <c r="V1199">
        <v>0.19766892590007182</v>
      </c>
      <c r="W1199">
        <v>0.21724185938712701</v>
      </c>
      <c r="X1199">
        <v>5.2064165353833097E-2</v>
      </c>
      <c r="Y1199">
        <v>9.8182113310736254E-3</v>
      </c>
    </row>
    <row r="1200" spans="1:25" x14ac:dyDescent="0.25">
      <c r="A1200" s="1083"/>
      <c r="B1200" s="1455">
        <v>950</v>
      </c>
      <c r="C1200" s="1087">
        <v>1.0147956796735706</v>
      </c>
      <c r="D1200" s="1087">
        <v>0.98936127006622698</v>
      </c>
      <c r="E1200" s="1087">
        <v>0.99785052192983636</v>
      </c>
      <c r="F1200" s="1087">
        <v>0.96903503701563698</v>
      </c>
      <c r="G1200" s="1087">
        <v>1.0131781184199888</v>
      </c>
      <c r="H1200" s="1087">
        <v>1.0357454983402596</v>
      </c>
      <c r="I1200" s="1087">
        <v>1.0198965321441462</v>
      </c>
      <c r="K1200">
        <v>1.8524878987079927</v>
      </c>
      <c r="L1200">
        <v>0</v>
      </c>
      <c r="M1200">
        <v>3.749745580159928E-3</v>
      </c>
      <c r="N1200">
        <v>0.3537386090007979</v>
      </c>
      <c r="O1200">
        <v>0.23431224518677743</v>
      </c>
      <c r="P1200">
        <v>1.3104726847857085E-2</v>
      </c>
      <c r="Q1200">
        <v>1.5637160437625417E-3</v>
      </c>
      <c r="R1200">
        <v>3.7435331054302776E-3</v>
      </c>
      <c r="S1200">
        <v>0.37570115806038157</v>
      </c>
      <c r="T1200">
        <v>0.39021171909415292</v>
      </c>
      <c r="U1200">
        <v>0</v>
      </c>
      <c r="V1200">
        <v>0.19606778293623811</v>
      </c>
      <c r="W1200">
        <v>0.22562651963948099</v>
      </c>
      <c r="X1200">
        <v>5.1978971315650956E-2</v>
      </c>
      <c r="Y1200">
        <v>1.018866305762467E-2</v>
      </c>
    </row>
    <row r="1201" spans="1:25" x14ac:dyDescent="0.25">
      <c r="A1201" s="1083"/>
      <c r="B1201" s="1455">
        <v>951</v>
      </c>
      <c r="C1201" s="1087">
        <v>0.96948217052161256</v>
      </c>
      <c r="D1201" s="1087">
        <v>1.0199738272437491</v>
      </c>
      <c r="E1201" s="1087">
        <v>0.96660342288987122</v>
      </c>
      <c r="F1201" s="1087">
        <v>1.042767498014024</v>
      </c>
      <c r="G1201" s="1087">
        <v>0.95695735621194533</v>
      </c>
      <c r="H1201" s="1087">
        <v>0.97824374157729443</v>
      </c>
      <c r="I1201" s="1087">
        <v>0.98157530688750283</v>
      </c>
      <c r="K1201">
        <v>1.8579272589737876</v>
      </c>
      <c r="L1201">
        <v>0</v>
      </c>
      <c r="M1201">
        <v>3.8869988225568972E-3</v>
      </c>
      <c r="N1201">
        <v>0.33325978309433235</v>
      </c>
      <c r="O1201">
        <v>0.24503966992839277</v>
      </c>
      <c r="P1201">
        <v>1.3125684568676323E-2</v>
      </c>
      <c r="Q1201">
        <v>1.5635387809170248E-3</v>
      </c>
      <c r="R1201">
        <v>3.8801519817500949E-3</v>
      </c>
      <c r="S1201">
        <v>0.36137908982653588</v>
      </c>
      <c r="T1201">
        <v>0.41970745870900228</v>
      </c>
      <c r="U1201">
        <v>0</v>
      </c>
      <c r="V1201">
        <v>0.20551735506434882</v>
      </c>
      <c r="W1201">
        <v>0.21681250437780944</v>
      </c>
      <c r="X1201">
        <v>5.0968526862013294E-2</v>
      </c>
      <c r="Y1201">
        <v>1.0560494602566738E-2</v>
      </c>
    </row>
    <row r="1202" spans="1:25" x14ac:dyDescent="0.25">
      <c r="A1202" s="1083"/>
      <c r="B1202" s="1455">
        <v>952</v>
      </c>
      <c r="C1202" s="1087">
        <v>1.0171723318197547</v>
      </c>
      <c r="D1202" s="1087">
        <v>1.0337507304904681</v>
      </c>
      <c r="E1202" s="1087">
        <v>0.98593502477234241</v>
      </c>
      <c r="F1202" s="1087">
        <v>1.0263862528748608</v>
      </c>
      <c r="G1202" s="1087">
        <v>1.022069275203352</v>
      </c>
      <c r="H1202" s="1087">
        <v>1.0045633143795607</v>
      </c>
      <c r="I1202" s="1087">
        <v>0.97920449258871023</v>
      </c>
      <c r="K1202">
        <v>1.8106843266609383</v>
      </c>
      <c r="L1202">
        <v>0</v>
      </c>
      <c r="M1202">
        <v>3.6289652654219579E-3</v>
      </c>
      <c r="N1202">
        <v>0.33009185790460538</v>
      </c>
      <c r="O1202">
        <v>0.23611296124342401</v>
      </c>
      <c r="P1202">
        <v>1.2923480127466276E-2</v>
      </c>
      <c r="Q1202">
        <v>1.5134923036206698E-3</v>
      </c>
      <c r="R1202">
        <v>3.6227250997400424E-3</v>
      </c>
      <c r="S1202">
        <v>0.34568847691053961</v>
      </c>
      <c r="T1202">
        <v>0.41323227410768348</v>
      </c>
      <c r="U1202">
        <v>0</v>
      </c>
      <c r="V1202">
        <v>0.19828761028699191</v>
      </c>
      <c r="W1202">
        <v>0.21212685711823451</v>
      </c>
      <c r="X1202">
        <v>5.0853693333570107E-2</v>
      </c>
      <c r="Y1202">
        <v>9.8598634904842244E-3</v>
      </c>
    </row>
    <row r="1203" spans="1:25" x14ac:dyDescent="0.25">
      <c r="A1203" s="1083"/>
      <c r="B1203" s="1455">
        <v>953</v>
      </c>
      <c r="C1203" s="1087">
        <v>1.0002002593203951</v>
      </c>
      <c r="D1203" s="1087">
        <v>0.97438980610811776</v>
      </c>
      <c r="E1203" s="1087">
        <v>0.97311705578973529</v>
      </c>
      <c r="F1203" s="1087">
        <v>1.0097200776011119</v>
      </c>
      <c r="G1203" s="1087">
        <v>1.0173537579788463</v>
      </c>
      <c r="H1203" s="1087">
        <v>1.0326794815602691</v>
      </c>
      <c r="I1203" s="1087">
        <v>0.99119770267222529</v>
      </c>
      <c r="K1203">
        <v>1.8798127761965018</v>
      </c>
      <c r="L1203">
        <v>0</v>
      </c>
      <c r="M1203">
        <v>4.0230571888180142E-3</v>
      </c>
      <c r="N1203">
        <v>0.35190181256233122</v>
      </c>
      <c r="O1203">
        <v>0.24206662895415626</v>
      </c>
      <c r="P1203">
        <v>1.3116842700857058E-2</v>
      </c>
      <c r="Q1203">
        <v>1.5544111588500112E-3</v>
      </c>
      <c r="R1203">
        <v>4.0163871714315935E-3</v>
      </c>
      <c r="S1203">
        <v>0.37277842899815172</v>
      </c>
      <c r="T1203">
        <v>0.40644505800376274</v>
      </c>
      <c r="U1203">
        <v>0</v>
      </c>
      <c r="V1203">
        <v>0.20180526526189108</v>
      </c>
      <c r="W1203">
        <v>0.22798943666630705</v>
      </c>
      <c r="X1203">
        <v>5.1230280028619284E-2</v>
      </c>
      <c r="Y1203">
        <v>1.0931281878961568E-2</v>
      </c>
    </row>
    <row r="1204" spans="1:25" x14ac:dyDescent="0.25">
      <c r="A1204" s="1083"/>
      <c r="B1204" s="1455">
        <v>954</v>
      </c>
      <c r="C1204" s="1087">
        <v>0.97897448528151942</v>
      </c>
      <c r="D1204" s="1087">
        <v>1.0107053929771337</v>
      </c>
      <c r="E1204" s="1087">
        <v>1.0086443402953702</v>
      </c>
      <c r="F1204" s="1087">
        <v>0.99184821970325365</v>
      </c>
      <c r="G1204" s="1087">
        <v>0.97645059224518105</v>
      </c>
      <c r="H1204" s="1087">
        <v>1.0309161699555889</v>
      </c>
      <c r="I1204" s="1087">
        <v>1.0252779696472056</v>
      </c>
      <c r="K1204">
        <v>1.9011880422787841</v>
      </c>
      <c r="L1204">
        <v>0</v>
      </c>
      <c r="M1204">
        <v>3.7413553127102614E-3</v>
      </c>
      <c r="N1204">
        <v>0.36475913213312533</v>
      </c>
      <c r="O1204">
        <v>0.2394114746564158</v>
      </c>
      <c r="P1204">
        <v>1.3546250893812093E-2</v>
      </c>
      <c r="Q1204">
        <v>1.6257134112353559E-3</v>
      </c>
      <c r="R1204">
        <v>3.7351097683732087E-3</v>
      </c>
      <c r="S1204">
        <v>0.38614750867217934</v>
      </c>
      <c r="T1204">
        <v>0.39946316545392263</v>
      </c>
      <c r="U1204">
        <v>0</v>
      </c>
      <c r="V1204">
        <v>0.2008348689224165</v>
      </c>
      <c r="W1204">
        <v>0.23109577690992406</v>
      </c>
      <c r="X1204">
        <v>5.4144659259178836E-2</v>
      </c>
      <c r="Y1204">
        <v>1.0165737510907644E-2</v>
      </c>
    </row>
    <row r="1205" spans="1:25" x14ac:dyDescent="0.25">
      <c r="A1205" s="1083"/>
      <c r="B1205" s="1455">
        <v>955</v>
      </c>
      <c r="C1205" s="1087">
        <v>0.99806770954222779</v>
      </c>
      <c r="D1205" s="1087">
        <v>0.98649301232999376</v>
      </c>
      <c r="E1205" s="1087">
        <v>0.98714508165477366</v>
      </c>
      <c r="F1205" s="1087">
        <v>1.0233957937178892</v>
      </c>
      <c r="G1205" s="1087">
        <v>1.0144780599318297</v>
      </c>
      <c r="H1205" s="1087">
        <v>0.98622888952980015</v>
      </c>
      <c r="I1205" s="1087">
        <v>0.98734323943187985</v>
      </c>
      <c r="K1205">
        <v>1.8534008612243926</v>
      </c>
      <c r="L1205">
        <v>0</v>
      </c>
      <c r="M1205">
        <v>3.7168804904646499E-3</v>
      </c>
      <c r="N1205">
        <v>0.33933403735250878</v>
      </c>
      <c r="O1205">
        <v>0.2429081440071843</v>
      </c>
      <c r="P1205">
        <v>1.3189573602906065E-2</v>
      </c>
      <c r="Q1205">
        <v>1.5736472106026654E-3</v>
      </c>
      <c r="R1205">
        <v>3.7104167085642852E-3</v>
      </c>
      <c r="S1205">
        <v>0.36135185274242476</v>
      </c>
      <c r="T1205">
        <v>0.41203571962233532</v>
      </c>
      <c r="U1205">
        <v>0</v>
      </c>
      <c r="V1205">
        <v>0.20263575899099204</v>
      </c>
      <c r="W1205">
        <v>0.21789966652366663</v>
      </c>
      <c r="X1205">
        <v>5.2380393811500135E-2</v>
      </c>
      <c r="Y1205">
        <v>1.0098531142172731E-2</v>
      </c>
    </row>
    <row r="1206" spans="1:25" x14ac:dyDescent="0.25">
      <c r="A1206" s="1083"/>
      <c r="B1206" s="1455">
        <v>956</v>
      </c>
      <c r="C1206" s="1087">
        <v>0.99952450794776293</v>
      </c>
      <c r="D1206" s="1087">
        <v>0.99313090852485109</v>
      </c>
      <c r="E1206" s="1087">
        <v>1.0129782770576987</v>
      </c>
      <c r="F1206" s="1087">
        <v>0.99775346046904267</v>
      </c>
      <c r="G1206" s="1087">
        <v>1.0233120532410833</v>
      </c>
      <c r="H1206" s="1087">
        <v>1.0384709853952754</v>
      </c>
      <c r="I1206" s="1087">
        <v>1.0005398943852291</v>
      </c>
      <c r="K1206">
        <v>1.8904418328782886</v>
      </c>
      <c r="L1206">
        <v>0</v>
      </c>
      <c r="M1206">
        <v>3.6934211802633165E-3</v>
      </c>
      <c r="N1206">
        <v>0.3648820324818996</v>
      </c>
      <c r="O1206">
        <v>0.2394069186412848</v>
      </c>
      <c r="P1206">
        <v>1.3446315359026222E-2</v>
      </c>
      <c r="Q1206">
        <v>1.6108815934407033E-3</v>
      </c>
      <c r="R1206">
        <v>3.6873154324328864E-3</v>
      </c>
      <c r="S1206">
        <v>0.37410737235044872</v>
      </c>
      <c r="T1206">
        <v>0.40186788029832277</v>
      </c>
      <c r="U1206">
        <v>0</v>
      </c>
      <c r="V1206">
        <v>0.20006648801659727</v>
      </c>
      <c r="W1206">
        <v>0.23055353324707761</v>
      </c>
      <c r="X1206">
        <v>5.4470859554144768E-2</v>
      </c>
      <c r="Y1206">
        <v>1.003565708387669E-2</v>
      </c>
    </row>
    <row r="1207" spans="1:25" x14ac:dyDescent="0.25">
      <c r="A1207" s="1083"/>
      <c r="B1207" s="1455">
        <v>957</v>
      </c>
      <c r="C1207" s="1087">
        <v>0.9828394487945985</v>
      </c>
      <c r="D1207" s="1087">
        <v>0.9996842130678838</v>
      </c>
      <c r="E1207" s="1087">
        <v>0.95264140484572346</v>
      </c>
      <c r="F1207" s="1087">
        <v>1.021504671087089</v>
      </c>
      <c r="G1207" s="1087">
        <v>1.0094346555600844</v>
      </c>
      <c r="H1207" s="1087">
        <v>0.98733611497031648</v>
      </c>
      <c r="I1207" s="1087">
        <v>1.0176864991712986</v>
      </c>
      <c r="K1207">
        <v>1.8548202321236189</v>
      </c>
      <c r="L1207">
        <v>0</v>
      </c>
      <c r="M1207">
        <v>4.024792462189084E-3</v>
      </c>
      <c r="N1207">
        <v>0.33064518513151719</v>
      </c>
      <c r="O1207">
        <v>0.24272802448789729</v>
      </c>
      <c r="P1207">
        <v>1.3023428111506441E-2</v>
      </c>
      <c r="Q1207">
        <v>1.5312922434773729E-3</v>
      </c>
      <c r="R1207">
        <v>4.017788224624938E-3</v>
      </c>
      <c r="S1207">
        <v>0.37526196765452247</v>
      </c>
      <c r="T1207">
        <v>0.41106542685793918</v>
      </c>
      <c r="U1207">
        <v>0</v>
      </c>
      <c r="V1207">
        <v>0.20321531299448614</v>
      </c>
      <c r="W1207">
        <v>0.21705496964044621</v>
      </c>
      <c r="X1207">
        <v>4.9366534155494309E-2</v>
      </c>
      <c r="Y1207">
        <v>1.0935095083896793E-2</v>
      </c>
    </row>
    <row r="1208" spans="1:25" x14ac:dyDescent="0.25">
      <c r="A1208" s="1083"/>
      <c r="B1208" s="1455">
        <v>958</v>
      </c>
      <c r="C1208" s="1087">
        <v>1.0206795094458143</v>
      </c>
      <c r="D1208" s="1087">
        <v>0.99495589642190463</v>
      </c>
      <c r="E1208" s="1087">
        <v>0.96476128776801473</v>
      </c>
      <c r="F1208" s="1087">
        <v>0.98096320281185079</v>
      </c>
      <c r="G1208" s="1087">
        <v>1.018936004172152</v>
      </c>
      <c r="H1208" s="1087">
        <v>0.99813911730385174</v>
      </c>
      <c r="I1208" s="1087">
        <v>0.99630517997502754</v>
      </c>
      <c r="K1208">
        <v>1.7942697702355037</v>
      </c>
      <c r="L1208">
        <v>0</v>
      </c>
      <c r="M1208">
        <v>3.8320827506215455E-3</v>
      </c>
      <c r="N1208">
        <v>0.32671843693306812</v>
      </c>
      <c r="O1208">
        <v>0.23404368440192799</v>
      </c>
      <c r="P1208">
        <v>1.258832132134872E-2</v>
      </c>
      <c r="Q1208">
        <v>1.4969432845094986E-3</v>
      </c>
      <c r="R1208">
        <v>3.8254897632823848E-3</v>
      </c>
      <c r="S1208">
        <v>0.35672007887783158</v>
      </c>
      <c r="T1208">
        <v>0.39482093608101787</v>
      </c>
      <c r="U1208">
        <v>0</v>
      </c>
      <c r="V1208">
        <v>0.19601083205096895</v>
      </c>
      <c r="W1208">
        <v>0.212808055128344</v>
      </c>
      <c r="X1208">
        <v>4.8657353080531485E-2</v>
      </c>
      <c r="Y1208">
        <v>1.0411722063293107E-2</v>
      </c>
    </row>
    <row r="1209" spans="1:25" x14ac:dyDescent="0.25">
      <c r="A1209" s="1083"/>
      <c r="B1209" s="1455">
        <v>959</v>
      </c>
      <c r="C1209" s="1087">
        <v>0.99006374711010547</v>
      </c>
      <c r="D1209" s="1087">
        <v>1.0482329691443288</v>
      </c>
      <c r="E1209" s="1087">
        <v>0.98062526570579034</v>
      </c>
      <c r="F1209" s="1087">
        <v>1.0219293223585204</v>
      </c>
      <c r="G1209" s="1087">
        <v>1.0181558100944956</v>
      </c>
      <c r="H1209" s="1087">
        <v>1.0332919229231206</v>
      </c>
      <c r="I1209" s="1087">
        <v>1.0139239520142775</v>
      </c>
      <c r="K1209">
        <v>1.8618327494828817</v>
      </c>
      <c r="L1209">
        <v>0</v>
      </c>
      <c r="M1209">
        <v>3.8489519671980107E-3</v>
      </c>
      <c r="N1209">
        <v>0.34448341041150776</v>
      </c>
      <c r="O1209">
        <v>0.23745976363410387</v>
      </c>
      <c r="P1209">
        <v>1.319967990904476E-2</v>
      </c>
      <c r="Q1209">
        <v>1.5375038276143225E-3</v>
      </c>
      <c r="R1209">
        <v>3.8425070814130527E-3</v>
      </c>
      <c r="S1209">
        <v>0.37013649469386883</v>
      </c>
      <c r="T1209">
        <v>0.41140539063242676</v>
      </c>
      <c r="U1209">
        <v>0</v>
      </c>
      <c r="V1209">
        <v>0.20005732380614946</v>
      </c>
      <c r="W1209">
        <v>0.22212030983685824</v>
      </c>
      <c r="X1209">
        <v>5.0981280023601763E-2</v>
      </c>
      <c r="Y1209">
        <v>1.0458037593487369E-2</v>
      </c>
    </row>
    <row r="1210" spans="1:25" x14ac:dyDescent="0.25">
      <c r="A1210" s="1083"/>
      <c r="B1210" s="1455">
        <v>960</v>
      </c>
      <c r="C1210" s="1087">
        <v>0.9963731087173644</v>
      </c>
      <c r="D1210" s="1087">
        <v>1.0172074956448984</v>
      </c>
      <c r="E1210" s="1087">
        <v>0.99553585653372467</v>
      </c>
      <c r="F1210" s="1087">
        <v>1.0140067072662899</v>
      </c>
      <c r="G1210" s="1087">
        <v>1.0227273577953204</v>
      </c>
      <c r="H1210" s="1087">
        <v>1.0288874019870431</v>
      </c>
      <c r="I1210" s="1087">
        <v>0.97328829171895237</v>
      </c>
      <c r="K1210">
        <v>1.8600971499587247</v>
      </c>
      <c r="L1210">
        <v>0</v>
      </c>
      <c r="M1210">
        <v>3.7552356258911683E-3</v>
      </c>
      <c r="N1210">
        <v>0.3517562417396628</v>
      </c>
      <c r="O1210">
        <v>0.23904483228526111</v>
      </c>
      <c r="P1210">
        <v>1.3151589069625123E-2</v>
      </c>
      <c r="Q1210">
        <v>1.5711572192604461E-3</v>
      </c>
      <c r="R1210">
        <v>3.74894846480238E-3</v>
      </c>
      <c r="S1210">
        <v>0.35837585437079761</v>
      </c>
      <c r="T1210">
        <v>0.40830675541971434</v>
      </c>
      <c r="U1210">
        <v>0</v>
      </c>
      <c r="V1210">
        <v>0.20041416783552474</v>
      </c>
      <c r="W1210">
        <v>0.22468762760522423</v>
      </c>
      <c r="X1210">
        <v>5.2591809694078791E-2</v>
      </c>
      <c r="Y1210">
        <v>1.0203401880662797E-2</v>
      </c>
    </row>
    <row r="1211" spans="1:25" x14ac:dyDescent="0.25">
      <c r="A1211" s="1083"/>
      <c r="B1211" s="1455">
        <v>961</v>
      </c>
      <c r="C1211" s="1087">
        <v>1.0379138647499189</v>
      </c>
      <c r="D1211" s="1087">
        <v>1.0394801680830705</v>
      </c>
      <c r="E1211" s="1087">
        <v>0.99114264084533588</v>
      </c>
      <c r="F1211" s="1087">
        <v>0.97846067730114761</v>
      </c>
      <c r="G1211" s="1087">
        <v>1.0263004856640816</v>
      </c>
      <c r="H1211" s="1087">
        <v>0.99831495512625157</v>
      </c>
      <c r="I1211" s="1087">
        <v>0.99540846862583665</v>
      </c>
      <c r="K1211">
        <v>1.7579901177811115</v>
      </c>
      <c r="L1211">
        <v>0</v>
      </c>
      <c r="M1211">
        <v>3.487295677711881E-3</v>
      </c>
      <c r="N1211">
        <v>0.32228736424804144</v>
      </c>
      <c r="O1211">
        <v>0.22787754344475575</v>
      </c>
      <c r="P1211">
        <v>1.2582033049421406E-2</v>
      </c>
      <c r="Q1211">
        <v>1.48825579645731E-3</v>
      </c>
      <c r="R1211">
        <v>3.4812582589796022E-3</v>
      </c>
      <c r="S1211">
        <v>0.34236956151890313</v>
      </c>
      <c r="T1211">
        <v>0.39396763008562757</v>
      </c>
      <c r="U1211">
        <v>0</v>
      </c>
      <c r="V1211">
        <v>0.19193126968358915</v>
      </c>
      <c r="W1211">
        <v>0.20643282121735973</v>
      </c>
      <c r="X1211">
        <v>4.9584838771223057E-2</v>
      </c>
      <c r="Y1211">
        <v>9.4748373844658271E-3</v>
      </c>
    </row>
    <row r="1212" spans="1:25" x14ac:dyDescent="0.25">
      <c r="A1212" s="1083"/>
      <c r="B1212" s="1455">
        <v>962</v>
      </c>
      <c r="C1212" s="1087">
        <v>0.98161257869495466</v>
      </c>
      <c r="D1212" s="1087">
        <v>1.0161042914838472</v>
      </c>
      <c r="E1212" s="1087">
        <v>0.98708476702870818</v>
      </c>
      <c r="F1212" s="1087">
        <v>0.99372906447569553</v>
      </c>
      <c r="G1212" s="1087">
        <v>1.0026189758890696</v>
      </c>
      <c r="H1212" s="1087">
        <v>1.0146126946520144</v>
      </c>
      <c r="I1212" s="1087">
        <v>1.0166692574366814</v>
      </c>
      <c r="K1212">
        <v>1.8669509077428417</v>
      </c>
      <c r="L1212">
        <v>0</v>
      </c>
      <c r="M1212">
        <v>3.8268569585043128E-3</v>
      </c>
      <c r="N1212">
        <v>0.34932459449036235</v>
      </c>
      <c r="O1212">
        <v>0.23847939007759358</v>
      </c>
      <c r="P1212">
        <v>1.3213777012317053E-2</v>
      </c>
      <c r="Q1212">
        <v>1.5811077179848257E-3</v>
      </c>
      <c r="R1212">
        <v>3.8203613125180331E-3</v>
      </c>
      <c r="S1212">
        <v>0.37746469053593351</v>
      </c>
      <c r="T1212">
        <v>0.40009105418872132</v>
      </c>
      <c r="U1212">
        <v>0</v>
      </c>
      <c r="V1212">
        <v>0.20029996396209587</v>
      </c>
      <c r="W1212">
        <v>0.22432353042139541</v>
      </c>
      <c r="X1212">
        <v>5.178153087151785E-2</v>
      </c>
      <c r="Y1212">
        <v>1.0397764110905882E-2</v>
      </c>
    </row>
    <row r="1213" spans="1:25" x14ac:dyDescent="0.25">
      <c r="A1213" s="1083"/>
      <c r="B1213" s="1455">
        <v>963</v>
      </c>
      <c r="C1213" s="1087">
        <v>1.0033597097683349</v>
      </c>
      <c r="D1213" s="1087">
        <v>0.99047862809245502</v>
      </c>
      <c r="E1213" s="1087">
        <v>0.99889750307394187</v>
      </c>
      <c r="F1213" s="1087">
        <v>0.99430358304694411</v>
      </c>
      <c r="G1213" s="1087">
        <v>0.98211754073034641</v>
      </c>
      <c r="H1213" s="1087">
        <v>0.98510716275915522</v>
      </c>
      <c r="I1213" s="1087">
        <v>1.0168693534542708</v>
      </c>
      <c r="K1213">
        <v>1.8422994365885992</v>
      </c>
      <c r="L1213">
        <v>0</v>
      </c>
      <c r="M1213">
        <v>3.5974716920670726E-3</v>
      </c>
      <c r="N1213">
        <v>0.34043069184234442</v>
      </c>
      <c r="O1213">
        <v>0.23859757915003532</v>
      </c>
      <c r="P1213">
        <v>1.3212007586812678E-2</v>
      </c>
      <c r="Q1213">
        <v>1.5825909770048707E-3</v>
      </c>
      <c r="R1213">
        <v>3.5912046784029148E-3</v>
      </c>
      <c r="S1213">
        <v>0.36929060448201384</v>
      </c>
      <c r="T1213">
        <v>0.40039317561433657</v>
      </c>
      <c r="U1213">
        <v>0</v>
      </c>
      <c r="V1213">
        <v>0.19941606847949966</v>
      </c>
      <c r="W1213">
        <v>0.21699610305090028</v>
      </c>
      <c r="X1213">
        <v>5.2612807125005455E-2</v>
      </c>
      <c r="Y1213">
        <v>9.7740752943086609E-3</v>
      </c>
    </row>
    <row r="1214" spans="1:25" x14ac:dyDescent="0.25">
      <c r="A1214" s="1083"/>
      <c r="B1214" s="1455">
        <v>964</v>
      </c>
      <c r="C1214" s="1087">
        <v>1.0062555238966142</v>
      </c>
      <c r="D1214" s="1087">
        <v>0.98754871764135488</v>
      </c>
      <c r="E1214" s="1087">
        <v>0.95743016533674696</v>
      </c>
      <c r="F1214" s="1087">
        <v>1.0048878915766695</v>
      </c>
      <c r="G1214" s="1087">
        <v>1.0243065647697103</v>
      </c>
      <c r="H1214" s="1087">
        <v>1.0054859657228321</v>
      </c>
      <c r="I1214" s="1087">
        <v>1.018852643197198</v>
      </c>
      <c r="K1214">
        <v>1.8411800305775061</v>
      </c>
      <c r="L1214">
        <v>0</v>
      </c>
      <c r="M1214">
        <v>3.9906961770945354E-3</v>
      </c>
      <c r="N1214">
        <v>0.33269775697062087</v>
      </c>
      <c r="O1214">
        <v>0.23919609398531561</v>
      </c>
      <c r="P1214">
        <v>1.2908564690351544E-2</v>
      </c>
      <c r="Q1214">
        <v>1.5108545240284969E-3</v>
      </c>
      <c r="R1214">
        <v>3.983887957836294E-3</v>
      </c>
      <c r="S1214">
        <v>0.37283912538980885</v>
      </c>
      <c r="T1214">
        <v>0.40440684078209355</v>
      </c>
      <c r="U1214">
        <v>0</v>
      </c>
      <c r="V1214">
        <v>0.19992770849333591</v>
      </c>
      <c r="W1214">
        <v>0.21772735539123539</v>
      </c>
      <c r="X1214">
        <v>4.9129708837056578E-2</v>
      </c>
      <c r="Y1214">
        <v>1.0842829732918044E-2</v>
      </c>
    </row>
    <row r="1215" spans="1:25" x14ac:dyDescent="0.25">
      <c r="A1215" s="1083"/>
      <c r="B1215" s="1455">
        <v>965</v>
      </c>
      <c r="C1215" s="1087">
        <v>1.0233017936472031</v>
      </c>
      <c r="D1215" s="1087">
        <v>1.0064390697457164</v>
      </c>
      <c r="E1215" s="1087">
        <v>1.0007240392894172</v>
      </c>
      <c r="F1215" s="1087">
        <v>1.0350636272124578</v>
      </c>
      <c r="G1215" s="1087">
        <v>0.96442904504663052</v>
      </c>
      <c r="H1215" s="1087">
        <v>1.0229412627285295</v>
      </c>
      <c r="I1215" s="1087">
        <v>1.0068278015091008</v>
      </c>
      <c r="K1215">
        <v>1.8590129760197704</v>
      </c>
      <c r="L1215">
        <v>0</v>
      </c>
      <c r="M1215">
        <v>3.6162786451330925E-3</v>
      </c>
      <c r="N1215">
        <v>0.34414391605959477</v>
      </c>
      <c r="O1215">
        <v>0.23929099739478218</v>
      </c>
      <c r="P1215">
        <v>1.3361748874007933E-2</v>
      </c>
      <c r="Q1215">
        <v>1.5448631433829182E-3</v>
      </c>
      <c r="R1215">
        <v>3.6101956981599011E-3</v>
      </c>
      <c r="S1215">
        <v>0.36203109479398005</v>
      </c>
      <c r="T1215">
        <v>0.41681817132872928</v>
      </c>
      <c r="U1215">
        <v>0</v>
      </c>
      <c r="V1215">
        <v>0.19990330613245166</v>
      </c>
      <c r="W1215">
        <v>0.21911272981508398</v>
      </c>
      <c r="X1215">
        <v>5.2986468835032677E-2</v>
      </c>
      <c r="Y1215">
        <v>9.8257625896991975E-3</v>
      </c>
    </row>
    <row r="1216" spans="1:25" x14ac:dyDescent="0.25">
      <c r="A1216" s="1083"/>
      <c r="B1216" s="1455">
        <v>966</v>
      </c>
      <c r="C1216" s="1087">
        <v>1.0266916224464875</v>
      </c>
      <c r="D1216" s="1087">
        <v>0.98431090091514739</v>
      </c>
      <c r="E1216" s="1087">
        <v>1.0034129036038582</v>
      </c>
      <c r="F1216" s="1087">
        <v>1.0088801372447618</v>
      </c>
      <c r="G1216" s="1087">
        <v>1.03897425779318</v>
      </c>
      <c r="H1216" s="1087">
        <v>1.0091145104044168</v>
      </c>
      <c r="I1216" s="1087">
        <v>1.0001239674699942</v>
      </c>
      <c r="K1216">
        <v>1.8428682377413639</v>
      </c>
      <c r="L1216">
        <v>0</v>
      </c>
      <c r="M1216">
        <v>3.5801073971412725E-3</v>
      </c>
      <c r="N1216">
        <v>0.34350250848981123</v>
      </c>
      <c r="O1216">
        <v>0.2382160087714576</v>
      </c>
      <c r="P1216">
        <v>1.3205486937187174E-2</v>
      </c>
      <c r="Q1216">
        <v>1.5579690031560735E-3</v>
      </c>
      <c r="R1216">
        <v>3.5740239412976236E-3</v>
      </c>
      <c r="S1216">
        <v>0.36050478276011672</v>
      </c>
      <c r="T1216">
        <v>0.40629059039342535</v>
      </c>
      <c r="U1216">
        <v>0</v>
      </c>
      <c r="V1216">
        <v>0.19857643080293136</v>
      </c>
      <c r="W1216">
        <v>0.21833779399378977</v>
      </c>
      <c r="X1216">
        <v>5.2955435053794547E-2</v>
      </c>
      <c r="Y1216">
        <v>9.7273149915365238E-3</v>
      </c>
    </row>
    <row r="1217" spans="1:25" x14ac:dyDescent="0.25">
      <c r="A1217" s="1083"/>
      <c r="B1217" s="1455">
        <v>967</v>
      </c>
      <c r="C1217" s="1087">
        <v>1.0438711920203938</v>
      </c>
      <c r="D1217" s="1087">
        <v>0.99909592791825219</v>
      </c>
      <c r="E1217" s="1087">
        <v>1.0294377201695357</v>
      </c>
      <c r="F1217" s="1087">
        <v>0.99888208059084549</v>
      </c>
      <c r="G1217" s="1087">
        <v>1.0124780437176855</v>
      </c>
      <c r="H1217" s="1087">
        <v>0.95946154492142877</v>
      </c>
      <c r="I1217" s="1087">
        <v>1.0212303596862047</v>
      </c>
      <c r="K1217">
        <v>1.7908928124613201</v>
      </c>
      <c r="L1217">
        <v>0</v>
      </c>
      <c r="M1217">
        <v>3.1479010102057029E-3</v>
      </c>
      <c r="N1217">
        <v>0.32693783018399064</v>
      </c>
      <c r="O1217">
        <v>0.23394117402026435</v>
      </c>
      <c r="P1217">
        <v>1.3222016587784215E-2</v>
      </c>
      <c r="Q1217">
        <v>1.5656839337312568E-3</v>
      </c>
      <c r="R1217">
        <v>3.1422623589677837E-3</v>
      </c>
      <c r="S1217">
        <v>0.35051505019001727</v>
      </c>
      <c r="T1217">
        <v>0.40242355918429268</v>
      </c>
      <c r="U1217">
        <v>0</v>
      </c>
      <c r="V1217">
        <v>0.19533781465075101</v>
      </c>
      <c r="W1217">
        <v>0.20449776567350769</v>
      </c>
      <c r="X1217">
        <v>5.390535439361626E-2</v>
      </c>
      <c r="Y1217">
        <v>8.5522022946020633E-3</v>
      </c>
    </row>
    <row r="1218" spans="1:25" x14ac:dyDescent="0.25">
      <c r="A1218" s="1083"/>
      <c r="B1218" s="1455">
        <v>968</v>
      </c>
      <c r="C1218" s="1087">
        <v>0.97862544823171604</v>
      </c>
      <c r="D1218" s="1087">
        <v>1.0345636097810667</v>
      </c>
      <c r="E1218" s="1087">
        <v>1.0377810336841293</v>
      </c>
      <c r="F1218" s="1087">
        <v>0.96794820519971791</v>
      </c>
      <c r="G1218" s="1087">
        <v>1.0375688285834488</v>
      </c>
      <c r="H1218" s="1087">
        <v>1.0059141148118462</v>
      </c>
      <c r="I1218" s="1087">
        <v>1.0073337336671102</v>
      </c>
      <c r="K1218">
        <v>1.8600126806076087</v>
      </c>
      <c r="L1218">
        <v>0</v>
      </c>
      <c r="M1218">
        <v>3.396836982060206E-3</v>
      </c>
      <c r="N1218">
        <v>0.36189450682664814</v>
      </c>
      <c r="O1218">
        <v>0.23473166372441659</v>
      </c>
      <c r="P1218">
        <v>1.3441231181239226E-2</v>
      </c>
      <c r="Q1218">
        <v>1.6613814872542712E-3</v>
      </c>
      <c r="R1218">
        <v>3.3910066199457538E-3</v>
      </c>
      <c r="S1218">
        <v>0.37042536452036146</v>
      </c>
      <c r="T1218">
        <v>0.39001118610680902</v>
      </c>
      <c r="U1218">
        <v>0</v>
      </c>
      <c r="V1218">
        <v>0.19775585170794935</v>
      </c>
      <c r="W1218">
        <v>0.22521517859881685</v>
      </c>
      <c r="X1218">
        <v>5.565294464176767E-2</v>
      </c>
      <c r="Y1218">
        <v>9.2292021744605039E-3</v>
      </c>
    </row>
    <row r="1219" spans="1:25" x14ac:dyDescent="0.25">
      <c r="A1219" s="1083"/>
      <c r="B1219" s="1455">
        <v>969</v>
      </c>
      <c r="C1219" s="1087">
        <v>1.0067319322815913</v>
      </c>
      <c r="D1219" s="1087">
        <v>0.98088255160767113</v>
      </c>
      <c r="E1219" s="1087">
        <v>1.0260421915398945</v>
      </c>
      <c r="F1219" s="1087">
        <v>1.0212629772357047</v>
      </c>
      <c r="G1219" s="1087">
        <v>1.0143237970680445</v>
      </c>
      <c r="H1219" s="1087">
        <v>0.97677888620884457</v>
      </c>
      <c r="I1219" s="1087">
        <v>0.95885928594008718</v>
      </c>
      <c r="K1219">
        <v>1.8492184249385091</v>
      </c>
      <c r="L1219">
        <v>0</v>
      </c>
      <c r="M1219">
        <v>3.3805340227599117E-3</v>
      </c>
      <c r="N1219">
        <v>0.34749959053989443</v>
      </c>
      <c r="O1219">
        <v>0.24273636897453629</v>
      </c>
      <c r="P1219">
        <v>1.336998476387229E-2</v>
      </c>
      <c r="Q1219">
        <v>1.629611807188121E-3</v>
      </c>
      <c r="R1219">
        <v>3.3746029435747765E-3</v>
      </c>
      <c r="S1219">
        <v>0.34778267911744143</v>
      </c>
      <c r="T1219">
        <v>0.41141882002968078</v>
      </c>
      <c r="U1219">
        <v>0</v>
      </c>
      <c r="V1219">
        <v>0.20205896003466101</v>
      </c>
      <c r="W1219">
        <v>0.21781115831852452</v>
      </c>
      <c r="X1219">
        <v>5.5732625657045738E-2</v>
      </c>
      <c r="Y1219">
        <v>9.184556774849164E-3</v>
      </c>
    </row>
    <row r="1220" spans="1:25" x14ac:dyDescent="0.25">
      <c r="A1220" s="1083"/>
      <c r="B1220" s="1455">
        <v>970</v>
      </c>
      <c r="C1220" s="1087">
        <v>1.0037659541649062</v>
      </c>
      <c r="D1220" s="1087">
        <v>1.0063805828265777</v>
      </c>
      <c r="E1220" s="1087">
        <v>1.0069547685377149</v>
      </c>
      <c r="F1220" s="1087">
        <v>1.0258473502828445</v>
      </c>
      <c r="G1220" s="1087">
        <v>1.0026623986317198</v>
      </c>
      <c r="H1220" s="1087">
        <v>0.98575175146660254</v>
      </c>
      <c r="I1220" s="1087">
        <v>0.99689560344278383</v>
      </c>
      <c r="K1220">
        <v>1.8483266690238631</v>
      </c>
      <c r="L1220">
        <v>0</v>
      </c>
      <c r="M1220">
        <v>3.5088295713531794E-3</v>
      </c>
      <c r="N1220">
        <v>0.34030521316646101</v>
      </c>
      <c r="O1220">
        <v>0.24074495462122236</v>
      </c>
      <c r="P1220">
        <v>1.3349067957998685E-2</v>
      </c>
      <c r="Q1220">
        <v>1.5854373582377154E-3</v>
      </c>
      <c r="R1220">
        <v>3.5027066748027687E-3</v>
      </c>
      <c r="S1220">
        <v>0.3588998803690962</v>
      </c>
      <c r="T1220">
        <v>0.41314562830227503</v>
      </c>
      <c r="U1220">
        <v>0</v>
      </c>
      <c r="V1220">
        <v>0.20126217520027043</v>
      </c>
      <c r="W1220">
        <v>0.21582921702596497</v>
      </c>
      <c r="X1220">
        <v>5.3678005017016917E-2</v>
      </c>
      <c r="Y1220">
        <v>9.5332129018681107E-3</v>
      </c>
    </row>
    <row r="1221" spans="1:25" x14ac:dyDescent="0.25">
      <c r="A1221" s="1083"/>
      <c r="B1221" s="1455">
        <v>971</v>
      </c>
      <c r="C1221" s="1087">
        <v>1.0239076696504528</v>
      </c>
      <c r="D1221" s="1087">
        <v>1.0144452578924761</v>
      </c>
      <c r="E1221" s="1087">
        <v>0.98252267851560471</v>
      </c>
      <c r="F1221" s="1087">
        <v>0.99527906866861637</v>
      </c>
      <c r="G1221" s="1087">
        <v>1.0350006765194861</v>
      </c>
      <c r="H1221" s="1087">
        <v>0.96914897325896465</v>
      </c>
      <c r="I1221" s="1087">
        <v>1.0034178413296768</v>
      </c>
      <c r="K1221">
        <v>1.7773112445596628</v>
      </c>
      <c r="L1221">
        <v>0</v>
      </c>
      <c r="M1221">
        <v>3.5395841460123096E-3</v>
      </c>
      <c r="N1221">
        <v>0.31860424548642824</v>
      </c>
      <c r="O1221">
        <v>0.23367910186106036</v>
      </c>
      <c r="P1221">
        <v>1.2739993523666128E-2</v>
      </c>
      <c r="Q1221">
        <v>1.509373584045943E-3</v>
      </c>
      <c r="R1221">
        <v>3.533294465388736E-3</v>
      </c>
      <c r="S1221">
        <v>0.34937808832458972</v>
      </c>
      <c r="T1221">
        <v>0.4006878984440157</v>
      </c>
      <c r="U1221">
        <v>0</v>
      </c>
      <c r="V1221">
        <v>0.1959879543319431</v>
      </c>
      <c r="W1221">
        <v>0.20518680980438794</v>
      </c>
      <c r="X1221">
        <v>4.9927606095568025E-2</v>
      </c>
      <c r="Y1221">
        <v>9.6164627845806549E-3</v>
      </c>
    </row>
    <row r="1222" spans="1:25" x14ac:dyDescent="0.25">
      <c r="A1222" s="1083"/>
      <c r="B1222" s="1455">
        <v>972</v>
      </c>
      <c r="C1222" s="1087">
        <v>0.96486009824499275</v>
      </c>
      <c r="D1222" s="1087">
        <v>1.0133770200331151</v>
      </c>
      <c r="E1222" s="1087">
        <v>1.0049711288770866</v>
      </c>
      <c r="F1222" s="1087">
        <v>0.99815234059702573</v>
      </c>
      <c r="G1222" s="1087">
        <v>1.0169519565874467</v>
      </c>
      <c r="H1222" s="1087">
        <v>0.99907496132969265</v>
      </c>
      <c r="I1222" s="1087">
        <v>1.0341791148711275</v>
      </c>
      <c r="K1222">
        <v>1.8976269846131528</v>
      </c>
      <c r="L1222">
        <v>0</v>
      </c>
      <c r="M1222">
        <v>3.7013966045821136E-3</v>
      </c>
      <c r="N1222">
        <v>0.35682364054246796</v>
      </c>
      <c r="O1222">
        <v>0.24161752456112393</v>
      </c>
      <c r="P1222">
        <v>1.3602138395445173E-2</v>
      </c>
      <c r="Q1222">
        <v>1.6413399017082674E-3</v>
      </c>
      <c r="R1222">
        <v>3.6950185923128307E-3</v>
      </c>
      <c r="S1222">
        <v>0.38843187132838269</v>
      </c>
      <c r="T1222">
        <v>0.40197980400236005</v>
      </c>
      <c r="U1222">
        <v>0</v>
      </c>
      <c r="V1222">
        <v>0.20280298682750436</v>
      </c>
      <c r="W1222">
        <v>0.22658498129772817</v>
      </c>
      <c r="X1222">
        <v>5.409245322297742E-2</v>
      </c>
      <c r="Y1222">
        <v>1.0056622545723929E-2</v>
      </c>
    </row>
    <row r="1223" spans="1:25" x14ac:dyDescent="0.25">
      <c r="A1223" s="1083"/>
      <c r="B1223" s="1455">
        <v>973</v>
      </c>
      <c r="C1223" s="1087">
        <v>0.98817471950261637</v>
      </c>
      <c r="D1223" s="1087">
        <v>0.95985683001335609</v>
      </c>
      <c r="E1223" s="1087">
        <v>1.0392525144594962</v>
      </c>
      <c r="F1223" s="1087">
        <v>1.0064543336593288</v>
      </c>
      <c r="G1223" s="1087">
        <v>1.0007422115953544</v>
      </c>
      <c r="H1223" s="1087">
        <v>0.99937457910805405</v>
      </c>
      <c r="I1223" s="1087">
        <v>0.98908788578289042</v>
      </c>
      <c r="K1223">
        <v>1.914579701509886</v>
      </c>
      <c r="L1223">
        <v>0</v>
      </c>
      <c r="M1223">
        <v>3.4693600839727982E-3</v>
      </c>
      <c r="N1223">
        <v>0.37128234162016427</v>
      </c>
      <c r="O1223">
        <v>0.24561715809172471</v>
      </c>
      <c r="P1223">
        <v>1.3815367391707358E-2</v>
      </c>
      <c r="Q1223">
        <v>1.6980091879425197E-3</v>
      </c>
      <c r="R1223">
        <v>3.463428322483246E-3</v>
      </c>
      <c r="S1223">
        <v>0.37425060561926005</v>
      </c>
      <c r="T1223">
        <v>0.40553550763298024</v>
      </c>
      <c r="U1223">
        <v>0</v>
      </c>
      <c r="V1223">
        <v>0.20403511521759204</v>
      </c>
      <c r="W1223">
        <v>0.23085113524288314</v>
      </c>
      <c r="X1223">
        <v>5.8074083092162068E-2</v>
      </c>
      <c r="Y1223">
        <v>9.4263101749597344E-3</v>
      </c>
    </row>
    <row r="1224" spans="1:25" x14ac:dyDescent="0.25">
      <c r="A1224" s="1083"/>
      <c r="B1224" s="1455">
        <v>974</v>
      </c>
      <c r="C1224" s="1087">
        <v>0.97988193566839443</v>
      </c>
      <c r="D1224" s="1087">
        <v>1.0325335957057407</v>
      </c>
      <c r="E1224" s="1087">
        <v>1.0316806221283117</v>
      </c>
      <c r="F1224" s="1087">
        <v>1.0238527935172939</v>
      </c>
      <c r="G1224" s="1087">
        <v>0.97089752049781475</v>
      </c>
      <c r="H1224" s="1087">
        <v>1.0327910964791742</v>
      </c>
      <c r="I1224" s="1087">
        <v>0.96843210347264985</v>
      </c>
      <c r="K1224">
        <v>1.8982002008623919</v>
      </c>
      <c r="L1224">
        <v>0</v>
      </c>
      <c r="M1224">
        <v>3.5306234683306638E-3</v>
      </c>
      <c r="N1224">
        <v>0.36924416021705114</v>
      </c>
      <c r="O1224">
        <v>0.24123515972496692</v>
      </c>
      <c r="P1224">
        <v>1.3626275401366119E-2</v>
      </c>
      <c r="Q1224">
        <v>1.6499858128338144E-3</v>
      </c>
      <c r="R1224">
        <v>3.5247224396992801E-3</v>
      </c>
      <c r="S1224">
        <v>0.36070981961289456</v>
      </c>
      <c r="T1224">
        <v>0.412497819824517</v>
      </c>
      <c r="U1224">
        <v>0</v>
      </c>
      <c r="V1224">
        <v>0.2024726807353785</v>
      </c>
      <c r="W1224">
        <v>0.2306440102223084</v>
      </c>
      <c r="X1224">
        <v>5.6533057783283484E-2</v>
      </c>
      <c r="Y1224">
        <v>9.5931325564214669E-3</v>
      </c>
    </row>
    <row r="1225" spans="1:25" x14ac:dyDescent="0.25">
      <c r="A1225" s="1083"/>
      <c r="B1225" s="1455">
        <v>975</v>
      </c>
      <c r="C1225" s="1087">
        <v>1.0410595474270374</v>
      </c>
      <c r="D1225" s="1087">
        <v>1.0204153153588675</v>
      </c>
      <c r="E1225" s="1087">
        <v>0.98811799608971995</v>
      </c>
      <c r="F1225" s="1087">
        <v>0.98803632970557453</v>
      </c>
      <c r="G1225" s="1087">
        <v>0.97382274201014662</v>
      </c>
      <c r="H1225" s="1087">
        <v>1.0301142374727943</v>
      </c>
      <c r="I1225" s="1087">
        <v>1.0049256661920096</v>
      </c>
      <c r="K1225">
        <v>1.7975031873585201</v>
      </c>
      <c r="L1225">
        <v>0</v>
      </c>
      <c r="M1225">
        <v>3.6460986987626718E-3</v>
      </c>
      <c r="N1225">
        <v>0.33388460101863465</v>
      </c>
      <c r="O1225">
        <v>0.2303692871479513</v>
      </c>
      <c r="P1225">
        <v>1.2776680916462094E-2</v>
      </c>
      <c r="Q1225">
        <v>1.4899502250067412E-3</v>
      </c>
      <c r="R1225">
        <v>3.6399972168177737E-3</v>
      </c>
      <c r="S1225">
        <v>0.35360988020168643</v>
      </c>
      <c r="T1225">
        <v>0.39780519971715789</v>
      </c>
      <c r="U1225">
        <v>0</v>
      </c>
      <c r="V1225">
        <v>0.19336095267631664</v>
      </c>
      <c r="W1225">
        <v>0.21426885675653357</v>
      </c>
      <c r="X1225">
        <v>5.0037007681294897E-2</v>
      </c>
      <c r="Y1225">
        <v>9.9068724994179451E-3</v>
      </c>
    </row>
    <row r="1226" spans="1:25" x14ac:dyDescent="0.25">
      <c r="A1226" s="1083"/>
      <c r="B1226" s="1455">
        <v>976</v>
      </c>
      <c r="C1226" s="1087">
        <v>1.0203840826888388</v>
      </c>
      <c r="D1226" s="1087">
        <v>1.0119440429019249</v>
      </c>
      <c r="E1226" s="1087">
        <v>1.0172272386598908</v>
      </c>
      <c r="F1226" s="1087">
        <v>1.0020763876483276</v>
      </c>
      <c r="G1226" s="1087">
        <v>0.9967006228009111</v>
      </c>
      <c r="H1226" s="1087">
        <v>0.97884251176522075</v>
      </c>
      <c r="I1226" s="1087">
        <v>1.0046694768519198</v>
      </c>
      <c r="K1226">
        <v>1.8132271951368901</v>
      </c>
      <c r="L1226">
        <v>0</v>
      </c>
      <c r="M1226">
        <v>3.3459796086095588E-3</v>
      </c>
      <c r="N1226">
        <v>0.33483132753500999</v>
      </c>
      <c r="O1226">
        <v>0.23560894006406038</v>
      </c>
      <c r="P1226">
        <v>1.3190711183084219E-2</v>
      </c>
      <c r="Q1226">
        <v>1.5732018154129654E-3</v>
      </c>
      <c r="R1226">
        <v>3.3400948972791716E-3</v>
      </c>
      <c r="S1226">
        <v>0.35360582167790722</v>
      </c>
      <c r="T1226">
        <v>0.40363511065300706</v>
      </c>
      <c r="U1226">
        <v>0</v>
      </c>
      <c r="V1226">
        <v>0.19726200900074078</v>
      </c>
      <c r="W1226">
        <v>0.21101114961097261</v>
      </c>
      <c r="X1226">
        <v>5.3424171059616679E-2</v>
      </c>
      <c r="Y1226">
        <v>9.0906372484069343E-3</v>
      </c>
    </row>
    <row r="1227" spans="1:25" x14ac:dyDescent="0.25">
      <c r="A1227" s="1083"/>
      <c r="B1227" s="1455">
        <v>977</v>
      </c>
      <c r="C1227" s="1087">
        <v>0.98679780388648286</v>
      </c>
      <c r="D1227" s="1087">
        <v>0.99806073040572818</v>
      </c>
      <c r="E1227" s="1087">
        <v>1.0009833399075392</v>
      </c>
      <c r="F1227" s="1087">
        <v>1.0061534366707043</v>
      </c>
      <c r="G1227" s="1087">
        <v>0.98949567748904432</v>
      </c>
      <c r="H1227" s="1087">
        <v>0.98691730233367359</v>
      </c>
      <c r="I1227" s="1087">
        <v>0.98561773926667717</v>
      </c>
      <c r="K1227">
        <v>1.8555801488648358</v>
      </c>
      <c r="L1227">
        <v>0</v>
      </c>
      <c r="M1227">
        <v>3.6341234495928872E-3</v>
      </c>
      <c r="N1227">
        <v>0.34609557956334397</v>
      </c>
      <c r="O1227">
        <v>0.24129037107187731</v>
      </c>
      <c r="P1227">
        <v>1.3241934473034232E-2</v>
      </c>
      <c r="Q1227">
        <v>1.6078211065231323E-3</v>
      </c>
      <c r="R1227">
        <v>3.6277977084633634E-3</v>
      </c>
      <c r="S1227">
        <v>0.36277358114831998</v>
      </c>
      <c r="T1227">
        <v>0.4051776738746124</v>
      </c>
      <c r="U1227">
        <v>0</v>
      </c>
      <c r="V1227">
        <v>0.20183565395274863</v>
      </c>
      <c r="W1227">
        <v>0.22031965750012839</v>
      </c>
      <c r="X1227">
        <v>5.337053245613417E-2</v>
      </c>
      <c r="Y1227">
        <v>9.8736694592440871E-3</v>
      </c>
    </row>
    <row r="1228" spans="1:25" x14ac:dyDescent="0.25">
      <c r="A1228" s="1083"/>
      <c r="B1228" s="1455">
        <v>978</v>
      </c>
      <c r="C1228" s="1087">
        <v>1.0068366934716313</v>
      </c>
      <c r="D1228" s="1087">
        <v>1.0285858725496202</v>
      </c>
      <c r="E1228" s="1087">
        <v>1.0161444539281856</v>
      </c>
      <c r="F1228" s="1087">
        <v>1.0058352388818805</v>
      </c>
      <c r="G1228" s="1087">
        <v>1.000346422345463</v>
      </c>
      <c r="H1228" s="1087">
        <v>0.97777631295221046</v>
      </c>
      <c r="I1228" s="1087">
        <v>1.007653971633133</v>
      </c>
      <c r="K1228">
        <v>1.81997577897523</v>
      </c>
      <c r="L1228">
        <v>0</v>
      </c>
      <c r="M1228">
        <v>3.3650587948837389E-3</v>
      </c>
      <c r="N1228">
        <v>0.3356290615664641</v>
      </c>
      <c r="O1228">
        <v>0.23600718802525111</v>
      </c>
      <c r="P1228">
        <v>1.3246071271382274E-2</v>
      </c>
      <c r="Q1228">
        <v>1.5821901129594675E-3</v>
      </c>
      <c r="R1228">
        <v>3.3591205161732644E-3</v>
      </c>
      <c r="S1228">
        <v>0.35600193837646643</v>
      </c>
      <c r="T1228">
        <v>0.40514249462864188</v>
      </c>
      <c r="U1228">
        <v>0</v>
      </c>
      <c r="V1228">
        <v>0.1981268973387553</v>
      </c>
      <c r="W1228">
        <v>0.2116552479169917</v>
      </c>
      <c r="X1228">
        <v>5.344820930578581E-2</v>
      </c>
      <c r="Y1228">
        <v>9.1424187112430708E-3</v>
      </c>
    </row>
    <row r="1229" spans="1:25" x14ac:dyDescent="0.25">
      <c r="A1229" s="1083"/>
      <c r="B1229" s="1455">
        <v>979</v>
      </c>
      <c r="C1229" s="1087">
        <v>1.0265729695318391</v>
      </c>
      <c r="D1229" s="1087">
        <v>0.98487035424608849</v>
      </c>
      <c r="E1229" s="1087">
        <v>1.0033698387146623</v>
      </c>
      <c r="F1229" s="1087">
        <v>1.0129908101839271</v>
      </c>
      <c r="G1229" s="1087">
        <v>1.0198708277314905</v>
      </c>
      <c r="H1229" s="1087">
        <v>0.97146417687550424</v>
      </c>
      <c r="I1229" s="1087">
        <v>1.0350251852571297</v>
      </c>
      <c r="K1229">
        <v>1.8293121954063865</v>
      </c>
      <c r="L1229">
        <v>0</v>
      </c>
      <c r="M1229">
        <v>3.4461167831078845E-3</v>
      </c>
      <c r="N1229">
        <v>0.33058113201160522</v>
      </c>
      <c r="O1229">
        <v>0.2386442432315467</v>
      </c>
      <c r="P1229">
        <v>1.3308243051638281E-2</v>
      </c>
      <c r="Q1229">
        <v>1.5577236153907386E-3</v>
      </c>
      <c r="R1229">
        <v>3.4400334706575536E-3</v>
      </c>
      <c r="S1229">
        <v>0.36606419150569158</v>
      </c>
      <c r="T1229">
        <v>0.40794575274352868</v>
      </c>
      <c r="U1229">
        <v>0</v>
      </c>
      <c r="V1229">
        <v>0.19890449940505645</v>
      </c>
      <c r="W1229">
        <v>0.21013032092657558</v>
      </c>
      <c r="X1229">
        <v>5.2819535127400813E-2</v>
      </c>
      <c r="Y1229">
        <v>9.3626371004010278E-3</v>
      </c>
    </row>
    <row r="1230" spans="1:25" x14ac:dyDescent="0.25">
      <c r="A1230" s="1083"/>
      <c r="B1230" s="1455">
        <v>980</v>
      </c>
      <c r="C1230" s="1087">
        <v>1.0363674338830602</v>
      </c>
      <c r="D1230" s="1087">
        <v>0.99617835570266533</v>
      </c>
      <c r="E1230" s="1087">
        <v>1.0133986518173737</v>
      </c>
      <c r="F1230" s="1087">
        <v>1.0086447624082417</v>
      </c>
      <c r="G1230" s="1087">
        <v>1.001438443582404</v>
      </c>
      <c r="H1230" s="1087">
        <v>0.97442172791128978</v>
      </c>
      <c r="I1230" s="1087">
        <v>1.0092308008856692</v>
      </c>
      <c r="K1230">
        <v>1.805949470589771</v>
      </c>
      <c r="L1230">
        <v>0</v>
      </c>
      <c r="M1230">
        <v>3.3332408054181592E-3</v>
      </c>
      <c r="N1230">
        <v>0.32968497372206973</v>
      </c>
      <c r="O1230">
        <v>0.23598820222793265</v>
      </c>
      <c r="P1230">
        <v>1.3162985554963863E-2</v>
      </c>
      <c r="Q1230">
        <v>1.5524023324902988E-3</v>
      </c>
      <c r="R1230">
        <v>3.3273643952553139E-3</v>
      </c>
      <c r="S1230">
        <v>0.35194717245311652</v>
      </c>
      <c r="T1230">
        <v>0.40625719270714805</v>
      </c>
      <c r="U1230">
        <v>0</v>
      </c>
      <c r="V1230">
        <v>0.19697821463381532</v>
      </c>
      <c r="W1230">
        <v>0.20825983019664854</v>
      </c>
      <c r="X1230">
        <v>5.306838415324152E-2</v>
      </c>
      <c r="Y1230">
        <v>9.0559890185068579E-3</v>
      </c>
    </row>
    <row r="1231" spans="1:25" x14ac:dyDescent="0.25">
      <c r="A1231" s="1083"/>
      <c r="B1231" s="1455">
        <v>981</v>
      </c>
      <c r="C1231" s="1087">
        <v>0.9822428795286321</v>
      </c>
      <c r="D1231" s="1087">
        <v>1.0210094973691928</v>
      </c>
      <c r="E1231" s="1087">
        <v>0.99000933687316517</v>
      </c>
      <c r="F1231" s="1087">
        <v>0.96234536993033437</v>
      </c>
      <c r="G1231" s="1087">
        <v>1.0102289151678168</v>
      </c>
      <c r="H1231" s="1087">
        <v>0.99640550238165748</v>
      </c>
      <c r="I1231" s="1087">
        <v>0.97770283605996744</v>
      </c>
      <c r="K1231">
        <v>1.8157129988231444</v>
      </c>
      <c r="L1231">
        <v>0</v>
      </c>
      <c r="M1231">
        <v>3.7232982831890663E-3</v>
      </c>
      <c r="N1231">
        <v>0.34290984293946769</v>
      </c>
      <c r="O1231">
        <v>0.23420898352741815</v>
      </c>
      <c r="P1231">
        <v>1.2774935993868159E-2</v>
      </c>
      <c r="Q1231">
        <v>1.5820038987674708E-3</v>
      </c>
      <c r="R1231">
        <v>3.7168578721634483E-3</v>
      </c>
      <c r="S1231">
        <v>0.35856454288596856</v>
      </c>
      <c r="T1231">
        <v>0.38747239527279198</v>
      </c>
      <c r="U1231">
        <v>0</v>
      </c>
      <c r="V1231">
        <v>0.19726358923495074</v>
      </c>
      <c r="W1231">
        <v>0.21979871075809984</v>
      </c>
      <c r="X1231">
        <v>5.1028372856678113E-2</v>
      </c>
      <c r="Y1231">
        <v>1.0116061866160642E-2</v>
      </c>
    </row>
    <row r="1232" spans="1:25" x14ac:dyDescent="0.25">
      <c r="A1232" s="1083"/>
      <c r="B1232" s="1455">
        <v>982</v>
      </c>
      <c r="C1232" s="1087">
        <v>1.0129364667671386</v>
      </c>
      <c r="D1232" s="1087">
        <v>0.99955334291764086</v>
      </c>
      <c r="E1232" s="1087">
        <v>1.0155064237657716</v>
      </c>
      <c r="F1232" s="1087">
        <v>0.9831241313404836</v>
      </c>
      <c r="G1232" s="1087">
        <v>1.0113639103765049</v>
      </c>
      <c r="H1232" s="1087">
        <v>1.0252243304482496</v>
      </c>
      <c r="I1232" s="1087">
        <v>0.99730778691418975</v>
      </c>
      <c r="K1232">
        <v>1.8501358472576228</v>
      </c>
      <c r="L1232">
        <v>0</v>
      </c>
      <c r="M1232">
        <v>3.5668575137481786E-3</v>
      </c>
      <c r="N1232">
        <v>0.35509665845317873</v>
      </c>
      <c r="O1232">
        <v>0.23547238328398207</v>
      </c>
      <c r="P1232">
        <v>1.3213440276066763E-2</v>
      </c>
      <c r="Q1232">
        <v>1.5897047179736349E-3</v>
      </c>
      <c r="R1232">
        <v>3.5608791899766857E-3</v>
      </c>
      <c r="S1232">
        <v>0.36430558181816958</v>
      </c>
      <c r="T1232">
        <v>0.39599079672206955</v>
      </c>
      <c r="U1232">
        <v>0</v>
      </c>
      <c r="V1232">
        <v>0.19705873128601251</v>
      </c>
      <c r="W1232">
        <v>0.22402018781263094</v>
      </c>
      <c r="X1232">
        <v>5.3702801899701967E-2</v>
      </c>
      <c r="Y1232">
        <v>9.6915393116070378E-3</v>
      </c>
    </row>
    <row r="1233" spans="1:25" x14ac:dyDescent="0.25">
      <c r="A1233" s="1083"/>
      <c r="B1233" s="1455">
        <v>983</v>
      </c>
      <c r="C1233" s="1087">
        <v>0.98601020547544527</v>
      </c>
      <c r="D1233" s="1087">
        <v>1.0084652134736849</v>
      </c>
      <c r="E1233" s="1087">
        <v>0.99834110969497214</v>
      </c>
      <c r="F1233" s="1087">
        <v>1.0083076104537341</v>
      </c>
      <c r="G1233" s="1087">
        <v>1.0448192696074305</v>
      </c>
      <c r="H1233" s="1087">
        <v>0.98249241975809409</v>
      </c>
      <c r="I1233" s="1087">
        <v>0.99918470678234717</v>
      </c>
      <c r="K1233">
        <v>1.8509366694159526</v>
      </c>
      <c r="L1233">
        <v>0</v>
      </c>
      <c r="M1233">
        <v>3.6200256931855361E-3</v>
      </c>
      <c r="N1233">
        <v>0.34198069817288063</v>
      </c>
      <c r="O1233">
        <v>0.24057062874089996</v>
      </c>
      <c r="P1233">
        <v>1.3255365101812772E-2</v>
      </c>
      <c r="Q1233">
        <v>1.5979380554660202E-3</v>
      </c>
      <c r="R1233">
        <v>3.6136869415239765E-3</v>
      </c>
      <c r="S1233">
        <v>0.36511535757441066</v>
      </c>
      <c r="T1233">
        <v>0.40602902013360498</v>
      </c>
      <c r="U1233">
        <v>0</v>
      </c>
      <c r="V1233">
        <v>0.20154059796822665</v>
      </c>
      <c r="W1233">
        <v>0.21805997599623642</v>
      </c>
      <c r="X1233">
        <v>5.2958161820828298E-2</v>
      </c>
      <c r="Y1233">
        <v>9.8352646032481457E-3</v>
      </c>
    </row>
    <row r="1234" spans="1:25" x14ac:dyDescent="0.25">
      <c r="A1234" s="1083"/>
      <c r="B1234" s="1455">
        <v>984</v>
      </c>
      <c r="C1234" s="1087">
        <v>0.97173192466037217</v>
      </c>
      <c r="D1234" s="1087">
        <v>0.98071309390716011</v>
      </c>
      <c r="E1234" s="1087">
        <v>1.0258521928311453</v>
      </c>
      <c r="F1234" s="1087">
        <v>1.0235463348835234</v>
      </c>
      <c r="G1234" s="1087">
        <v>1.0275996157268155</v>
      </c>
      <c r="H1234" s="1087">
        <v>0.9753101155680548</v>
      </c>
      <c r="I1234" s="1087">
        <v>1.0141707170398579</v>
      </c>
      <c r="K1234">
        <v>1.9136046992274391</v>
      </c>
      <c r="L1234">
        <v>0</v>
      </c>
      <c r="M1234">
        <v>3.498859449560647E-3</v>
      </c>
      <c r="N1234">
        <v>0.35945377329241956</v>
      </c>
      <c r="O1234">
        <v>0.2474019915258078</v>
      </c>
      <c r="P1234">
        <v>1.3897501526065965E-2</v>
      </c>
      <c r="Q1234">
        <v>1.6880868660584677E-3</v>
      </c>
      <c r="R1234">
        <v>3.4927119207515201E-3</v>
      </c>
      <c r="S1234">
        <v>0.38085397376912927</v>
      </c>
      <c r="T1234">
        <v>0.41233747768465417</v>
      </c>
      <c r="U1234">
        <v>0</v>
      </c>
      <c r="V1234">
        <v>0.20613058719027755</v>
      </c>
      <c r="W1234">
        <v>0.22533021874318726</v>
      </c>
      <c r="X1234">
        <v>5.701122568253849E-2</v>
      </c>
      <c r="Y1234">
        <v>9.5060104761103981E-3</v>
      </c>
    </row>
    <row r="1235" spans="1:25" x14ac:dyDescent="0.25">
      <c r="A1235" s="1083"/>
      <c r="B1235" s="1455">
        <v>985</v>
      </c>
      <c r="C1235" s="1087">
        <v>0.99144269921907424</v>
      </c>
      <c r="D1235" s="1087">
        <v>1.0339408534013186</v>
      </c>
      <c r="E1235" s="1087">
        <v>1.0279331392352005</v>
      </c>
      <c r="F1235" s="1087">
        <v>1.0420060333363848</v>
      </c>
      <c r="G1235" s="1087">
        <v>0.99726509909132111</v>
      </c>
      <c r="H1235" s="1087">
        <v>1.0242120887158561</v>
      </c>
      <c r="I1235" s="1087">
        <v>0.99419545145360178</v>
      </c>
      <c r="K1235">
        <v>1.8947020878183174</v>
      </c>
      <c r="L1235">
        <v>0</v>
      </c>
      <c r="M1235">
        <v>3.4835599062146092E-3</v>
      </c>
      <c r="N1235">
        <v>0.36018296518610204</v>
      </c>
      <c r="O1235">
        <v>0.24162038501085475</v>
      </c>
      <c r="P1235">
        <v>1.3739517235077048E-2</v>
      </c>
      <c r="Q1235">
        <v>1.6234612030409238E-3</v>
      </c>
      <c r="R1235">
        <v>3.4776858021057142E-3</v>
      </c>
      <c r="S1235">
        <v>0.36407863375421867</v>
      </c>
      <c r="T1235">
        <v>0.41978738600712734</v>
      </c>
      <c r="U1235">
        <v>0</v>
      </c>
      <c r="V1235">
        <v>0.20260357425551576</v>
      </c>
      <c r="W1235">
        <v>0.22549979594959305</v>
      </c>
      <c r="X1235">
        <v>5.6107128986382086E-2</v>
      </c>
      <c r="Y1235">
        <v>9.4651143345151935E-3</v>
      </c>
    </row>
    <row r="1236" spans="1:25" x14ac:dyDescent="0.25">
      <c r="A1236" s="1083"/>
      <c r="B1236" s="1455">
        <v>986</v>
      </c>
      <c r="C1236" s="1087">
        <v>0.99100968333690576</v>
      </c>
      <c r="D1236" s="1087">
        <v>1.0061526156389917</v>
      </c>
      <c r="E1236" s="1087">
        <v>1.0152190823566019</v>
      </c>
      <c r="F1236" s="1087">
        <v>1.0055675412097487</v>
      </c>
      <c r="G1236" s="1087">
        <v>1.0072841824394902</v>
      </c>
      <c r="H1236" s="1087">
        <v>0.98773813911075992</v>
      </c>
      <c r="I1236" s="1087">
        <v>0.98611038094318915</v>
      </c>
      <c r="K1236">
        <v>1.8532256001388243</v>
      </c>
      <c r="L1236">
        <v>0</v>
      </c>
      <c r="M1236">
        <v>3.5022812804679053E-3</v>
      </c>
      <c r="N1236">
        <v>0.34833982153018916</v>
      </c>
      <c r="O1236">
        <v>0.24010773228947954</v>
      </c>
      <c r="P1236">
        <v>1.3331586569191516E-2</v>
      </c>
      <c r="Q1236">
        <v>1.6201144417050633E-3</v>
      </c>
      <c r="R1236">
        <v>3.4961831535550215E-3</v>
      </c>
      <c r="S1236">
        <v>0.36010775219708002</v>
      </c>
      <c r="T1236">
        <v>0.40502896763307705</v>
      </c>
      <c r="U1236">
        <v>0</v>
      </c>
      <c r="V1236">
        <v>0.20098383496376424</v>
      </c>
      <c r="W1236">
        <v>0.21979650093147232</v>
      </c>
      <c r="X1236">
        <v>5.439992968226634E-2</v>
      </c>
      <c r="Y1236">
        <v>9.5154580275099432E-3</v>
      </c>
    </row>
    <row r="1237" spans="1:25" x14ac:dyDescent="0.25">
      <c r="A1237" s="1083"/>
      <c r="B1237" s="1455">
        <v>987</v>
      </c>
      <c r="C1237" s="1087">
        <v>0.99263468020984535</v>
      </c>
      <c r="D1237" s="1087">
        <v>0.99921852308102288</v>
      </c>
      <c r="E1237" s="1087">
        <v>1.0312394950154828</v>
      </c>
      <c r="F1237" s="1087">
        <v>0.97178725566605517</v>
      </c>
      <c r="G1237" s="1087">
        <v>1.0081233348621954</v>
      </c>
      <c r="H1237" s="1087">
        <v>0.98239529969286576</v>
      </c>
      <c r="I1237" s="1087">
        <v>1.0392037548841702</v>
      </c>
      <c r="K1237">
        <v>1.8588229788991395</v>
      </c>
      <c r="L1237">
        <v>0</v>
      </c>
      <c r="M1237">
        <v>3.3772816475193175E-3</v>
      </c>
      <c r="N1237">
        <v>0.35270560685332081</v>
      </c>
      <c r="O1237">
        <v>0.23677566583495285</v>
      </c>
      <c r="P1237">
        <v>1.3533300147055182E-2</v>
      </c>
      <c r="Q1237">
        <v>1.6495335013608696E-3</v>
      </c>
      <c r="R1237">
        <v>3.3713741535063417E-3</v>
      </c>
      <c r="S1237">
        <v>0.37947969296092726</v>
      </c>
      <c r="T1237">
        <v>0.39151859431607666</v>
      </c>
      <c r="U1237">
        <v>0</v>
      </c>
      <c r="V1237">
        <v>0.19833049668987579</v>
      </c>
      <c r="W1237">
        <v>0.22037271515623735</v>
      </c>
      <c r="X1237">
        <v>5.5287511860692966E-2</v>
      </c>
      <c r="Y1237">
        <v>9.1757690726532448E-3</v>
      </c>
    </row>
    <row r="1238" spans="1:25" x14ac:dyDescent="0.25">
      <c r="A1238" s="1083"/>
      <c r="B1238" s="1455">
        <v>988</v>
      </c>
      <c r="C1238" s="1087">
        <v>1.0313573755282677</v>
      </c>
      <c r="D1238" s="1087">
        <v>0.99773113305723093</v>
      </c>
      <c r="E1238" s="1087">
        <v>0.97510591083996001</v>
      </c>
      <c r="F1238" s="1087">
        <v>0.98165817327804694</v>
      </c>
      <c r="G1238" s="1087">
        <v>0.99810569396268578</v>
      </c>
      <c r="H1238" s="1087">
        <v>0.96950603440525762</v>
      </c>
      <c r="I1238" s="1087">
        <v>0.96988979231000694</v>
      </c>
      <c r="K1238">
        <v>1.7558927404509996</v>
      </c>
      <c r="L1238">
        <v>0</v>
      </c>
      <c r="M1238">
        <v>3.6013052577375136E-3</v>
      </c>
      <c r="N1238">
        <v>0.31689580001489842</v>
      </c>
      <c r="O1238">
        <v>0.2327647848835129</v>
      </c>
      <c r="P1238">
        <v>1.2432131616013468E-2</v>
      </c>
      <c r="Q1238">
        <v>1.4964568759353594E-3</v>
      </c>
      <c r="R1238">
        <v>3.5949236091555089E-3</v>
      </c>
      <c r="S1238">
        <v>0.3383558885768827</v>
      </c>
      <c r="T1238">
        <v>0.39516084061288442</v>
      </c>
      <c r="U1238">
        <v>0</v>
      </c>
      <c r="V1238">
        <v>0.19489391663196531</v>
      </c>
      <c r="W1238">
        <v>0.20504980941757453</v>
      </c>
      <c r="X1238">
        <v>4.906529647203995E-2</v>
      </c>
      <c r="Y1238">
        <v>9.78419699787203E-3</v>
      </c>
    </row>
    <row r="1239" spans="1:25" x14ac:dyDescent="0.25">
      <c r="A1239" s="1083"/>
      <c r="B1239" s="1455">
        <v>989</v>
      </c>
      <c r="C1239" s="1087">
        <v>1.0219407129730766</v>
      </c>
      <c r="D1239" s="1087">
        <v>1.0254372796553153</v>
      </c>
      <c r="E1239" s="1087">
        <v>1.0162963123809177</v>
      </c>
      <c r="F1239" s="1087">
        <v>0.96278407221102003</v>
      </c>
      <c r="G1239" s="1087">
        <v>1.0173779793197262</v>
      </c>
      <c r="H1239" s="1087">
        <v>1.0073116339958841</v>
      </c>
      <c r="I1239" s="1087">
        <v>0.9815664282708656</v>
      </c>
      <c r="K1239">
        <v>1.7902853846278792</v>
      </c>
      <c r="L1239">
        <v>0</v>
      </c>
      <c r="M1239">
        <v>3.4203767689724935E-3</v>
      </c>
      <c r="N1239">
        <v>0.34132238675814708</v>
      </c>
      <c r="O1239">
        <v>0.22956852234922384</v>
      </c>
      <c r="P1239">
        <v>1.2818517084791271E-2</v>
      </c>
      <c r="Q1239">
        <v>1.5609689755066022E-3</v>
      </c>
      <c r="R1239">
        <v>3.4145209014003089E-3</v>
      </c>
      <c r="S1239">
        <v>0.34733423044906941</v>
      </c>
      <c r="T1239">
        <v>0.38780272053123083</v>
      </c>
      <c r="U1239">
        <v>0</v>
      </c>
      <c r="V1239">
        <v>0.19306663775536786</v>
      </c>
      <c r="W1239">
        <v>0.2152254117109289</v>
      </c>
      <c r="X1239">
        <v>5.2298644584085952E-2</v>
      </c>
      <c r="Y1239">
        <v>9.2932002970990014E-3</v>
      </c>
    </row>
    <row r="1240" spans="1:25" x14ac:dyDescent="0.25">
      <c r="A1240" s="1083"/>
      <c r="B1240" s="1455">
        <v>990</v>
      </c>
      <c r="C1240" s="1087">
        <v>1.0350816510139178</v>
      </c>
      <c r="D1240" s="1087">
        <v>0.98137463279069892</v>
      </c>
      <c r="E1240" s="1087">
        <v>0.98527598941430938</v>
      </c>
      <c r="F1240" s="1087">
        <v>1.0172406024993554</v>
      </c>
      <c r="G1240" s="1087">
        <v>1.0296018124957094</v>
      </c>
      <c r="H1240" s="1087">
        <v>0.97263529299483842</v>
      </c>
      <c r="I1240" s="1087">
        <v>0.99926967221552399</v>
      </c>
      <c r="K1240">
        <v>1.8031557662325559</v>
      </c>
      <c r="L1240">
        <v>0</v>
      </c>
      <c r="M1240">
        <v>3.5574240984823867E-3</v>
      </c>
      <c r="N1240">
        <v>0.32291978325745629</v>
      </c>
      <c r="O1240">
        <v>0.23822742848455344</v>
      </c>
      <c r="P1240">
        <v>1.2944221929288664E-2</v>
      </c>
      <c r="Q1240">
        <v>1.517488048623791E-3</v>
      </c>
      <c r="R1240">
        <v>3.5511546031743602E-3</v>
      </c>
      <c r="S1240">
        <v>0.35120294529146656</v>
      </c>
      <c r="T1240">
        <v>0.40954613344993823</v>
      </c>
      <c r="U1240">
        <v>0</v>
      </c>
      <c r="V1240">
        <v>0.19847173080666175</v>
      </c>
      <c r="W1240">
        <v>0.20760426995889805</v>
      </c>
      <c r="X1240">
        <v>5.1062962308937233E-2</v>
      </c>
      <c r="Y1240">
        <v>9.6650721920402867E-3</v>
      </c>
    </row>
    <row r="1241" spans="1:25" x14ac:dyDescent="0.25">
      <c r="A1241" s="1083"/>
      <c r="B1241" s="1455">
        <v>991</v>
      </c>
      <c r="C1241" s="1087">
        <v>0.98929226175114549</v>
      </c>
      <c r="D1241" s="1087">
        <v>1.0154564194653541</v>
      </c>
      <c r="E1241" s="1087">
        <v>0.99130730469481765</v>
      </c>
      <c r="F1241" s="1087">
        <v>0.98931911330832467</v>
      </c>
      <c r="G1241" s="1087">
        <v>1.0019902201718298</v>
      </c>
      <c r="H1241" s="1087">
        <v>0.99042232926039764</v>
      </c>
      <c r="I1241" s="1087">
        <v>0.97756864379806119</v>
      </c>
      <c r="K1241">
        <v>1.8243207252951572</v>
      </c>
      <c r="L1241">
        <v>0</v>
      </c>
      <c r="M1241">
        <v>3.675997655340124E-3</v>
      </c>
      <c r="N1241">
        <v>0.33989506877392323</v>
      </c>
      <c r="O1241">
        <v>0.23713662135452834</v>
      </c>
      <c r="P1241">
        <v>1.2925361414915067E-2</v>
      </c>
      <c r="Q1241">
        <v>1.5763505422692491E-3</v>
      </c>
      <c r="R1241">
        <v>3.6696061392387878E-3</v>
      </c>
      <c r="S1241">
        <v>0.35600236263672053</v>
      </c>
      <c r="T1241">
        <v>0.39834065411271419</v>
      </c>
      <c r="U1241">
        <v>0</v>
      </c>
      <c r="V1241">
        <v>0.19913575862557728</v>
      </c>
      <c r="W1241">
        <v>0.21768843349584457</v>
      </c>
      <c r="X1241">
        <v>5.1639047629094534E-2</v>
      </c>
      <c r="Y1241">
        <v>9.9874582256692882E-3</v>
      </c>
    </row>
    <row r="1242" spans="1:25" x14ac:dyDescent="0.25">
      <c r="A1242" s="1083"/>
      <c r="B1242" s="1455">
        <v>992</v>
      </c>
      <c r="C1242" s="1087">
        <v>1.01130979221286</v>
      </c>
      <c r="D1242" s="1087">
        <v>1.0025883283781531</v>
      </c>
      <c r="E1242" s="1087">
        <v>0.98231693825541655</v>
      </c>
      <c r="F1242" s="1087">
        <v>0.97650724968005753</v>
      </c>
      <c r="G1242" s="1087">
        <v>1.0129792083864533</v>
      </c>
      <c r="H1242" s="1087">
        <v>0.98035705829436282</v>
      </c>
      <c r="I1242" s="1087">
        <v>1.0128198007316536</v>
      </c>
      <c r="K1242">
        <v>1.7992398845256794</v>
      </c>
      <c r="L1242">
        <v>0</v>
      </c>
      <c r="M1242">
        <v>3.6501784541776118E-3</v>
      </c>
      <c r="N1242">
        <v>0.32836024932915786</v>
      </c>
      <c r="O1242">
        <v>0.2341131934413114</v>
      </c>
      <c r="P1242">
        <v>1.2802710138093356E-2</v>
      </c>
      <c r="Q1242">
        <v>1.5350397816110248E-3</v>
      </c>
      <c r="R1242">
        <v>3.6437777194376205E-3</v>
      </c>
      <c r="S1242">
        <v>0.36142502682064626</v>
      </c>
      <c r="T1242">
        <v>0.39312937821133659</v>
      </c>
      <c r="U1242">
        <v>0</v>
      </c>
      <c r="V1242">
        <v>0.19630254611307379</v>
      </c>
      <c r="W1242">
        <v>0.21149739919255187</v>
      </c>
      <c r="X1242">
        <v>5.0163580451329452E-2</v>
      </c>
      <c r="Y1242">
        <v>9.9171617813068099E-3</v>
      </c>
    </row>
    <row r="1243" spans="1:25" x14ac:dyDescent="0.25">
      <c r="A1243" s="1083"/>
      <c r="B1243" s="1455">
        <v>993</v>
      </c>
      <c r="C1243" s="1087">
        <v>0.99426955323596167</v>
      </c>
      <c r="D1243" s="1087">
        <v>0.98853164485394629</v>
      </c>
      <c r="E1243" s="1087">
        <v>0.98472630227310087</v>
      </c>
      <c r="F1243" s="1087">
        <v>1.0050308479188383</v>
      </c>
      <c r="G1243" s="1087">
        <v>0.98883967472576029</v>
      </c>
      <c r="H1243" s="1087">
        <v>0.98069007426333321</v>
      </c>
      <c r="I1243" s="1087">
        <v>0.98701705811452456</v>
      </c>
      <c r="K1243">
        <v>1.8391528268506137</v>
      </c>
      <c r="L1243">
        <v>0</v>
      </c>
      <c r="M1243">
        <v>3.724300124953988E-3</v>
      </c>
      <c r="N1243">
        <v>0.33750484921667662</v>
      </c>
      <c r="O1243">
        <v>0.24095956994983789</v>
      </c>
      <c r="P1243">
        <v>1.3045553846735933E-2</v>
      </c>
      <c r="Q1243">
        <v>1.5742622608053434E-3</v>
      </c>
      <c r="R1243">
        <v>3.7177849224902556E-3</v>
      </c>
      <c r="S1243">
        <v>0.36116542201278218</v>
      </c>
      <c r="T1243">
        <v>0.40462711405539425</v>
      </c>
      <c r="U1243">
        <v>0</v>
      </c>
      <c r="V1243">
        <v>0.20133694415041423</v>
      </c>
      <c r="W1243">
        <v>0.21705635384287392</v>
      </c>
      <c r="X1243">
        <v>5.1770687726007791E-2</v>
      </c>
      <c r="Y1243">
        <v>1.0118584991548158E-2</v>
      </c>
    </row>
    <row r="1244" spans="1:25" x14ac:dyDescent="0.25">
      <c r="A1244" s="1083"/>
      <c r="B1244" s="1455">
        <v>994</v>
      </c>
      <c r="C1244" s="1087">
        <v>1.0200617093791389</v>
      </c>
      <c r="D1244" s="1087">
        <v>0.97629607832937482</v>
      </c>
      <c r="E1244" s="1087">
        <v>1.0451934479450835</v>
      </c>
      <c r="F1244" s="1087">
        <v>0.99122260939786033</v>
      </c>
      <c r="G1244" s="1087">
        <v>1.0083175473441939</v>
      </c>
      <c r="H1244" s="1087">
        <v>1.0068177413307808</v>
      </c>
      <c r="I1244" s="1087">
        <v>1.037798441511349</v>
      </c>
      <c r="K1244">
        <v>1.8808233291434666</v>
      </c>
      <c r="L1244">
        <v>0</v>
      </c>
      <c r="M1244">
        <v>3.3143855429388492E-3</v>
      </c>
      <c r="N1244">
        <v>0.36116965046726179</v>
      </c>
      <c r="O1244">
        <v>0.23833296564996043</v>
      </c>
      <c r="P1244">
        <v>1.3766545173441879E-2</v>
      </c>
      <c r="Q1244">
        <v>1.6439461358933793E-3</v>
      </c>
      <c r="R1244">
        <v>3.3087474889298067E-3</v>
      </c>
      <c r="S1244">
        <v>0.37830466338245111</v>
      </c>
      <c r="T1244">
        <v>0.39943484089581971</v>
      </c>
      <c r="U1244">
        <v>0</v>
      </c>
      <c r="V1244">
        <v>0.19843055354213435</v>
      </c>
      <c r="W1244">
        <v>0.22375719017740622</v>
      </c>
      <c r="X1244">
        <v>5.6983291836554407E-2</v>
      </c>
      <c r="Y1244">
        <v>9.0053199365503454E-3</v>
      </c>
    </row>
    <row r="1245" spans="1:25" x14ac:dyDescent="0.25">
      <c r="A1245" s="1083"/>
      <c r="B1245" s="1455">
        <v>995</v>
      </c>
      <c r="C1245" s="1087">
        <v>0.98096606239049755</v>
      </c>
      <c r="D1245" s="1087">
        <v>1.0168608422510492</v>
      </c>
      <c r="E1245" s="1087">
        <v>0.99039727605518757</v>
      </c>
      <c r="F1245" s="1087">
        <v>1.0297817017060529</v>
      </c>
      <c r="G1245" s="1087">
        <v>0.99415375596810751</v>
      </c>
      <c r="H1245" s="1087">
        <v>0.99865921661419099</v>
      </c>
      <c r="I1245" s="1087">
        <v>0.98756467040970075</v>
      </c>
      <c r="K1245">
        <v>1.8686748115363794</v>
      </c>
      <c r="L1245">
        <v>0</v>
      </c>
      <c r="M1245">
        <v>3.7420958737770949E-3</v>
      </c>
      <c r="N1245">
        <v>0.34505134624986183</v>
      </c>
      <c r="O1245">
        <v>0.24274543133604162</v>
      </c>
      <c r="P1245">
        <v>1.3302292862847917E-2</v>
      </c>
      <c r="Q1245">
        <v>1.5873043265429065E-3</v>
      </c>
      <c r="R1245">
        <v>3.7356416845336993E-3</v>
      </c>
      <c r="S1245">
        <v>0.36389370603055365</v>
      </c>
      <c r="T1245">
        <v>0.41462691894372616</v>
      </c>
      <c r="U1245">
        <v>0</v>
      </c>
      <c r="V1245">
        <v>0.20343614718255276</v>
      </c>
      <c r="W1245">
        <v>0.22111737298394199</v>
      </c>
      <c r="X1245">
        <v>5.2753560598202201E-2</v>
      </c>
      <c r="Y1245">
        <v>1.0167185211350384E-2</v>
      </c>
    </row>
    <row r="1246" spans="1:25" x14ac:dyDescent="0.25">
      <c r="A1246" s="1083"/>
      <c r="B1246" s="1455">
        <v>996</v>
      </c>
      <c r="C1246" s="1087">
        <v>1.0045217446505372</v>
      </c>
      <c r="D1246" s="1087">
        <v>1.0005116772981679</v>
      </c>
      <c r="E1246" s="1087">
        <v>1.0266468423159474</v>
      </c>
      <c r="F1246" s="1087">
        <v>0.95524559675598075</v>
      </c>
      <c r="G1246" s="1087">
        <v>1.0100815612651004</v>
      </c>
      <c r="H1246" s="1087">
        <v>0.99815814012553905</v>
      </c>
      <c r="I1246" s="1087">
        <v>0.97562089345278691</v>
      </c>
      <c r="K1246">
        <v>1.8189975483147927</v>
      </c>
      <c r="L1246">
        <v>0</v>
      </c>
      <c r="M1246">
        <v>3.4204160216020746E-3</v>
      </c>
      <c r="N1246">
        <v>0.35225882641890621</v>
      </c>
      <c r="O1246">
        <v>0.23316790613961003</v>
      </c>
      <c r="P1246">
        <v>1.300856485869664E-2</v>
      </c>
      <c r="Q1246">
        <v>1.6213345910868246E-3</v>
      </c>
      <c r="R1246">
        <v>3.4145261363700075E-3</v>
      </c>
      <c r="S1246">
        <v>0.35451049616000635</v>
      </c>
      <c r="T1246">
        <v>0.38482708670669497</v>
      </c>
      <c r="U1246">
        <v>0</v>
      </c>
      <c r="V1246">
        <v>0.19552265872273417</v>
      </c>
      <c r="W1246">
        <v>0.22071245652500224</v>
      </c>
      <c r="X1246">
        <v>5.4080893532326313E-2</v>
      </c>
      <c r="Y1246">
        <v>9.2932145449608171E-3</v>
      </c>
    </row>
    <row r="1247" spans="1:25" x14ac:dyDescent="0.25">
      <c r="A1247" s="1083"/>
      <c r="B1247" s="1455">
        <v>997</v>
      </c>
      <c r="C1247" s="1087">
        <v>1.0120038013757913</v>
      </c>
      <c r="D1247" s="1087">
        <v>0.99990461115513862</v>
      </c>
      <c r="E1247" s="1087">
        <v>1.0220960824963998</v>
      </c>
      <c r="F1247" s="1087">
        <v>0.98558552179515446</v>
      </c>
      <c r="G1247" s="1087">
        <v>1.0113307514631893</v>
      </c>
      <c r="H1247" s="1087">
        <v>0.97141616161590871</v>
      </c>
      <c r="I1247" s="1087">
        <v>1.0059847362972858</v>
      </c>
      <c r="K1247">
        <v>1.8181223163638867</v>
      </c>
      <c r="L1247">
        <v>0</v>
      </c>
      <c r="M1247">
        <v>3.3367258487323167E-3</v>
      </c>
      <c r="N1247">
        <v>0.33889288853327115</v>
      </c>
      <c r="O1247">
        <v>0.23593541124440662</v>
      </c>
      <c r="P1247">
        <v>1.3210397592880858E-2</v>
      </c>
      <c r="Q1247">
        <v>1.6020482429822491E-3</v>
      </c>
      <c r="R1247">
        <v>3.330823193734323E-3</v>
      </c>
      <c r="S1247">
        <v>0.35810979034432799</v>
      </c>
      <c r="T1247">
        <v>0.39702208823604279</v>
      </c>
      <c r="U1247">
        <v>0</v>
      </c>
      <c r="V1247">
        <v>0.19739101395338685</v>
      </c>
      <c r="W1247">
        <v>0.21293150799896182</v>
      </c>
      <c r="X1247">
        <v>5.3967670144850856E-2</v>
      </c>
      <c r="Y1247">
        <v>9.0654027277741051E-3</v>
      </c>
    </row>
    <row r="1248" spans="1:25" x14ac:dyDescent="0.25">
      <c r="A1248" s="1083"/>
      <c r="B1248" s="1455">
        <v>998</v>
      </c>
      <c r="C1248" s="1087">
        <v>1.0237249946042886</v>
      </c>
      <c r="D1248" s="1087">
        <v>1.0034110720294716</v>
      </c>
      <c r="E1248" s="1087">
        <v>1.0304290655688151</v>
      </c>
      <c r="F1248" s="1087">
        <v>0.97209328328582911</v>
      </c>
      <c r="G1248" s="1087">
        <v>1.0069403041165879</v>
      </c>
      <c r="H1248" s="1087">
        <v>0.97665899194180539</v>
      </c>
      <c r="I1248" s="1087">
        <v>1.0219797074328512</v>
      </c>
      <c r="K1248">
        <v>1.807795335882677</v>
      </c>
      <c r="L1248">
        <v>0</v>
      </c>
      <c r="M1248">
        <v>3.2537825932869779E-3</v>
      </c>
      <c r="N1248">
        <v>0.33896671033836295</v>
      </c>
      <c r="O1248">
        <v>0.23274523752737636</v>
      </c>
      <c r="P1248">
        <v>1.3206717739215444E-2</v>
      </c>
      <c r="Q1248">
        <v>1.5954043553282043E-3</v>
      </c>
      <c r="R1248">
        <v>3.2480545613573857E-3</v>
      </c>
      <c r="S1248">
        <v>0.35997862171684913</v>
      </c>
      <c r="T1248">
        <v>0.3916370120459724</v>
      </c>
      <c r="U1248">
        <v>0</v>
      </c>
      <c r="V1248">
        <v>0.19487989086097426</v>
      </c>
      <c r="W1248">
        <v>0.21189338533910571</v>
      </c>
      <c r="X1248">
        <v>5.4057950196305549E-2</v>
      </c>
      <c r="Y1248">
        <v>8.8401337951164154E-3</v>
      </c>
    </row>
    <row r="1249" spans="1:25" x14ac:dyDescent="0.25">
      <c r="A1249" s="1083"/>
      <c r="B1249" s="1455">
        <v>999</v>
      </c>
      <c r="C1249" s="1087">
        <v>1.0151658046498557</v>
      </c>
      <c r="D1249" s="1087">
        <v>0.98377225625723019</v>
      </c>
      <c r="E1249" s="1087">
        <v>0.9823178569776484</v>
      </c>
      <c r="F1249" s="1087">
        <v>1.0036864850368516</v>
      </c>
      <c r="G1249" s="1087">
        <v>1.0118907762032465</v>
      </c>
      <c r="H1249" s="1087">
        <v>1.0010909537730057</v>
      </c>
      <c r="I1249" s="1087">
        <v>1.0182802655163057</v>
      </c>
      <c r="K1249">
        <v>1.8425502210782958</v>
      </c>
      <c r="L1249">
        <v>0</v>
      </c>
      <c r="M1249">
        <v>3.7515107554609178E-3</v>
      </c>
      <c r="N1249">
        <v>0.3374906118871786</v>
      </c>
      <c r="O1249">
        <v>0.23872573939697619</v>
      </c>
      <c r="P1249">
        <v>1.3099905907675275E-2</v>
      </c>
      <c r="Q1249">
        <v>1.5408434822718052E-3</v>
      </c>
      <c r="R1249">
        <v>3.7450858391183347E-3</v>
      </c>
      <c r="S1249">
        <v>0.36962334882803544</v>
      </c>
      <c r="T1249">
        <v>0.40407139762410388</v>
      </c>
      <c r="U1249">
        <v>0</v>
      </c>
      <c r="V1249">
        <v>0.19923470256740183</v>
      </c>
      <c r="W1249">
        <v>0.21737815490201573</v>
      </c>
      <c r="X1249">
        <v>5.119905231211451E-2</v>
      </c>
      <c r="Y1249">
        <v>1.019288908686504E-2</v>
      </c>
    </row>
    <row r="1250" spans="1:25" x14ac:dyDescent="0.25">
      <c r="A1250" s="1083"/>
      <c r="B1250" s="1455">
        <v>1000</v>
      </c>
      <c r="C1250" s="1087">
        <v>0.98770561528546685</v>
      </c>
      <c r="D1250" s="1087">
        <v>0.96427190322692191</v>
      </c>
      <c r="E1250" s="1087">
        <v>0.99950448208094522</v>
      </c>
      <c r="F1250" s="1087">
        <v>1.0121171262028676</v>
      </c>
      <c r="G1250" s="1087">
        <v>1.0238211774112098</v>
      </c>
      <c r="H1250" s="1087">
        <v>1.0068175606218732</v>
      </c>
      <c r="I1250" s="1087">
        <v>0.98900442874844552</v>
      </c>
      <c r="K1250">
        <v>1.8984372110943994</v>
      </c>
      <c r="L1250">
        <v>0</v>
      </c>
      <c r="M1250">
        <v>3.7848002226518428E-3</v>
      </c>
      <c r="N1250">
        <v>0.35883756368934866</v>
      </c>
      <c r="O1250">
        <v>0.24531862955805081</v>
      </c>
      <c r="P1250">
        <v>1.344890568873301E-2</v>
      </c>
      <c r="Q1250">
        <v>1.6260618807988128E-3</v>
      </c>
      <c r="R1250">
        <v>3.7783732143034749E-3</v>
      </c>
      <c r="S1250">
        <v>0.3743651676961795</v>
      </c>
      <c r="T1250">
        <v>0.40757017897781506</v>
      </c>
      <c r="U1250">
        <v>0</v>
      </c>
      <c r="V1250">
        <v>0.20409443341298394</v>
      </c>
      <c r="W1250">
        <v>0.22864216278468422</v>
      </c>
      <c r="X1250">
        <v>5.4257048065212657E-2</v>
      </c>
      <c r="Y1250">
        <v>1.0283486348938711E-2</v>
      </c>
    </row>
    <row r="1251" spans="1:25" x14ac:dyDescent="0.25">
      <c r="A1251" s="1083"/>
      <c r="B1251" s="1455">
        <v>1001</v>
      </c>
      <c r="C1251" s="1087">
        <v>1.0120937978718498</v>
      </c>
      <c r="D1251" s="1087">
        <v>1.0287834773978279</v>
      </c>
      <c r="E1251" s="1087">
        <v>0.99509213633870852</v>
      </c>
      <c r="F1251" s="1087">
        <v>1.0052253716037982</v>
      </c>
      <c r="G1251" s="1087">
        <v>0.98890677461915988</v>
      </c>
      <c r="H1251" s="1087">
        <v>0.9954900156873473</v>
      </c>
      <c r="I1251" s="1087">
        <v>1.0029772587602721</v>
      </c>
      <c r="K1251">
        <v>1.8136086180006252</v>
      </c>
      <c r="L1251">
        <v>0</v>
      </c>
      <c r="M1251">
        <v>3.5577805772037596E-3</v>
      </c>
      <c r="N1251">
        <v>0.33278960636597255</v>
      </c>
      <c r="O1251">
        <v>0.23498729599343654</v>
      </c>
      <c r="P1251">
        <v>1.3016982202824413E-2</v>
      </c>
      <c r="Q1251">
        <v>1.5390377325812147E-3</v>
      </c>
      <c r="R1251">
        <v>3.5516134352394707E-3</v>
      </c>
      <c r="S1251">
        <v>0.35536454745500762</v>
      </c>
      <c r="T1251">
        <v>0.40476811019129577</v>
      </c>
      <c r="U1251">
        <v>0</v>
      </c>
      <c r="V1251">
        <v>0.19738398555353204</v>
      </c>
      <c r="W1251">
        <v>0.21263166120834412</v>
      </c>
      <c r="X1251">
        <v>5.1467237457928167E-2</v>
      </c>
      <c r="Y1251">
        <v>9.6663209816675675E-3</v>
      </c>
    </row>
    <row r="1252" spans="1:25" x14ac:dyDescent="0.25">
      <c r="A1252" s="1083"/>
      <c r="B1252" s="1455">
        <v>1002</v>
      </c>
      <c r="C1252" s="1087">
        <v>1.0152819999014984</v>
      </c>
      <c r="D1252" s="1087">
        <v>0.95679342886289676</v>
      </c>
      <c r="E1252" s="1087">
        <v>0.99433576390252376</v>
      </c>
      <c r="F1252" s="1087">
        <v>1.0227790891977937</v>
      </c>
      <c r="G1252" s="1087">
        <v>1.0079069445430169</v>
      </c>
      <c r="H1252" s="1087">
        <v>1.0125919339550249</v>
      </c>
      <c r="I1252" s="1087">
        <v>1.016056788997755</v>
      </c>
      <c r="K1252">
        <v>1.888691444335832</v>
      </c>
      <c r="L1252">
        <v>0</v>
      </c>
      <c r="M1252">
        <v>3.7585140073737289E-3</v>
      </c>
      <c r="N1252">
        <v>0.35077155405518978</v>
      </c>
      <c r="O1252">
        <v>0.24393229643839298</v>
      </c>
      <c r="P1252">
        <v>1.3465626043715029E-2</v>
      </c>
      <c r="Q1252">
        <v>1.5781005651640213E-3</v>
      </c>
      <c r="R1252">
        <v>3.7521754311430414E-3</v>
      </c>
      <c r="S1252">
        <v>0.37680980112012852</v>
      </c>
      <c r="T1252">
        <v>0.41183169133869868</v>
      </c>
      <c r="U1252">
        <v>0</v>
      </c>
      <c r="V1252">
        <v>0.2024365327347428</v>
      </c>
      <c r="W1252">
        <v>0.22422736336640448</v>
      </c>
      <c r="X1252">
        <v>5.3432632630353083E-2</v>
      </c>
      <c r="Y1252">
        <v>1.0212184619272908E-2</v>
      </c>
    </row>
    <row r="1253" spans="1:25" x14ac:dyDescent="0.25">
      <c r="A1253" s="1083"/>
      <c r="B1253" s="1455">
        <v>1003</v>
      </c>
      <c r="C1253" s="1087">
        <v>1.0043970977017453</v>
      </c>
      <c r="D1253" s="1087">
        <v>1.0354532118265583</v>
      </c>
      <c r="E1253" s="1087">
        <v>1.0116668677462404</v>
      </c>
      <c r="F1253" s="1087">
        <v>1.0050165747619364</v>
      </c>
      <c r="G1253" s="1087">
        <v>1.0265645620738348</v>
      </c>
      <c r="H1253" s="1087">
        <v>1.0085481243228824</v>
      </c>
      <c r="I1253" s="1087">
        <v>1.0199262783297622</v>
      </c>
      <c r="K1253">
        <v>1.8431608215113049</v>
      </c>
      <c r="L1253">
        <v>0</v>
      </c>
      <c r="M1253">
        <v>3.4988373889361167E-3</v>
      </c>
      <c r="N1253">
        <v>0.34425884160698195</v>
      </c>
      <c r="O1253">
        <v>0.23547751117321419</v>
      </c>
      <c r="P1253">
        <v>1.3324312509259644E-2</v>
      </c>
      <c r="Q1253">
        <v>1.5743416543980574E-3</v>
      </c>
      <c r="R1253">
        <v>3.4928457655037572E-3</v>
      </c>
      <c r="S1253">
        <v>0.3654008257925892</v>
      </c>
      <c r="T1253">
        <v>0.40478520925775546</v>
      </c>
      <c r="U1253">
        <v>0</v>
      </c>
      <c r="V1253">
        <v>0.19793683492454811</v>
      </c>
      <c r="W1253">
        <v>0.21769927789220789</v>
      </c>
      <c r="X1253">
        <v>5.3203283566378927E-2</v>
      </c>
      <c r="Y1253">
        <v>9.5063747574040767E-3</v>
      </c>
    </row>
    <row r="1254" spans="1:25" x14ac:dyDescent="0.25">
      <c r="A1254" s="1083"/>
      <c r="B1254" s="1455">
        <v>1004</v>
      </c>
      <c r="C1254" s="1087">
        <v>1.0411919191377901</v>
      </c>
      <c r="D1254" s="1087">
        <v>1.0349005538376723</v>
      </c>
      <c r="E1254" s="1087">
        <v>0.97223205530851964</v>
      </c>
      <c r="F1254" s="1087">
        <v>1.0245095829531752</v>
      </c>
      <c r="G1254" s="1087">
        <v>1.0216047230542704</v>
      </c>
      <c r="H1254" s="1087">
        <v>1.0032162763478114</v>
      </c>
      <c r="I1254" s="1087">
        <v>1.0290502275546216</v>
      </c>
      <c r="K1254">
        <v>1.7908975453307405</v>
      </c>
      <c r="L1254">
        <v>0</v>
      </c>
      <c r="M1254">
        <v>3.6369521582216451E-3</v>
      </c>
      <c r="N1254">
        <v>0.3172483428656569</v>
      </c>
      <c r="O1254">
        <v>0.23272374545596156</v>
      </c>
      <c r="P1254">
        <v>1.2855142884111038E-2</v>
      </c>
      <c r="Q1254">
        <v>1.4562646973741696E-3</v>
      </c>
      <c r="R1254">
        <v>3.6306860258434985E-3</v>
      </c>
      <c r="S1254">
        <v>0.35421814001203716</v>
      </c>
      <c r="T1254">
        <v>0.41239292795507243</v>
      </c>
      <c r="U1254">
        <v>0</v>
      </c>
      <c r="V1254">
        <v>0.19549866917910916</v>
      </c>
      <c r="W1254">
        <v>0.20565427342775353</v>
      </c>
      <c r="X1254">
        <v>4.8974774479022938E-2</v>
      </c>
      <c r="Y1254">
        <v>9.8815305070192455E-3</v>
      </c>
    </row>
    <row r="1255" spans="1:25" x14ac:dyDescent="0.25">
      <c r="A1255" s="1083"/>
      <c r="B1255" s="1455">
        <v>1005</v>
      </c>
      <c r="C1255" s="1087">
        <v>1.0145536001055737</v>
      </c>
      <c r="D1255" s="1087">
        <v>0.99753673620018868</v>
      </c>
      <c r="E1255" s="1087">
        <v>1.0287051687054936</v>
      </c>
      <c r="F1255" s="1087">
        <v>1.0217465310477007</v>
      </c>
      <c r="G1255" s="1087">
        <v>1.0055981930154045</v>
      </c>
      <c r="H1255" s="1087">
        <v>0.95966378958216536</v>
      </c>
      <c r="I1255" s="1087">
        <v>1.0191313174258902</v>
      </c>
      <c r="K1255">
        <v>1.8388558204949346</v>
      </c>
      <c r="L1255">
        <v>0</v>
      </c>
      <c r="M1255">
        <v>3.2475934939157191E-3</v>
      </c>
      <c r="N1255">
        <v>0.33654054145471363</v>
      </c>
      <c r="O1255">
        <v>0.24017285512241185</v>
      </c>
      <c r="P1255">
        <v>1.3549344747706834E-2</v>
      </c>
      <c r="Q1255">
        <v>1.6106951785570447E-3</v>
      </c>
      <c r="R1255">
        <v>3.2417795324557177E-3</v>
      </c>
      <c r="S1255">
        <v>0.36026582113937428</v>
      </c>
      <c r="T1255">
        <v>0.41163042311158748</v>
      </c>
      <c r="U1255">
        <v>0</v>
      </c>
      <c r="V1255">
        <v>0.20037304820419249</v>
      </c>
      <c r="W1255">
        <v>0.21059850234118216</v>
      </c>
      <c r="X1255">
        <v>5.5297347921658246E-2</v>
      </c>
      <c r="Y1255">
        <v>8.8230552350087987E-3</v>
      </c>
    </row>
    <row r="1256" spans="1:25" x14ac:dyDescent="0.25">
      <c r="A1256" s="1083"/>
      <c r="B1256" s="1455">
        <v>1006</v>
      </c>
      <c r="C1256" s="1087">
        <v>0.99672487632715756</v>
      </c>
      <c r="D1256" s="1087">
        <v>0.98669040363748273</v>
      </c>
      <c r="E1256" s="1087">
        <v>0.98693819167609664</v>
      </c>
      <c r="F1256" s="1087">
        <v>1.005393767129013</v>
      </c>
      <c r="G1256" s="1087">
        <v>0.98261144326218075</v>
      </c>
      <c r="H1256" s="1087">
        <v>0.99753025180351851</v>
      </c>
      <c r="I1256" s="1087">
        <v>0.99385123148002441</v>
      </c>
      <c r="K1256">
        <v>1.8544056176476718</v>
      </c>
      <c r="L1256">
        <v>0</v>
      </c>
      <c r="M1256">
        <v>3.7656856736639458E-3</v>
      </c>
      <c r="N1256">
        <v>0.34357929064873755</v>
      </c>
      <c r="O1256">
        <v>0.24092326607620634</v>
      </c>
      <c r="P1256">
        <v>1.3136430983067644E-2</v>
      </c>
      <c r="Q1256">
        <v>1.5752915358306233E-3</v>
      </c>
      <c r="R1256">
        <v>3.7592109675153918E-3</v>
      </c>
      <c r="S1256">
        <v>0.366237400587762</v>
      </c>
      <c r="T1256">
        <v>0.40478656354906684</v>
      </c>
      <c r="U1256">
        <v>0</v>
      </c>
      <c r="V1256">
        <v>0.20121713148237891</v>
      </c>
      <c r="W1256">
        <v>0.22065451166349326</v>
      </c>
      <c r="X1256">
        <v>5.2070872797262573E-2</v>
      </c>
      <c r="Y1256">
        <v>1.0231333030014507E-2</v>
      </c>
    </row>
    <row r="1257" spans="1:25" x14ac:dyDescent="0.25">
      <c r="A1257" s="1083"/>
      <c r="B1257" s="1455">
        <v>1007</v>
      </c>
      <c r="C1257" s="1087">
        <v>1.0066932309101226</v>
      </c>
      <c r="D1257" s="1087">
        <v>0.96685536775916125</v>
      </c>
      <c r="E1257" s="1087">
        <v>0.95949580684965019</v>
      </c>
      <c r="F1257" s="1087">
        <v>1.013085084098466</v>
      </c>
      <c r="G1257" s="1087">
        <v>0.9715869873968751</v>
      </c>
      <c r="H1257" s="1087">
        <v>0.99664559598301927</v>
      </c>
      <c r="I1257" s="1087">
        <v>0.97629555191962325</v>
      </c>
      <c r="K1257">
        <v>1.8389780121985382</v>
      </c>
      <c r="L1257">
        <v>0</v>
      </c>
      <c r="M1257">
        <v>3.9827415031241245E-3</v>
      </c>
      <c r="N1257">
        <v>0.3341373095237658</v>
      </c>
      <c r="O1257">
        <v>0.24225572925401059</v>
      </c>
      <c r="P1257">
        <v>1.2824132087565892E-2</v>
      </c>
      <c r="Q1257">
        <v>1.5264738664344615E-3</v>
      </c>
      <c r="R1257">
        <v>3.9759070986680823E-3</v>
      </c>
      <c r="S1257">
        <v>0.3597805684135359</v>
      </c>
      <c r="T1257">
        <v>0.40771801298048727</v>
      </c>
      <c r="U1257">
        <v>0</v>
      </c>
      <c r="V1257">
        <v>0.20173404177539681</v>
      </c>
      <c r="W1257">
        <v>0.21837840615903645</v>
      </c>
      <c r="X1257">
        <v>4.9809064077607289E-2</v>
      </c>
      <c r="Y1257">
        <v>1.0821108465151691E-2</v>
      </c>
    </row>
    <row r="1258" spans="1:25" x14ac:dyDescent="0.25">
      <c r="A1258" s="1083"/>
      <c r="B1258" s="1455">
        <v>1008</v>
      </c>
      <c r="C1258" s="1087">
        <v>1.0162359701023467</v>
      </c>
      <c r="D1258" s="1087">
        <v>1.0327634878496674</v>
      </c>
      <c r="E1258" s="1087">
        <v>1.0212265095350443</v>
      </c>
      <c r="F1258" s="1087">
        <v>0.98018140613431926</v>
      </c>
      <c r="G1258" s="1087">
        <v>1.0126133811984166</v>
      </c>
      <c r="H1258" s="1087">
        <v>1.0030761749412296</v>
      </c>
      <c r="I1258" s="1087">
        <v>0.99312627316551028</v>
      </c>
      <c r="K1258">
        <v>1.8067523052029075</v>
      </c>
      <c r="L1258">
        <v>0</v>
      </c>
      <c r="M1258">
        <v>3.377506882886936E-3</v>
      </c>
      <c r="N1258">
        <v>0.34214356043054001</v>
      </c>
      <c r="O1258">
        <v>0.23162797380359704</v>
      </c>
      <c r="P1258">
        <v>1.3041711091743756E-2</v>
      </c>
      <c r="Q1258">
        <v>1.5734331707254489E-3</v>
      </c>
      <c r="R1258">
        <v>3.37169397899051E-3</v>
      </c>
      <c r="S1258">
        <v>0.3513223737474454</v>
      </c>
      <c r="T1258">
        <v>0.39483991261229107</v>
      </c>
      <c r="U1258">
        <v>0</v>
      </c>
      <c r="V1258">
        <v>0.19479636045939436</v>
      </c>
      <c r="W1258">
        <v>0.21508890350175811</v>
      </c>
      <c r="X1258">
        <v>5.3147249757114115E-2</v>
      </c>
      <c r="Y1258">
        <v>9.1766395321907102E-3</v>
      </c>
    </row>
    <row r="1259" spans="1:25" x14ac:dyDescent="0.25">
      <c r="A1259" s="1083"/>
      <c r="B1259" s="1455">
        <v>1009</v>
      </c>
      <c r="C1259" s="1087">
        <v>0.98871609364661572</v>
      </c>
      <c r="D1259" s="1087">
        <v>0.99754440706269121</v>
      </c>
      <c r="E1259" s="1087">
        <v>0.97728356007495853</v>
      </c>
      <c r="F1259" s="1087">
        <v>0.99323359473058126</v>
      </c>
      <c r="G1259" s="1087">
        <v>1.0261370704484503</v>
      </c>
      <c r="H1259" s="1087">
        <v>0.99525722791802518</v>
      </c>
      <c r="I1259" s="1087">
        <v>0.99943800149266881</v>
      </c>
      <c r="K1259">
        <v>1.8437994542266032</v>
      </c>
      <c r="L1259">
        <v>0</v>
      </c>
      <c r="M1259">
        <v>3.8400172805842141E-3</v>
      </c>
      <c r="N1259">
        <v>0.34017381911439543</v>
      </c>
      <c r="O1259">
        <v>0.23922158052861675</v>
      </c>
      <c r="P1259">
        <v>1.2993547037526787E-2</v>
      </c>
      <c r="Q1259">
        <v>1.5647846350881432E-3</v>
      </c>
      <c r="R1259">
        <v>3.8333893836069084E-3</v>
      </c>
      <c r="S1259">
        <v>0.36850242539557582</v>
      </c>
      <c r="T1259">
        <v>0.39983334027922629</v>
      </c>
      <c r="U1259">
        <v>0</v>
      </c>
      <c r="V1259">
        <v>0.20038914652627274</v>
      </c>
      <c r="W1259">
        <v>0.21980731705859963</v>
      </c>
      <c r="X1259">
        <v>5.0886899322570532E-2</v>
      </c>
      <c r="Y1259">
        <v>1.0433222225707318E-2</v>
      </c>
    </row>
    <row r="1260" spans="1:25" x14ac:dyDescent="0.25">
      <c r="A1260" s="1083"/>
      <c r="B1260" s="1455">
        <v>1010</v>
      </c>
      <c r="C1260" s="1087">
        <v>1.0226801436499739</v>
      </c>
      <c r="D1260" s="1087">
        <v>0.99580331697853808</v>
      </c>
      <c r="E1260" s="1087">
        <v>0.98539617433182602</v>
      </c>
      <c r="F1260" s="1087">
        <v>0.96417103905166246</v>
      </c>
      <c r="G1260" s="1087">
        <v>0.99621979942093908</v>
      </c>
      <c r="H1260" s="1087">
        <v>0.98729322660705909</v>
      </c>
      <c r="I1260" s="1087">
        <v>1.0145213452343704</v>
      </c>
      <c r="K1260">
        <v>1.7902691585790118</v>
      </c>
      <c r="L1260">
        <v>0</v>
      </c>
      <c r="M1260">
        <v>3.6254723181996362E-3</v>
      </c>
      <c r="N1260">
        <v>0.32922510507029984</v>
      </c>
      <c r="O1260">
        <v>0.23202615402443122</v>
      </c>
      <c r="P1260">
        <v>1.2729824586357146E-2</v>
      </c>
      <c r="Q1260">
        <v>1.5271461853038962E-3</v>
      </c>
      <c r="R1260">
        <v>3.619165281603387E-3</v>
      </c>
      <c r="S1260">
        <v>0.36063265434073455</v>
      </c>
      <c r="T1260">
        <v>0.38818075761024357</v>
      </c>
      <c r="U1260">
        <v>0</v>
      </c>
      <c r="V1260">
        <v>0.19443041743651548</v>
      </c>
      <c r="W1260">
        <v>0.21164187430667719</v>
      </c>
      <c r="X1260">
        <v>5.0031357216032545E-2</v>
      </c>
      <c r="Y1260">
        <v>9.850174839009981E-3</v>
      </c>
    </row>
    <row r="1261" spans="1:25" x14ac:dyDescent="0.25">
      <c r="A1261" s="1083"/>
      <c r="B1261" s="1455">
        <v>1011</v>
      </c>
      <c r="C1261" s="1087">
        <v>0.99241506378426303</v>
      </c>
      <c r="D1261" s="1087">
        <v>1.0005511350125649</v>
      </c>
      <c r="E1261" s="1087">
        <v>1.0078329998145104</v>
      </c>
      <c r="F1261" s="1087">
        <v>0.97387956255369568</v>
      </c>
      <c r="G1261" s="1087">
        <v>0.97401875353423861</v>
      </c>
      <c r="H1261" s="1087">
        <v>1.0057612349621217</v>
      </c>
      <c r="I1261" s="1087">
        <v>1.0005767290547971</v>
      </c>
      <c r="K1261">
        <v>1.850310431217483</v>
      </c>
      <c r="L1261">
        <v>0</v>
      </c>
      <c r="M1261">
        <v>3.6259699634571792E-3</v>
      </c>
      <c r="N1261">
        <v>0.35262214573290379</v>
      </c>
      <c r="O1261">
        <v>0.2365896974287976</v>
      </c>
      <c r="P1261">
        <v>1.317161980225473E-2</v>
      </c>
      <c r="Q1261">
        <v>1.6088007431883588E-3</v>
      </c>
      <c r="R1261">
        <v>3.6197737819645818E-3</v>
      </c>
      <c r="S1261">
        <v>0.3691934072621304</v>
      </c>
      <c r="T1261">
        <v>0.39222154035647422</v>
      </c>
      <c r="U1261">
        <v>0</v>
      </c>
      <c r="V1261">
        <v>0.19832662911030846</v>
      </c>
      <c r="W1261">
        <v>0.22351888550178917</v>
      </c>
      <c r="X1261">
        <v>5.32120704847273E-2</v>
      </c>
      <c r="Y1261">
        <v>9.8518309764010631E-3</v>
      </c>
    </row>
    <row r="1262" spans="1:25" x14ac:dyDescent="0.25">
      <c r="A1262" s="1083"/>
      <c r="B1262" s="1455">
        <v>1012</v>
      </c>
      <c r="C1262" s="1087">
        <v>0.95923087285343733</v>
      </c>
      <c r="D1262" s="1087">
        <v>0.97165276088757568</v>
      </c>
      <c r="E1262" s="1087">
        <v>0.97248592362767539</v>
      </c>
      <c r="F1262" s="1087">
        <v>0.96264850038268168</v>
      </c>
      <c r="G1262" s="1087">
        <v>0.965298290459495</v>
      </c>
      <c r="H1262" s="1087">
        <v>0.991450540618945</v>
      </c>
      <c r="I1262" s="1087">
        <v>0.99042243128179341</v>
      </c>
      <c r="K1262">
        <v>1.8694953769273881</v>
      </c>
      <c r="L1262">
        <v>0</v>
      </c>
      <c r="M1262">
        <v>4.0353138409856973E-3</v>
      </c>
      <c r="N1262">
        <v>0.35226878382452476</v>
      </c>
      <c r="O1262">
        <v>0.24152547953925058</v>
      </c>
      <c r="P1262">
        <v>1.2973432448688241E-2</v>
      </c>
      <c r="Q1262">
        <v>1.6215194226147406E-3</v>
      </c>
      <c r="R1262">
        <v>4.0283421571444501E-3</v>
      </c>
      <c r="S1262">
        <v>0.3810003491547721</v>
      </c>
      <c r="T1262">
        <v>0.387493613557648</v>
      </c>
      <c r="U1262">
        <v>0</v>
      </c>
      <c r="V1262">
        <v>0.20227319523135945</v>
      </c>
      <c r="W1262">
        <v>0.22831907442826788</v>
      </c>
      <c r="X1262">
        <v>5.106308159498911E-2</v>
      </c>
      <c r="Y1262">
        <v>1.0963819409111984E-2</v>
      </c>
    </row>
    <row r="1263" spans="1:25" x14ac:dyDescent="0.25">
      <c r="A1263" s="1083"/>
      <c r="B1263" s="1455">
        <v>1013</v>
      </c>
      <c r="C1263" s="1087">
        <v>0.98990538033415121</v>
      </c>
      <c r="D1263" s="1087">
        <v>0.99757120908231045</v>
      </c>
      <c r="E1263" s="1087">
        <v>1.0208075471982854</v>
      </c>
      <c r="F1263" s="1087">
        <v>1.0046316647752684</v>
      </c>
      <c r="G1263" s="1087">
        <v>1.0063324630178825</v>
      </c>
      <c r="H1263" s="1087">
        <v>1.0120925420274847</v>
      </c>
      <c r="I1263" s="1087">
        <v>0.97424468425025745</v>
      </c>
      <c r="K1263">
        <v>1.8776327664742243</v>
      </c>
      <c r="L1263">
        <v>0</v>
      </c>
      <c r="M1263">
        <v>3.5681666868035236E-3</v>
      </c>
      <c r="N1263">
        <v>0.36100499290450722</v>
      </c>
      <c r="O1263">
        <v>0.24106478448503885</v>
      </c>
      <c r="P1263">
        <v>1.3419067131665106E-2</v>
      </c>
      <c r="Q1263">
        <v>1.6371187095795476E-3</v>
      </c>
      <c r="R1263">
        <v>3.562110626245292E-3</v>
      </c>
      <c r="S1263">
        <v>0.36228402363798623</v>
      </c>
      <c r="T1263">
        <v>0.40468645862425323</v>
      </c>
      <c r="U1263">
        <v>0</v>
      </c>
      <c r="V1263">
        <v>0.20151080480804925</v>
      </c>
      <c r="W1263">
        <v>0.22700464988720157</v>
      </c>
      <c r="X1263">
        <v>5.5332031471311924E-2</v>
      </c>
      <c r="Y1263">
        <v>9.6948908751873317E-3</v>
      </c>
    </row>
    <row r="1264" spans="1:25" x14ac:dyDescent="0.25">
      <c r="A1264" s="1083"/>
      <c r="B1264" s="1455">
        <v>1014</v>
      </c>
      <c r="C1264" s="1087">
        <v>0.98153127659050254</v>
      </c>
      <c r="D1264" s="1087">
        <v>1.0203796628040718</v>
      </c>
      <c r="E1264" s="1087">
        <v>0.95922827793073473</v>
      </c>
      <c r="F1264" s="1087">
        <v>0.99889697036189695</v>
      </c>
      <c r="G1264" s="1087">
        <v>1.0073849822197678</v>
      </c>
      <c r="H1264" s="1087">
        <v>0.9933984656721111</v>
      </c>
      <c r="I1264" s="1087">
        <v>1.0013876114476921</v>
      </c>
      <c r="K1264">
        <v>1.8301080669490848</v>
      </c>
      <c r="L1264">
        <v>0</v>
      </c>
      <c r="M1264">
        <v>3.9569649208021779E-3</v>
      </c>
      <c r="N1264">
        <v>0.33169683569326824</v>
      </c>
      <c r="O1264">
        <v>0.23827991962337228</v>
      </c>
      <c r="P1264">
        <v>1.2820130942438087E-2</v>
      </c>
      <c r="Q1264">
        <v>1.5317779665462053E-3</v>
      </c>
      <c r="R1264">
        <v>3.9501010408174069E-3</v>
      </c>
      <c r="S1264">
        <v>0.36676111533791828</v>
      </c>
      <c r="T1264">
        <v>0.40200640841897134</v>
      </c>
      <c r="U1264">
        <v>0</v>
      </c>
      <c r="V1264">
        <v>0.2003617648863531</v>
      </c>
      <c r="W1264">
        <v>0.21682078337689695</v>
      </c>
      <c r="X1264">
        <v>4.9085321700657533E-2</v>
      </c>
      <c r="Y1264">
        <v>1.0750872882646832E-2</v>
      </c>
    </row>
    <row r="1265" spans="1:25" x14ac:dyDescent="0.25">
      <c r="A1265" s="1083"/>
      <c r="B1265" s="1455">
        <v>1015</v>
      </c>
      <c r="C1265" s="1087">
        <v>1.0293405380413825</v>
      </c>
      <c r="D1265" s="1087">
        <v>0.9861442285813421</v>
      </c>
      <c r="E1265" s="1087">
        <v>0.96512262250617153</v>
      </c>
      <c r="F1265" s="1087">
        <v>1.0424224729301701</v>
      </c>
      <c r="G1265" s="1087">
        <v>0.99920486456541879</v>
      </c>
      <c r="H1265" s="1087">
        <v>1.0093008286601841</v>
      </c>
      <c r="I1265" s="1087">
        <v>1.0036898450992446</v>
      </c>
      <c r="K1265">
        <v>1.8399765890780586</v>
      </c>
      <c r="L1265">
        <v>0</v>
      </c>
      <c r="M1265">
        <v>3.8568668002827654E-3</v>
      </c>
      <c r="N1265">
        <v>0.32920202924338243</v>
      </c>
      <c r="O1265">
        <v>0.24097265716236055</v>
      </c>
      <c r="P1265">
        <v>1.3028132599431733E-2</v>
      </c>
      <c r="Q1265">
        <v>1.4902231704482245E-3</v>
      </c>
      <c r="R1265">
        <v>3.8503108036366507E-3</v>
      </c>
      <c r="S1265">
        <v>0.36003987661428372</v>
      </c>
      <c r="T1265">
        <v>0.4195594668715989</v>
      </c>
      <c r="U1265">
        <v>0</v>
      </c>
      <c r="V1265">
        <v>0.20078829029538275</v>
      </c>
      <c r="W1265">
        <v>0.21437603882103257</v>
      </c>
      <c r="X1265">
        <v>5.0047153543898937E-2</v>
      </c>
      <c r="Y1265">
        <v>1.0479276752883661E-2</v>
      </c>
    </row>
    <row r="1266" spans="1:25" x14ac:dyDescent="0.25">
      <c r="A1266" s="1083"/>
      <c r="B1266" s="1455">
        <v>1016</v>
      </c>
      <c r="C1266" s="1087">
        <v>0.99037255963604709</v>
      </c>
      <c r="D1266" s="1087">
        <v>1.0203025801467014</v>
      </c>
      <c r="E1266" s="1087">
        <v>1.0225443349754137</v>
      </c>
      <c r="F1266" s="1087">
        <v>0.95705830498295585</v>
      </c>
      <c r="G1266" s="1087">
        <v>1.0112180142615801</v>
      </c>
      <c r="H1266" s="1087">
        <v>0.99221913356492097</v>
      </c>
      <c r="I1266" s="1087">
        <v>0.98088914819003481</v>
      </c>
      <c r="K1266">
        <v>1.8189103091472603</v>
      </c>
      <c r="L1266">
        <v>0</v>
      </c>
      <c r="M1266">
        <v>3.4414908897523766E-3</v>
      </c>
      <c r="N1266">
        <v>0.35002223418924272</v>
      </c>
      <c r="O1266">
        <v>0.23312231908539294</v>
      </c>
      <c r="P1266">
        <v>1.3016317735220714E-2</v>
      </c>
      <c r="Q1266">
        <v>1.6246358651640846E-3</v>
      </c>
      <c r="R1266">
        <v>3.4355133400617577E-3</v>
      </c>
      <c r="S1266">
        <v>0.35653508770769804</v>
      </c>
      <c r="T1266">
        <v>0.38553314802676725</v>
      </c>
      <c r="U1266">
        <v>0</v>
      </c>
      <c r="V1266">
        <v>0.19615204094647951</v>
      </c>
      <c r="W1266">
        <v>0.21986367873002671</v>
      </c>
      <c r="X1266">
        <v>5.3696489615977776E-2</v>
      </c>
      <c r="Y1266">
        <v>9.3503347949799257E-3</v>
      </c>
    </row>
    <row r="1267" spans="1:25" x14ac:dyDescent="0.25">
      <c r="A1267" s="1083"/>
      <c r="B1267" s="1455">
        <v>1017</v>
      </c>
      <c r="C1267" s="1087">
        <v>0.98192228754441169</v>
      </c>
      <c r="D1267" s="1087">
        <v>1.0265703645352156</v>
      </c>
      <c r="E1267" s="1087">
        <v>0.97319283005481605</v>
      </c>
      <c r="F1267" s="1087">
        <v>0.96455483313519752</v>
      </c>
      <c r="G1267" s="1087">
        <v>0.96237711515799007</v>
      </c>
      <c r="H1267" s="1087">
        <v>1.0082116665162915</v>
      </c>
      <c r="I1267" s="1087">
        <v>1.0121724780826495</v>
      </c>
      <c r="K1267">
        <v>1.8264480544700372</v>
      </c>
      <c r="L1267">
        <v>0</v>
      </c>
      <c r="M1267">
        <v>3.8889000871784049E-3</v>
      </c>
      <c r="N1267">
        <v>0.3402277600778626</v>
      </c>
      <c r="O1267">
        <v>0.23375835415838542</v>
      </c>
      <c r="P1267">
        <v>1.2804140048588672E-2</v>
      </c>
      <c r="Q1267">
        <v>1.5507754323156268E-3</v>
      </c>
      <c r="R1267">
        <v>3.88224724245252E-3</v>
      </c>
      <c r="S1267">
        <v>0.37220396278808554</v>
      </c>
      <c r="T1267">
        <v>0.38826501748869457</v>
      </c>
      <c r="U1267">
        <v>0</v>
      </c>
      <c r="V1267">
        <v>0.19711469303110968</v>
      </c>
      <c r="W1267">
        <v>0.22041542560787225</v>
      </c>
      <c r="X1267">
        <v>4.9548381470352641E-2</v>
      </c>
      <c r="Y1267">
        <v>1.0566197211496233E-2</v>
      </c>
    </row>
    <row r="1268" spans="1:25" x14ac:dyDescent="0.25">
      <c r="A1268" s="1083"/>
      <c r="B1268" s="1455">
        <v>1018</v>
      </c>
      <c r="C1268" s="1087">
        <v>0.98989021521762188</v>
      </c>
      <c r="D1268" s="1087">
        <v>0.99945647307531926</v>
      </c>
      <c r="E1268" s="1087">
        <v>1.0138384096616322</v>
      </c>
      <c r="F1268" s="1087">
        <v>1.0194403409616133</v>
      </c>
      <c r="G1268" s="1087">
        <v>1.0176309409597866</v>
      </c>
      <c r="H1268" s="1087">
        <v>0.96339100417111312</v>
      </c>
      <c r="I1268" s="1087">
        <v>0.98804021286815413</v>
      </c>
      <c r="K1268">
        <v>1.8490006257119473</v>
      </c>
      <c r="L1268">
        <v>0</v>
      </c>
      <c r="M1268">
        <v>3.4419173891058201E-3</v>
      </c>
      <c r="N1268">
        <v>0.34088368554739629</v>
      </c>
      <c r="O1268">
        <v>0.24252157664451246</v>
      </c>
      <c r="P1268">
        <v>1.3390578438806868E-2</v>
      </c>
      <c r="Q1268">
        <v>1.6239115944505457E-3</v>
      </c>
      <c r="R1268">
        <v>3.4357786861030368E-3</v>
      </c>
      <c r="S1268">
        <v>0.35813159063751432</v>
      </c>
      <c r="T1268">
        <v>0.41060812751406606</v>
      </c>
      <c r="U1268">
        <v>0</v>
      </c>
      <c r="V1268">
        <v>0.2026430803528429</v>
      </c>
      <c r="W1268">
        <v>0.21527542538231767</v>
      </c>
      <c r="X1268">
        <v>5.4577731323607798E-2</v>
      </c>
      <c r="Y1268">
        <v>9.3510569794329861E-3</v>
      </c>
    </row>
    <row r="1269" spans="1:25" x14ac:dyDescent="0.25">
      <c r="A1269" s="1083"/>
      <c r="B1269" s="1455">
        <v>1019</v>
      </c>
      <c r="C1269" s="1087">
        <v>1.0153942663546485</v>
      </c>
      <c r="D1269" s="1087">
        <v>1.0207461793943839</v>
      </c>
      <c r="E1269" s="1087">
        <v>0.98505803653952084</v>
      </c>
      <c r="F1269" s="1087">
        <v>0.98121913624289936</v>
      </c>
      <c r="G1269" s="1087">
        <v>0.99705821994210164</v>
      </c>
      <c r="H1269" s="1087">
        <v>1.0354739843924559</v>
      </c>
      <c r="I1269" s="1087">
        <v>1.0114141933708531</v>
      </c>
      <c r="K1269">
        <v>1.8273859285486962</v>
      </c>
      <c r="L1269">
        <v>0</v>
      </c>
      <c r="M1269">
        <v>3.7815446668103829E-3</v>
      </c>
      <c r="N1269">
        <v>0.34306916250660802</v>
      </c>
      <c r="O1269">
        <v>0.23248020418678902</v>
      </c>
      <c r="P1269">
        <v>1.2901376727906059E-2</v>
      </c>
      <c r="Q1269">
        <v>1.5224055818866022E-3</v>
      </c>
      <c r="R1269">
        <v>3.7752505836260511E-3</v>
      </c>
      <c r="S1269">
        <v>0.36579205903065654</v>
      </c>
      <c r="T1269">
        <v>0.39504242968882758</v>
      </c>
      <c r="U1269">
        <v>0</v>
      </c>
      <c r="V1269">
        <v>0.19536547159393067</v>
      </c>
      <c r="W1269">
        <v>0.22058862801869339</v>
      </c>
      <c r="X1269">
        <v>5.0355497718970015E-2</v>
      </c>
      <c r="Y1269">
        <v>1.0274987577609689E-2</v>
      </c>
    </row>
    <row r="1270" spans="1:25" x14ac:dyDescent="0.25">
      <c r="A1270" s="1083"/>
      <c r="B1270" s="1455">
        <v>1020</v>
      </c>
      <c r="C1270" s="1087">
        <v>0.98819518091903635</v>
      </c>
      <c r="D1270" s="1087">
        <v>0.97171658934596361</v>
      </c>
      <c r="E1270" s="1087">
        <v>1.0133020268633397</v>
      </c>
      <c r="F1270" s="1087">
        <v>0.98484051647689441</v>
      </c>
      <c r="G1270" s="1087">
        <v>0.98674258939185067</v>
      </c>
      <c r="H1270" s="1087">
        <v>1.0257816616303317</v>
      </c>
      <c r="I1270" s="1087">
        <v>0.98195410437643749</v>
      </c>
      <c r="K1270">
        <v>1.8949127872193496</v>
      </c>
      <c r="L1270">
        <v>0</v>
      </c>
      <c r="M1270">
        <v>3.7306113643261959E-3</v>
      </c>
      <c r="N1270">
        <v>0.3689143078847093</v>
      </c>
      <c r="O1270">
        <v>0.24136315206852357</v>
      </c>
      <c r="P1270">
        <v>1.3387031121493146E-2</v>
      </c>
      <c r="Q1270">
        <v>1.6441820315131067E-3</v>
      </c>
      <c r="R1270">
        <v>3.7243856650773046E-3</v>
      </c>
      <c r="S1270">
        <v>0.37352700466128924</v>
      </c>
      <c r="T1270">
        <v>0.39666884848486389</v>
      </c>
      <c r="U1270">
        <v>0</v>
      </c>
      <c r="V1270">
        <v>0.20131001869142803</v>
      </c>
      <c r="W1270">
        <v>0.23305467218093706</v>
      </c>
      <c r="X1270">
        <v>5.4913245756903317E-2</v>
      </c>
      <c r="Y1270">
        <v>1.0136550036935893E-2</v>
      </c>
    </row>
    <row r="1271" spans="1:25" x14ac:dyDescent="0.25">
      <c r="A1271" s="1083"/>
      <c r="B1271" s="1455">
        <v>1021</v>
      </c>
      <c r="C1271" s="1087">
        <v>1.0365166031138338</v>
      </c>
      <c r="D1271" s="1087">
        <v>0.96615991674143564</v>
      </c>
      <c r="E1271" s="1087">
        <v>0.9791710525414099</v>
      </c>
      <c r="F1271" s="1087">
        <v>1.0299834092505391</v>
      </c>
      <c r="G1271" s="1087">
        <v>0.97402772310312336</v>
      </c>
      <c r="H1271" s="1087">
        <v>0.98796812586859961</v>
      </c>
      <c r="I1271" s="1087">
        <v>1.0190207752641507</v>
      </c>
      <c r="K1271">
        <v>1.8354220297777604</v>
      </c>
      <c r="L1271">
        <v>0</v>
      </c>
      <c r="M1271">
        <v>3.6848592759258715E-3</v>
      </c>
      <c r="N1271">
        <v>0.32831590144472028</v>
      </c>
      <c r="O1271">
        <v>0.24100827732362229</v>
      </c>
      <c r="P1271">
        <v>1.3141264049934523E-2</v>
      </c>
      <c r="Q1271">
        <v>1.5149091896452184E-3</v>
      </c>
      <c r="R1271">
        <v>3.678480264309229E-3</v>
      </c>
      <c r="S1271">
        <v>0.36349067386275113</v>
      </c>
      <c r="T1271">
        <v>0.41463883771631799</v>
      </c>
      <c r="U1271">
        <v>0</v>
      </c>
      <c r="V1271">
        <v>0.20020613817077923</v>
      </c>
      <c r="W1271">
        <v>0.21189100143619988</v>
      </c>
      <c r="X1271">
        <v>5.1209794926647664E-2</v>
      </c>
      <c r="Y1271">
        <v>1.0011610668756488E-2</v>
      </c>
    </row>
    <row r="1272" spans="1:25" x14ac:dyDescent="0.25">
      <c r="A1272" s="1083"/>
      <c r="B1272" s="1455">
        <v>1022</v>
      </c>
      <c r="C1272" s="1087">
        <v>1.0217864512639032</v>
      </c>
      <c r="D1272" s="1087">
        <v>1.0009183217816717</v>
      </c>
      <c r="E1272" s="1087">
        <v>1.0203918481037175</v>
      </c>
      <c r="F1272" s="1087">
        <v>1.0456084999674444</v>
      </c>
      <c r="G1272" s="1087">
        <v>1.0175908048762092</v>
      </c>
      <c r="H1272" s="1087">
        <v>0.96417377085878908</v>
      </c>
      <c r="I1272" s="1087">
        <v>0.97188150178524391</v>
      </c>
      <c r="K1272">
        <v>1.824976184029292</v>
      </c>
      <c r="L1272">
        <v>0</v>
      </c>
      <c r="M1272">
        <v>3.2884054496387411E-3</v>
      </c>
      <c r="N1272">
        <v>0.33225068003487401</v>
      </c>
      <c r="O1272">
        <v>0.24150740092840373</v>
      </c>
      <c r="P1272">
        <v>1.3348350432701434E-2</v>
      </c>
      <c r="Q1272">
        <v>1.5832207793904172E-3</v>
      </c>
      <c r="R1272">
        <v>3.282541201617336E-3</v>
      </c>
      <c r="S1272">
        <v>0.34112494844666175</v>
      </c>
      <c r="T1272">
        <v>0.42119010543431706</v>
      </c>
      <c r="U1272">
        <v>0</v>
      </c>
      <c r="V1272">
        <v>0.20135993255825232</v>
      </c>
      <c r="W1272">
        <v>0.20897700268317565</v>
      </c>
      <c r="X1272">
        <v>5.4706411918152245E-2</v>
      </c>
      <c r="Y1272">
        <v>8.9339950613860925E-3</v>
      </c>
    </row>
    <row r="1273" spans="1:25" x14ac:dyDescent="0.25">
      <c r="A1273" s="1083"/>
      <c r="B1273" s="1455">
        <v>1023</v>
      </c>
      <c r="C1273" s="1087">
        <v>0.99789698898976031</v>
      </c>
      <c r="D1273" s="1087">
        <v>0.99128617160148824</v>
      </c>
      <c r="E1273" s="1087">
        <v>1.0402182391062476</v>
      </c>
      <c r="F1273" s="1087">
        <v>1.0141210097186881</v>
      </c>
      <c r="G1273" s="1087">
        <v>1.0081925223043358</v>
      </c>
      <c r="H1273" s="1087">
        <v>0.9918154197788327</v>
      </c>
      <c r="I1273" s="1087">
        <v>0.99937577767929553</v>
      </c>
      <c r="K1273">
        <v>1.8828086671023729</v>
      </c>
      <c r="L1273">
        <v>0</v>
      </c>
      <c r="M1273">
        <v>3.344409381513E-3</v>
      </c>
      <c r="N1273">
        <v>0.35895628875079083</v>
      </c>
      <c r="O1273">
        <v>0.24212497693469523</v>
      </c>
      <c r="P1273">
        <v>1.3729300643006615E-2</v>
      </c>
      <c r="Q1273">
        <v>1.6616092520353144E-3</v>
      </c>
      <c r="R1273">
        <v>3.3386221407868608E-3</v>
      </c>
      <c r="S1273">
        <v>0.36646527769443504</v>
      </c>
      <c r="T1273">
        <v>0.40863077628667449</v>
      </c>
      <c r="U1273">
        <v>0</v>
      </c>
      <c r="V1273">
        <v>0.20191819942787309</v>
      </c>
      <c r="W1273">
        <v>0.22305651420509073</v>
      </c>
      <c r="X1273">
        <v>5.7184882257768993E-2</v>
      </c>
      <c r="Y1273">
        <v>9.0866288907289101E-3</v>
      </c>
    </row>
    <row r="1274" spans="1:25" x14ac:dyDescent="0.25">
      <c r="A1274" s="1083"/>
      <c r="B1274" s="1455">
        <v>1024</v>
      </c>
      <c r="C1274" s="1087">
        <v>1.0041616178129731</v>
      </c>
      <c r="D1274" s="1087">
        <v>1.0021493577743532</v>
      </c>
      <c r="E1274" s="1087">
        <v>0.96952369715011166</v>
      </c>
      <c r="F1274" s="1087">
        <v>1.0323098269484392</v>
      </c>
      <c r="G1274" s="1087">
        <v>1.0272782107691807</v>
      </c>
      <c r="H1274" s="1087">
        <v>1.0368278469296406</v>
      </c>
      <c r="I1274" s="1087">
        <v>1.0132363480999811</v>
      </c>
      <c r="K1274">
        <v>1.8788385032722572</v>
      </c>
      <c r="L1274">
        <v>0</v>
      </c>
      <c r="M1274">
        <v>3.9911917878033528E-3</v>
      </c>
      <c r="N1274">
        <v>0.34529910467397595</v>
      </c>
      <c r="O1274">
        <v>0.2413174526305954</v>
      </c>
      <c r="P1274">
        <v>1.322267483338814E-2</v>
      </c>
      <c r="Q1274">
        <v>1.5250409892238121E-3</v>
      </c>
      <c r="R1274">
        <v>3.9845740731308419E-3</v>
      </c>
      <c r="S1274">
        <v>0.37438713640297938</v>
      </c>
      <c r="T1274">
        <v>0.41551615428330452</v>
      </c>
      <c r="U1274">
        <v>0</v>
      </c>
      <c r="V1274">
        <v>0.20176457136448306</v>
      </c>
      <c r="W1274">
        <v>0.2242255478204466</v>
      </c>
      <c r="X1274">
        <v>5.0742740875958647E-2</v>
      </c>
      <c r="Y1274">
        <v>1.0844697112571957E-2</v>
      </c>
    </row>
    <row r="1275" spans="1:25" x14ac:dyDescent="0.25">
      <c r="A1275" s="1083"/>
      <c r="B1275" s="1455">
        <v>1025</v>
      </c>
      <c r="C1275" s="1087">
        <v>0.96574907269599908</v>
      </c>
      <c r="D1275" s="1087">
        <v>1.0135468846140812</v>
      </c>
      <c r="E1275" s="1087">
        <v>1.0185728590668481</v>
      </c>
      <c r="F1275" s="1087">
        <v>1.0137364161101938</v>
      </c>
      <c r="G1275" s="1087">
        <v>1.0044348269909535</v>
      </c>
      <c r="H1275" s="1087">
        <v>0.9831251914749346</v>
      </c>
      <c r="I1275" s="1087">
        <v>1.0143130094646169</v>
      </c>
      <c r="K1275">
        <v>1.893780651114521</v>
      </c>
      <c r="L1275">
        <v>0</v>
      </c>
      <c r="M1275">
        <v>3.5387801121331548E-3</v>
      </c>
      <c r="N1275">
        <v>0.35558283661458456</v>
      </c>
      <c r="O1275">
        <v>0.24354816100481103</v>
      </c>
      <c r="P1275">
        <v>1.3697666156311747E-2</v>
      </c>
      <c r="Q1275">
        <v>1.6635117482713604E-3</v>
      </c>
      <c r="R1275">
        <v>3.5325835489074271E-3</v>
      </c>
      <c r="S1275">
        <v>0.37773778150079818</v>
      </c>
      <c r="T1275">
        <v>0.40834012490070942</v>
      </c>
      <c r="U1275">
        <v>0</v>
      </c>
      <c r="V1275">
        <v>0.20412871301540023</v>
      </c>
      <c r="W1275">
        <v>0.22390296189874412</v>
      </c>
      <c r="X1275">
        <v>5.5570562933843937E-2</v>
      </c>
      <c r="Y1275">
        <v>9.6145279042720907E-3</v>
      </c>
    </row>
    <row r="1276" spans="1:25" x14ac:dyDescent="0.25">
      <c r="A1276" s="1083"/>
      <c r="B1276" s="1455">
        <v>1026</v>
      </c>
      <c r="C1276" s="1087">
        <v>0.99860040381251325</v>
      </c>
      <c r="D1276" s="1087">
        <v>0.98604030990929736</v>
      </c>
      <c r="E1276" s="1087">
        <v>0.99153865936611252</v>
      </c>
      <c r="F1276" s="1087">
        <v>1.0138602029642789</v>
      </c>
      <c r="G1276" s="1087">
        <v>1.0057148206673261</v>
      </c>
      <c r="H1276" s="1087">
        <v>1.0179452688044168</v>
      </c>
      <c r="I1276" s="1087">
        <v>0.98715882655994092</v>
      </c>
      <c r="K1276">
        <v>1.8737121110376787</v>
      </c>
      <c r="L1276">
        <v>0</v>
      </c>
      <c r="M1276">
        <v>3.8010637287615372E-3</v>
      </c>
      <c r="N1276">
        <v>0.35172649539471085</v>
      </c>
      <c r="O1276">
        <v>0.24183051605360623</v>
      </c>
      <c r="P1276">
        <v>1.3246450431614711E-2</v>
      </c>
      <c r="Q1276">
        <v>1.5805195216234305E-3</v>
      </c>
      <c r="R1276">
        <v>3.7946599228565383E-3</v>
      </c>
      <c r="S1276">
        <v>0.36696277788523568</v>
      </c>
      <c r="T1276">
        <v>0.40822332091083102</v>
      </c>
      <c r="U1276">
        <v>0</v>
      </c>
      <c r="V1276">
        <v>0.20180898699282632</v>
      </c>
      <c r="W1276">
        <v>0.22523319039928263</v>
      </c>
      <c r="X1276">
        <v>5.2778443853144549E-2</v>
      </c>
      <c r="Y1276">
        <v>1.0327813400708114E-2</v>
      </c>
    </row>
    <row r="1277" spans="1:25" x14ac:dyDescent="0.25">
      <c r="A1277" s="1083"/>
      <c r="B1277" s="1455">
        <v>1027</v>
      </c>
      <c r="C1277" s="1087">
        <v>1.0015434961960092</v>
      </c>
      <c r="D1277" s="1087">
        <v>1.0065535560761325</v>
      </c>
      <c r="E1277" s="1087">
        <v>1.0128191483732023</v>
      </c>
      <c r="F1277" s="1087">
        <v>1.0382780487360666</v>
      </c>
      <c r="G1277" s="1087">
        <v>1.0056918152913801</v>
      </c>
      <c r="H1277" s="1087">
        <v>1.0339263704813866</v>
      </c>
      <c r="I1277" s="1087">
        <v>0.967326297931281</v>
      </c>
      <c r="K1277">
        <v>1.8877657258952141</v>
      </c>
      <c r="L1277">
        <v>0</v>
      </c>
      <c r="M1277">
        <v>3.6438452269110673E-3</v>
      </c>
      <c r="N1277">
        <v>0.35980584145951089</v>
      </c>
      <c r="O1277">
        <v>0.24250193284187258</v>
      </c>
      <c r="P1277">
        <v>1.3474714629007041E-2</v>
      </c>
      <c r="Q1277">
        <v>1.5987551028766504E-3</v>
      </c>
      <c r="R1277">
        <v>3.6377824444162568E-3</v>
      </c>
      <c r="S1277">
        <v>0.35745905737634059</v>
      </c>
      <c r="T1277">
        <v>0.41818906894333557</v>
      </c>
      <c r="U1277">
        <v>0</v>
      </c>
      <c r="V1277">
        <v>0.20257340690446518</v>
      </c>
      <c r="W1277">
        <v>0.22736849026370887</v>
      </c>
      <c r="X1277">
        <v>5.4899676537549943E-2</v>
      </c>
      <c r="Y1277">
        <v>9.9008446190405382E-3</v>
      </c>
    </row>
    <row r="1278" spans="1:25" x14ac:dyDescent="0.25">
      <c r="A1278" s="1083"/>
      <c r="B1278" s="1455">
        <v>1028</v>
      </c>
      <c r="C1278" s="1087">
        <v>0.9693217875706438</v>
      </c>
      <c r="D1278" s="1087">
        <v>1.0096976194122622</v>
      </c>
      <c r="E1278" s="1087">
        <v>1.0145837291826942</v>
      </c>
      <c r="F1278" s="1087">
        <v>0.99986823952713066</v>
      </c>
      <c r="G1278" s="1087">
        <v>1.0293758283374106</v>
      </c>
      <c r="H1278" s="1087">
        <v>0.99859682312367104</v>
      </c>
      <c r="I1278" s="1087">
        <v>0.99887128844357087</v>
      </c>
      <c r="K1278">
        <v>1.8871943237695781</v>
      </c>
      <c r="L1278">
        <v>0</v>
      </c>
      <c r="M1278">
        <v>3.617884984444378E-3</v>
      </c>
      <c r="N1278">
        <v>0.35914811719191775</v>
      </c>
      <c r="O1278">
        <v>0.24176562071910052</v>
      </c>
      <c r="P1278">
        <v>1.3512000549609399E-2</v>
      </c>
      <c r="Q1278">
        <v>1.6529238841807494E-3</v>
      </c>
      <c r="R1278">
        <v>3.6116510658909234E-3</v>
      </c>
      <c r="S1278">
        <v>0.37421921335609692</v>
      </c>
      <c r="T1278">
        <v>0.4027294765807295</v>
      </c>
      <c r="U1278">
        <v>0</v>
      </c>
      <c r="V1278">
        <v>0.20270207996922077</v>
      </c>
      <c r="W1278">
        <v>0.22670533091472753</v>
      </c>
      <c r="X1278">
        <v>5.4936070901647337E-2</v>
      </c>
      <c r="Y1278">
        <v>9.8297236209011971E-3</v>
      </c>
    </row>
    <row r="1279" spans="1:25" x14ac:dyDescent="0.25">
      <c r="A1279" s="1083"/>
      <c r="B1279" s="1455">
        <v>1029</v>
      </c>
      <c r="C1279" s="1087">
        <v>1.0308267964956639</v>
      </c>
      <c r="D1279" s="1087">
        <v>0.99633237017035658</v>
      </c>
      <c r="E1279" s="1087">
        <v>0.98912884243557309</v>
      </c>
      <c r="F1279" s="1087">
        <v>0.97543285343342967</v>
      </c>
      <c r="G1279" s="1087">
        <v>1.0310598068391692</v>
      </c>
      <c r="H1279" s="1087">
        <v>0.95983791036302446</v>
      </c>
      <c r="I1279" s="1087">
        <v>0.98093851557687084</v>
      </c>
      <c r="K1279">
        <v>1.7575356009123932</v>
      </c>
      <c r="L1279">
        <v>0</v>
      </c>
      <c r="M1279">
        <v>3.4693003492032816E-3</v>
      </c>
      <c r="N1279">
        <v>0.3186399206724953</v>
      </c>
      <c r="O1279">
        <v>0.23243149904783278</v>
      </c>
      <c r="P1279">
        <v>1.2565326439619592E-2</v>
      </c>
      <c r="Q1279">
        <v>1.5208321320535091E-3</v>
      </c>
      <c r="R1279">
        <v>3.4630919747264304E-3</v>
      </c>
      <c r="S1279">
        <v>0.34113325923838839</v>
      </c>
      <c r="T1279">
        <v>0.39273668818811885</v>
      </c>
      <c r="U1279">
        <v>0</v>
      </c>
      <c r="V1279">
        <v>0.19457076188383954</v>
      </c>
      <c r="W1279">
        <v>0.2043554325133598</v>
      </c>
      <c r="X1279">
        <v>5.0162694423920205E-2</v>
      </c>
      <c r="Y1279">
        <v>9.425394747242688E-3</v>
      </c>
    </row>
    <row r="1280" spans="1:25" x14ac:dyDescent="0.25">
      <c r="A1280" s="1083"/>
      <c r="B1280" s="1455">
        <v>1030</v>
      </c>
      <c r="C1280" s="1087">
        <v>1.0119368510746924</v>
      </c>
      <c r="D1280" s="1087">
        <v>0.97438147397050878</v>
      </c>
      <c r="E1280" s="1087">
        <v>0.96394868098554753</v>
      </c>
      <c r="F1280" s="1087">
        <v>0.9942359215712262</v>
      </c>
      <c r="G1280" s="1087">
        <v>1.0265997614070514</v>
      </c>
      <c r="H1280" s="1087">
        <v>1.0100835105008386</v>
      </c>
      <c r="I1280" s="1087">
        <v>1.0176430490816339</v>
      </c>
      <c r="K1280">
        <v>1.8434478709937838</v>
      </c>
      <c r="L1280">
        <v>0</v>
      </c>
      <c r="M1280">
        <v>3.9624859562295625E-3</v>
      </c>
      <c r="N1280">
        <v>0.33700609009592819</v>
      </c>
      <c r="O1280">
        <v>0.23867651563504458</v>
      </c>
      <c r="P1280">
        <v>1.2922468735998718E-2</v>
      </c>
      <c r="Q1280">
        <v>1.5212065107761163E-3</v>
      </c>
      <c r="R1280">
        <v>3.9557691020219469E-3</v>
      </c>
      <c r="S1280">
        <v>0.37399482295725001</v>
      </c>
      <c r="T1280">
        <v>0.40015821009254726</v>
      </c>
      <c r="U1280">
        <v>0</v>
      </c>
      <c r="V1280">
        <v>0.19915828381785006</v>
      </c>
      <c r="W1280">
        <v>0.21962344184918281</v>
      </c>
      <c r="X1280">
        <v>4.9627248676642477E-2</v>
      </c>
      <c r="Y1280">
        <v>1.0766299476769719E-2</v>
      </c>
    </row>
    <row r="1281" spans="1:25" x14ac:dyDescent="0.25">
      <c r="A1281" s="1083"/>
      <c r="B1281" s="1455">
        <v>1031</v>
      </c>
      <c r="C1281" s="1087">
        <v>1.0039911694039432</v>
      </c>
      <c r="D1281" s="1087">
        <v>0.9935549918201364</v>
      </c>
      <c r="E1281" s="1087">
        <v>0.99460645139254389</v>
      </c>
      <c r="F1281" s="1087">
        <v>0.99993345929655286</v>
      </c>
      <c r="G1281" s="1087">
        <v>0.96887903557150024</v>
      </c>
      <c r="H1281" s="1087">
        <v>1.0118751713546716</v>
      </c>
      <c r="I1281" s="1087">
        <v>1.0302975536912113</v>
      </c>
      <c r="K1281">
        <v>1.8662094533084004</v>
      </c>
      <c r="L1281">
        <v>0</v>
      </c>
      <c r="M1281">
        <v>3.719238463750418E-3</v>
      </c>
      <c r="N1281">
        <v>0.34738947734875614</v>
      </c>
      <c r="O1281">
        <v>0.23881725372208304</v>
      </c>
      <c r="P1281">
        <v>1.3324861146635739E-2</v>
      </c>
      <c r="Q1281">
        <v>1.5724165439998856E-3</v>
      </c>
      <c r="R1281">
        <v>3.7129280365515191E-3</v>
      </c>
      <c r="S1281">
        <v>0.37824052746032061</v>
      </c>
      <c r="T1281">
        <v>0.40263431555518714</v>
      </c>
      <c r="U1281">
        <v>0</v>
      </c>
      <c r="V1281">
        <v>0.19964277064709646</v>
      </c>
      <c r="W1281">
        <v>0.22202769144573117</v>
      </c>
      <c r="X1281">
        <v>5.2461083716693314E-2</v>
      </c>
      <c r="Y1281">
        <v>1.0105366149094937E-2</v>
      </c>
    </row>
    <row r="1282" spans="1:25" x14ac:dyDescent="0.25">
      <c r="A1282" s="1083"/>
      <c r="B1282" s="1455">
        <v>1032</v>
      </c>
      <c r="C1282" s="1087">
        <v>0.97766652797380216</v>
      </c>
      <c r="D1282" s="1087">
        <v>0.9927013452248562</v>
      </c>
      <c r="E1282" s="1087">
        <v>1.0176322507763649</v>
      </c>
      <c r="F1282" s="1087">
        <v>0.98954373302004039</v>
      </c>
      <c r="G1282" s="1087">
        <v>0.99218851051808965</v>
      </c>
      <c r="H1282" s="1087">
        <v>0.99256716312206761</v>
      </c>
      <c r="I1282" s="1087">
        <v>0.99224845814000018</v>
      </c>
      <c r="K1282">
        <v>1.8762844414754325</v>
      </c>
      <c r="L1282">
        <v>0</v>
      </c>
      <c r="M1282">
        <v>3.5753523564018659E-3</v>
      </c>
      <c r="N1282">
        <v>0.35823696903454993</v>
      </c>
      <c r="O1282">
        <v>0.24119620946770598</v>
      </c>
      <c r="P1282">
        <v>1.3427068088887174E-2</v>
      </c>
      <c r="Q1282">
        <v>1.6553059432035673E-3</v>
      </c>
      <c r="R1282">
        <v>3.5691683137343212E-3</v>
      </c>
      <c r="S1282">
        <v>0.37094408744884477</v>
      </c>
      <c r="T1282">
        <v>0.39858943126827062</v>
      </c>
      <c r="U1282">
        <v>0</v>
      </c>
      <c r="V1282">
        <v>0.20178099582996775</v>
      </c>
      <c r="W1282">
        <v>0.22570503444581555</v>
      </c>
      <c r="X1282">
        <v>5.5041424416888619E-2</v>
      </c>
      <c r="Y1282">
        <v>9.7140995739664112E-3</v>
      </c>
    </row>
    <row r="1283" spans="1:25" x14ac:dyDescent="0.25">
      <c r="A1283" s="1083"/>
      <c r="B1283" s="1455">
        <v>1033</v>
      </c>
      <c r="C1283" s="1087">
        <v>0.98874143237310186</v>
      </c>
      <c r="D1283" s="1087">
        <v>1.0267575528046757</v>
      </c>
      <c r="E1283" s="1087">
        <v>0.99810948716347991</v>
      </c>
      <c r="F1283" s="1087">
        <v>0.96505525275043813</v>
      </c>
      <c r="G1283" s="1087">
        <v>0.98149709595214052</v>
      </c>
      <c r="H1283" s="1087">
        <v>1.0074332822958634</v>
      </c>
      <c r="I1283" s="1087">
        <v>1.0110802145746203</v>
      </c>
      <c r="K1283">
        <v>1.8310951719232271</v>
      </c>
      <c r="L1283">
        <v>0</v>
      </c>
      <c r="M1283">
        <v>3.667455302880606E-3</v>
      </c>
      <c r="N1283">
        <v>0.34623000578600194</v>
      </c>
      <c r="O1283">
        <v>0.23333190250567443</v>
      </c>
      <c r="P1283">
        <v>1.3005573674300429E-2</v>
      </c>
      <c r="Q1283">
        <v>1.5817161012559673E-3</v>
      </c>
      <c r="R1283">
        <v>3.6611763774047168E-3</v>
      </c>
      <c r="S1283">
        <v>0.36934959907390708</v>
      </c>
      <c r="T1283">
        <v>0.3886106488357981</v>
      </c>
      <c r="U1283">
        <v>0</v>
      </c>
      <c r="V1283">
        <v>0.19655758919841751</v>
      </c>
      <c r="W1283">
        <v>0.22080149251793574</v>
      </c>
      <c r="X1283">
        <v>5.1668407962584602E-2</v>
      </c>
      <c r="Y1283">
        <v>9.9645151928271902E-3</v>
      </c>
    </row>
    <row r="1284" spans="1:25" x14ac:dyDescent="0.25">
      <c r="A1284" s="1083"/>
      <c r="B1284" s="1455">
        <v>1034</v>
      </c>
      <c r="C1284" s="1087">
        <v>1.0005194920087457</v>
      </c>
      <c r="D1284" s="1087">
        <v>1.0024648603560469</v>
      </c>
      <c r="E1284" s="1087">
        <v>0.99094445278604082</v>
      </c>
      <c r="F1284" s="1087">
        <v>1.0025133872979013</v>
      </c>
      <c r="G1284" s="1087">
        <v>0.9999438694755981</v>
      </c>
      <c r="H1284" s="1087">
        <v>0.97291825236876261</v>
      </c>
      <c r="I1284" s="1087">
        <v>0.97237033051113608</v>
      </c>
      <c r="K1284">
        <v>1.8127004703358054</v>
      </c>
      <c r="L1284">
        <v>0</v>
      </c>
      <c r="M1284">
        <v>3.5980174797166091E-3</v>
      </c>
      <c r="N1284">
        <v>0.33230697577173895</v>
      </c>
      <c r="O1284">
        <v>0.2385985980262334</v>
      </c>
      <c r="P1284">
        <v>1.2914500728403736E-2</v>
      </c>
      <c r="Q1284">
        <v>1.5661019119401066E-3</v>
      </c>
      <c r="R1284">
        <v>3.5916603409397825E-3</v>
      </c>
      <c r="S1284">
        <v>0.34954927217816539</v>
      </c>
      <c r="T1284">
        <v>0.4036510225543779</v>
      </c>
      <c r="U1284">
        <v>0</v>
      </c>
      <c r="V1284">
        <v>0.19973845787745093</v>
      </c>
      <c r="W1284">
        <v>0.21287716160028872</v>
      </c>
      <c r="X1284">
        <v>5.1729421368456562E-2</v>
      </c>
      <c r="Y1284">
        <v>9.7753154575249031E-3</v>
      </c>
    </row>
    <row r="1285" spans="1:25" x14ac:dyDescent="0.25">
      <c r="A1285" s="1083"/>
      <c r="B1285" s="1455">
        <v>1035</v>
      </c>
      <c r="C1285" s="1087">
        <v>1.0103026666958441</v>
      </c>
      <c r="D1285" s="1087">
        <v>0.97530298600983867</v>
      </c>
      <c r="E1285" s="1087">
        <v>0.98621105164312295</v>
      </c>
      <c r="F1285" s="1087">
        <v>1.0215886268846246</v>
      </c>
      <c r="G1285" s="1087">
        <v>1.0211828730213153</v>
      </c>
      <c r="H1285" s="1087">
        <v>0.98953739996280921</v>
      </c>
      <c r="I1285" s="1087">
        <v>1.013841856401519</v>
      </c>
      <c r="K1285">
        <v>1.8573657824400398</v>
      </c>
      <c r="L1285">
        <v>0</v>
      </c>
      <c r="M1285">
        <v>3.7140019994989244E-3</v>
      </c>
      <c r="N1285">
        <v>0.33810810566740723</v>
      </c>
      <c r="O1285">
        <v>0.24233598369122489</v>
      </c>
      <c r="P1285">
        <v>1.3268547723458703E-2</v>
      </c>
      <c r="Q1285">
        <v>1.5601358942782489E-3</v>
      </c>
      <c r="R1285">
        <v>3.7075750483760083E-3</v>
      </c>
      <c r="S1285">
        <v>0.36948281259406951</v>
      </c>
      <c r="T1285">
        <v>0.41130239856661455</v>
      </c>
      <c r="U1285">
        <v>0</v>
      </c>
      <c r="V1285">
        <v>0.20177346250214453</v>
      </c>
      <c r="W1285">
        <v>0.21724047112848852</v>
      </c>
      <c r="X1285">
        <v>5.2209494543583541E-2</v>
      </c>
      <c r="Y1285">
        <v>1.0090797079893273E-2</v>
      </c>
    </row>
    <row r="1286" spans="1:25" x14ac:dyDescent="0.25">
      <c r="A1286" s="1083"/>
      <c r="B1286" s="1455">
        <v>1036</v>
      </c>
      <c r="C1286" s="1087">
        <v>0.96804210041684491</v>
      </c>
      <c r="D1286" s="1087">
        <v>0.99157851529059648</v>
      </c>
      <c r="E1286" s="1087">
        <v>0.96980667118360653</v>
      </c>
      <c r="F1286" s="1087">
        <v>0.99960882547980701</v>
      </c>
      <c r="G1286" s="1087">
        <v>1.0158541191168182</v>
      </c>
      <c r="H1286" s="1087">
        <v>0.98945373637025036</v>
      </c>
      <c r="I1286" s="1087">
        <v>1.0196932305607467</v>
      </c>
      <c r="K1286">
        <v>1.8767384390031541</v>
      </c>
      <c r="L1286">
        <v>0</v>
      </c>
      <c r="M1286">
        <v>3.9716407716044958E-3</v>
      </c>
      <c r="N1286">
        <v>0.34387873763818277</v>
      </c>
      <c r="O1286">
        <v>0.2430336782911493</v>
      </c>
      <c r="P1286">
        <v>1.3202423035636554E-2</v>
      </c>
      <c r="Q1286">
        <v>1.5891542633372298E-3</v>
      </c>
      <c r="R1286">
        <v>3.9647509277275991E-3</v>
      </c>
      <c r="S1286">
        <v>0.38406579041762207</v>
      </c>
      <c r="T1286">
        <v>0.40235531479476505</v>
      </c>
      <c r="U1286">
        <v>0</v>
      </c>
      <c r="V1286">
        <v>0.20351008317661237</v>
      </c>
      <c r="W1286">
        <v>0.22326281675234971</v>
      </c>
      <c r="X1286">
        <v>5.1056585431892183E-2</v>
      </c>
      <c r="Y1286">
        <v>1.0790745045482461E-2</v>
      </c>
    </row>
    <row r="1287" spans="1:25" x14ac:dyDescent="0.25">
      <c r="A1287" s="1083"/>
      <c r="B1287" s="1455">
        <v>1037</v>
      </c>
      <c r="C1287" s="1087">
        <v>1.0154838375636792</v>
      </c>
      <c r="D1287" s="1087">
        <v>1.0011055333589141</v>
      </c>
      <c r="E1287" s="1087">
        <v>1.0181150040222287</v>
      </c>
      <c r="F1287" s="1087">
        <v>1.0209200508389689</v>
      </c>
      <c r="G1287" s="1087">
        <v>1.0033624894344646</v>
      </c>
      <c r="H1287" s="1087">
        <v>0.97736801459893907</v>
      </c>
      <c r="I1287" s="1087">
        <v>0.96334187982512998</v>
      </c>
      <c r="K1287">
        <v>1.8224927104936739</v>
      </c>
      <c r="L1287">
        <v>0</v>
      </c>
      <c r="M1287">
        <v>3.3704993442523604E-3</v>
      </c>
      <c r="N1287">
        <v>0.3381988390697856</v>
      </c>
      <c r="O1287">
        <v>0.23944468307103872</v>
      </c>
      <c r="P1287">
        <v>1.3187670336187618E-2</v>
      </c>
      <c r="Q1287">
        <v>1.5891059750960694E-3</v>
      </c>
      <c r="R1287">
        <v>3.3645715153534017E-3</v>
      </c>
      <c r="S1287">
        <v>0.34248789577143313</v>
      </c>
      <c r="T1287">
        <v>0.41123087445790041</v>
      </c>
      <c r="U1287">
        <v>0</v>
      </c>
      <c r="V1287">
        <v>0.19994452626929643</v>
      </c>
      <c r="W1287">
        <v>0.21301672543742253</v>
      </c>
      <c r="X1287">
        <v>5.4241063400321178E-2</v>
      </c>
      <c r="Y1287">
        <v>9.1572545340900049E-3</v>
      </c>
    </row>
    <row r="1288" spans="1:25" x14ac:dyDescent="0.25">
      <c r="A1288" s="1083"/>
      <c r="B1288" s="1455">
        <v>1038</v>
      </c>
      <c r="C1288" s="1087">
        <v>0.9841145273052474</v>
      </c>
      <c r="D1288" s="1087">
        <v>1.0138637030683777</v>
      </c>
      <c r="E1288" s="1087">
        <v>0.9781596431461731</v>
      </c>
      <c r="F1288" s="1087">
        <v>0.98148952915385179</v>
      </c>
      <c r="G1288" s="1087">
        <v>1.0104394799588543</v>
      </c>
      <c r="H1288" s="1087">
        <v>1.0132084467697053</v>
      </c>
      <c r="I1288" s="1087">
        <v>1.0088727359890677</v>
      </c>
      <c r="K1288">
        <v>1.84849952119855</v>
      </c>
      <c r="L1288">
        <v>0</v>
      </c>
      <c r="M1288">
        <v>3.8863452489675938E-3</v>
      </c>
      <c r="N1288">
        <v>0.3452102677254858</v>
      </c>
      <c r="O1288">
        <v>0.23679735803142921</v>
      </c>
      <c r="P1288">
        <v>1.2990285391879361E-2</v>
      </c>
      <c r="Q1288">
        <v>1.5634058663604158E-3</v>
      </c>
      <c r="R1288">
        <v>3.8797412461896246E-3</v>
      </c>
      <c r="S1288">
        <v>0.37370213177362427</v>
      </c>
      <c r="T1288">
        <v>0.3951108085013581</v>
      </c>
      <c r="U1288">
        <v>0</v>
      </c>
      <c r="V1288">
        <v>0.19902255897373231</v>
      </c>
      <c r="W1288">
        <v>0.22293754009553074</v>
      </c>
      <c r="X1288">
        <v>5.0612392126159679E-2</v>
      </c>
      <c r="Y1288">
        <v>1.0559376715770077E-2</v>
      </c>
    </row>
    <row r="1289" spans="1:25" x14ac:dyDescent="0.25">
      <c r="A1289" s="1083"/>
      <c r="B1289" s="1455">
        <v>1039</v>
      </c>
      <c r="C1289" s="1087">
        <v>1.0494091374995058</v>
      </c>
      <c r="D1289" s="1087">
        <v>1.0016577110518321</v>
      </c>
      <c r="E1289" s="1087">
        <v>0.98972062670516725</v>
      </c>
      <c r="F1289" s="1087">
        <v>1.0181695246865234</v>
      </c>
      <c r="G1289" s="1087">
        <v>0.96740426676858837</v>
      </c>
      <c r="H1289" s="1087">
        <v>0.99821582561625999</v>
      </c>
      <c r="I1289" s="1087">
        <v>0.97004633683239638</v>
      </c>
      <c r="K1289">
        <v>1.7846991399939958</v>
      </c>
      <c r="L1289">
        <v>0</v>
      </c>
      <c r="M1289">
        <v>3.5279867001276007E-3</v>
      </c>
      <c r="N1289">
        <v>0.32463785294368824</v>
      </c>
      <c r="O1289">
        <v>0.23464436834121319</v>
      </c>
      <c r="P1289">
        <v>1.2764098331853628E-2</v>
      </c>
      <c r="Q1289">
        <v>1.4916655651970416E-3</v>
      </c>
      <c r="R1289">
        <v>3.5219085995812946E-3</v>
      </c>
      <c r="S1289">
        <v>0.33674803553338067</v>
      </c>
      <c r="T1289">
        <v>0.40994729669525259</v>
      </c>
      <c r="U1289">
        <v>0</v>
      </c>
      <c r="V1289">
        <v>0.19601525781832926</v>
      </c>
      <c r="W1289">
        <v>0.20812453980070189</v>
      </c>
      <c r="X1289">
        <v>5.074662885372315E-2</v>
      </c>
      <c r="Y1289">
        <v>9.5854742112024549E-3</v>
      </c>
    </row>
    <row r="1290" spans="1:25" x14ac:dyDescent="0.25">
      <c r="A1290" s="1083"/>
      <c r="B1290" s="1455">
        <v>1040</v>
      </c>
      <c r="C1290" s="1087">
        <v>0.95845870896531982</v>
      </c>
      <c r="D1290" s="1087">
        <v>0.99295307363079732</v>
      </c>
      <c r="E1290" s="1087">
        <v>0.99757207964765027</v>
      </c>
      <c r="F1290" s="1087">
        <v>0.99261304839732434</v>
      </c>
      <c r="G1290" s="1087">
        <v>0.99791500981677006</v>
      </c>
      <c r="H1290" s="1087">
        <v>0.99065101564441238</v>
      </c>
      <c r="I1290" s="1087">
        <v>1.00572426160213</v>
      </c>
      <c r="K1290">
        <v>1.8947995830272275</v>
      </c>
      <c r="L1290">
        <v>0</v>
      </c>
      <c r="M1290">
        <v>3.7917710905671321E-3</v>
      </c>
      <c r="N1290">
        <v>0.35737193161685632</v>
      </c>
      <c r="O1290">
        <v>0.24365375294307109</v>
      </c>
      <c r="P1290">
        <v>1.343757397765019E-2</v>
      </c>
      <c r="Q1290">
        <v>1.652740074521517E-3</v>
      </c>
      <c r="R1290">
        <v>3.7851992415296313E-3</v>
      </c>
      <c r="S1290">
        <v>0.38283909773741437</v>
      </c>
      <c r="T1290">
        <v>0.39970445757760514</v>
      </c>
      <c r="U1290">
        <v>0</v>
      </c>
      <c r="V1290">
        <v>0.20407552874883994</v>
      </c>
      <c r="W1290">
        <v>0.22798370523874528</v>
      </c>
      <c r="X1290">
        <v>5.3785302416711062E-2</v>
      </c>
      <c r="Y1290">
        <v>1.0302064544849039E-2</v>
      </c>
    </row>
    <row r="1291" spans="1:25" x14ac:dyDescent="0.25">
      <c r="A1291" s="1083"/>
      <c r="B1291" s="1455">
        <v>1041</v>
      </c>
      <c r="C1291" s="1087">
        <v>0.97375084825645508</v>
      </c>
      <c r="D1291" s="1087">
        <v>0.99211561149155192</v>
      </c>
      <c r="E1291" s="1087">
        <v>0.97675019720438128</v>
      </c>
      <c r="F1291" s="1087">
        <v>1.0137251712900441</v>
      </c>
      <c r="G1291" s="1087">
        <v>0.98186632484198444</v>
      </c>
      <c r="H1291" s="1087">
        <v>0.97090819872415224</v>
      </c>
      <c r="I1291" s="1087">
        <v>1.0034623037749268</v>
      </c>
      <c r="K1291">
        <v>1.8614763218726331</v>
      </c>
      <c r="L1291">
        <v>0</v>
      </c>
      <c r="M1291">
        <v>3.8192058128882788E-3</v>
      </c>
      <c r="N1291">
        <v>0.33776488168321178</v>
      </c>
      <c r="O1291">
        <v>0.24406669078704493</v>
      </c>
      <c r="P1291">
        <v>1.3198956077227155E-2</v>
      </c>
      <c r="Q1291">
        <v>1.5913896297333583E-3</v>
      </c>
      <c r="R1291">
        <v>3.812454012785915E-3</v>
      </c>
      <c r="S1291">
        <v>0.37224470050197295</v>
      </c>
      <c r="T1291">
        <v>0.40807915025801672</v>
      </c>
      <c r="U1291">
        <v>0</v>
      </c>
      <c r="V1291">
        <v>0.20411518299787867</v>
      </c>
      <c r="W1291">
        <v>0.21832477176932566</v>
      </c>
      <c r="X1291">
        <v>5.1721106920648359E-2</v>
      </c>
      <c r="Y1291">
        <v>1.0376243047675711E-2</v>
      </c>
    </row>
    <row r="1292" spans="1:25" x14ac:dyDescent="0.25">
      <c r="A1292" s="1083"/>
      <c r="B1292" s="1455">
        <v>1042</v>
      </c>
      <c r="C1292" s="1087">
        <v>0.99087511913244108</v>
      </c>
      <c r="D1292" s="1087">
        <v>0.98756627573246436</v>
      </c>
      <c r="E1292" s="1087">
        <v>1.0047768236168328</v>
      </c>
      <c r="F1292" s="1087">
        <v>0.99494922185507428</v>
      </c>
      <c r="G1292" s="1087">
        <v>1.0119131127615271</v>
      </c>
      <c r="H1292" s="1087">
        <v>1.0294954001857473</v>
      </c>
      <c r="I1292" s="1087">
        <v>0.97171874650562551</v>
      </c>
      <c r="K1292">
        <v>1.88066919502533</v>
      </c>
      <c r="L1292">
        <v>0</v>
      </c>
      <c r="M1292">
        <v>3.7673466264051166E-3</v>
      </c>
      <c r="N1292">
        <v>0.3629868415398842</v>
      </c>
      <c r="O1292">
        <v>0.24055531925611412</v>
      </c>
      <c r="P1292">
        <v>1.3249797546045446E-2</v>
      </c>
      <c r="Q1292">
        <v>1.6144930422803164E-3</v>
      </c>
      <c r="R1292">
        <v>3.7610691449394226E-3</v>
      </c>
      <c r="S1292">
        <v>0.3659377704062739</v>
      </c>
      <c r="T1292">
        <v>0.40068865609792031</v>
      </c>
      <c r="U1292">
        <v>0</v>
      </c>
      <c r="V1292">
        <v>0.20100236186485032</v>
      </c>
      <c r="W1292">
        <v>0.23052653127583522</v>
      </c>
      <c r="X1292">
        <v>5.387731110117823E-2</v>
      </c>
      <c r="Y1292">
        <v>1.0236390376414691E-2</v>
      </c>
    </row>
    <row r="1293" spans="1:25" x14ac:dyDescent="0.25">
      <c r="A1293" s="1083"/>
      <c r="B1293" s="1455">
        <v>1043</v>
      </c>
      <c r="C1293" s="1087">
        <v>1.0150164761086202</v>
      </c>
      <c r="D1293" s="1087">
        <v>1.0010703006093609</v>
      </c>
      <c r="E1293" s="1087">
        <v>0.96600583120854544</v>
      </c>
      <c r="F1293" s="1087">
        <v>0.97684138950582866</v>
      </c>
      <c r="G1293" s="1087">
        <v>1.0265177735852544</v>
      </c>
      <c r="H1293" s="1087">
        <v>1.0138878087809793</v>
      </c>
      <c r="I1293" s="1087">
        <v>0.99777727163972263</v>
      </c>
      <c r="K1293">
        <v>1.8068846563691263</v>
      </c>
      <c r="L1293">
        <v>0</v>
      </c>
      <c r="M1293">
        <v>3.8914824107150765E-3</v>
      </c>
      <c r="N1293">
        <v>0.33305690613590833</v>
      </c>
      <c r="O1293">
        <v>0.23363936321750464</v>
      </c>
      <c r="P1293">
        <v>1.2632162583177068E-2</v>
      </c>
      <c r="Q1293">
        <v>1.5036395536174678E-3</v>
      </c>
      <c r="R1293">
        <v>3.8848855887492683E-3</v>
      </c>
      <c r="S1293">
        <v>0.36084173473376208</v>
      </c>
      <c r="T1293">
        <v>0.39316915780467121</v>
      </c>
      <c r="U1293">
        <v>0</v>
      </c>
      <c r="V1293">
        <v>0.19593040813183485</v>
      </c>
      <c r="W1293">
        <v>0.21676352359284912</v>
      </c>
      <c r="X1293">
        <v>4.8780979517380106E-2</v>
      </c>
      <c r="Y1293">
        <v>1.0573377920385358E-2</v>
      </c>
    </row>
    <row r="1294" spans="1:25" x14ac:dyDescent="0.25">
      <c r="A1294" s="1083"/>
      <c r="B1294" s="1455">
        <v>1044</v>
      </c>
      <c r="C1294" s="1087">
        <v>1.0141431507533754</v>
      </c>
      <c r="D1294" s="1087">
        <v>0.98593272357971984</v>
      </c>
      <c r="E1294" s="1087">
        <v>1.0092578381980375</v>
      </c>
      <c r="F1294" s="1087">
        <v>1.0279652601591238</v>
      </c>
      <c r="G1294" s="1087">
        <v>1.01351311184061</v>
      </c>
      <c r="H1294" s="1087">
        <v>0.99931490074561413</v>
      </c>
      <c r="I1294" s="1087">
        <v>1.0081934110517585</v>
      </c>
      <c r="K1294">
        <v>1.8673443790034034</v>
      </c>
      <c r="L1294">
        <v>0</v>
      </c>
      <c r="M1294">
        <v>3.5433537111074329E-3</v>
      </c>
      <c r="N1294">
        <v>0.34608585576203249</v>
      </c>
      <c r="O1294">
        <v>0.24184243432934235</v>
      </c>
      <c r="P1294">
        <v>1.3482075063427655E-2</v>
      </c>
      <c r="Q1294">
        <v>1.5860235145201704E-3</v>
      </c>
      <c r="R1294">
        <v>3.5372722552615404E-3</v>
      </c>
      <c r="S1294">
        <v>0.36586054214265368</v>
      </c>
      <c r="T1294">
        <v>0.4140130140194711</v>
      </c>
      <c r="U1294">
        <v>0</v>
      </c>
      <c r="V1294">
        <v>0.20145730302778581</v>
      </c>
      <c r="W1294">
        <v>0.21918171706651662</v>
      </c>
      <c r="X1294">
        <v>5.4214206516163078E-2</v>
      </c>
      <c r="Y1294">
        <v>9.6272890173363518E-3</v>
      </c>
    </row>
    <row r="1295" spans="1:25" x14ac:dyDescent="0.25">
      <c r="A1295" s="1083"/>
      <c r="B1295" s="1455">
        <v>1045</v>
      </c>
      <c r="C1295" s="1087">
        <v>0.99195323286549364</v>
      </c>
      <c r="D1295" s="1087">
        <v>1.016742977669147</v>
      </c>
      <c r="E1295" s="1087">
        <v>1.0312868389159047</v>
      </c>
      <c r="F1295" s="1087">
        <v>0.99386937644537143</v>
      </c>
      <c r="G1295" s="1087">
        <v>0.9677577052905868</v>
      </c>
      <c r="H1295" s="1087">
        <v>1.0204172314104316</v>
      </c>
      <c r="I1295" s="1087">
        <v>1.0243533911256879</v>
      </c>
      <c r="K1295">
        <v>1.8861691690231996</v>
      </c>
      <c r="L1295">
        <v>0</v>
      </c>
      <c r="M1295">
        <v>3.4776832696815857E-3</v>
      </c>
      <c r="N1295">
        <v>0.36326568183380858</v>
      </c>
      <c r="O1295">
        <v>0.23779964997872219</v>
      </c>
      <c r="P1295">
        <v>1.3649912932237721E-2</v>
      </c>
      <c r="Q1295">
        <v>1.6393084030495869E-3</v>
      </c>
      <c r="R1295">
        <v>3.4718132576075831E-3</v>
      </c>
      <c r="S1295">
        <v>0.37782016226229836</v>
      </c>
      <c r="T1295">
        <v>0.40041544282256297</v>
      </c>
      <c r="U1295">
        <v>0</v>
      </c>
      <c r="V1295">
        <v>0.19941332652288815</v>
      </c>
      <c r="W1295">
        <v>0.22696415885626234</v>
      </c>
      <c r="X1295">
        <v>5.5758264219168623E-2</v>
      </c>
      <c r="Y1295">
        <v>9.4491312042750564E-3</v>
      </c>
    </row>
    <row r="1296" spans="1:25" x14ac:dyDescent="0.25">
      <c r="A1296" s="1083"/>
      <c r="B1296" s="1455">
        <v>1046</v>
      </c>
      <c r="C1296" s="1087">
        <v>0.99659303931933119</v>
      </c>
      <c r="D1296" s="1087">
        <v>1.0131413655592789</v>
      </c>
      <c r="E1296" s="1087">
        <v>0.99158963779149978</v>
      </c>
      <c r="F1296" s="1087">
        <v>0.96979609488350771</v>
      </c>
      <c r="G1296" s="1087">
        <v>1.014762349470796</v>
      </c>
      <c r="H1296" s="1087">
        <v>0.95913244573460443</v>
      </c>
      <c r="I1296" s="1087">
        <v>1.0067034959839842</v>
      </c>
      <c r="K1296">
        <v>1.7917360636176938</v>
      </c>
      <c r="L1296">
        <v>0</v>
      </c>
      <c r="M1296">
        <v>3.5358911243296956E-3</v>
      </c>
      <c r="N1296">
        <v>0.32720389593852323</v>
      </c>
      <c r="O1296">
        <v>0.23416533155186545</v>
      </c>
      <c r="P1296">
        <v>1.2826063738991403E-2</v>
      </c>
      <c r="Q1296">
        <v>1.5667052388860596E-3</v>
      </c>
      <c r="R1296">
        <v>3.5295442971980374E-3</v>
      </c>
      <c r="S1296">
        <v>0.35868699896650758</v>
      </c>
      <c r="T1296">
        <v>0.39048153106374778</v>
      </c>
      <c r="U1296">
        <v>0</v>
      </c>
      <c r="V1296">
        <v>0.19678344312559959</v>
      </c>
      <c r="W1296">
        <v>0.20952306977474996</v>
      </c>
      <c r="X1296">
        <v>5.0899114982946712E-2</v>
      </c>
      <c r="Y1296">
        <v>9.6062560630081895E-3</v>
      </c>
    </row>
    <row r="1297" spans="1:25" x14ac:dyDescent="0.25">
      <c r="A1297" s="1083"/>
      <c r="B1297" s="1455">
        <v>1047</v>
      </c>
      <c r="C1297" s="1087">
        <v>0.99533667290157746</v>
      </c>
      <c r="D1297" s="1087">
        <v>0.97854538903344446</v>
      </c>
      <c r="E1297" s="1087">
        <v>0.98510577013487455</v>
      </c>
      <c r="F1297" s="1087">
        <v>0.99634223937403943</v>
      </c>
      <c r="G1297" s="1087">
        <v>0.99422878727958497</v>
      </c>
      <c r="H1297" s="1087">
        <v>1.0000262881997557</v>
      </c>
      <c r="I1297" s="1087">
        <v>1.0043396339980806</v>
      </c>
      <c r="K1297">
        <v>1.8608764267715587</v>
      </c>
      <c r="L1297">
        <v>0</v>
      </c>
      <c r="M1297">
        <v>3.8113651486707503E-3</v>
      </c>
      <c r="N1297">
        <v>0.34580806379239037</v>
      </c>
      <c r="O1297">
        <v>0.24080209831513846</v>
      </c>
      <c r="P1297">
        <v>1.3154137558986027E-2</v>
      </c>
      <c r="Q1297">
        <v>1.5796178947977684E-3</v>
      </c>
      <c r="R1297">
        <v>3.8048355033807129E-3</v>
      </c>
      <c r="S1297">
        <v>0.37275802989366769</v>
      </c>
      <c r="T1297">
        <v>0.40113133166247888</v>
      </c>
      <c r="U1297">
        <v>0</v>
      </c>
      <c r="V1297">
        <v>0.20100868417277534</v>
      </c>
      <c r="W1297">
        <v>0.22234299642532185</v>
      </c>
      <c r="X1297">
        <v>5.1942488724775346E-2</v>
      </c>
      <c r="Y1297">
        <v>1.0355507976515702E-2</v>
      </c>
    </row>
    <row r="1298" spans="1:25" x14ac:dyDescent="0.25">
      <c r="A1298" s="1083"/>
      <c r="B1298" s="1455">
        <v>1048</v>
      </c>
      <c r="C1298" s="1087">
        <v>0.9889139962165564</v>
      </c>
      <c r="D1298" s="1087">
        <v>0.99939576627245408</v>
      </c>
      <c r="E1298" s="1087">
        <v>0.97199083004829745</v>
      </c>
      <c r="F1298" s="1087">
        <v>0.97366815373656124</v>
      </c>
      <c r="G1298" s="1087">
        <v>1.0105129875290648</v>
      </c>
      <c r="H1298" s="1087">
        <v>1.006314487886927</v>
      </c>
      <c r="I1298" s="1087">
        <v>0.98451878709119123</v>
      </c>
      <c r="K1298">
        <v>1.8295801320444538</v>
      </c>
      <c r="L1298">
        <v>0</v>
      </c>
      <c r="M1298">
        <v>3.9196720773752806E-3</v>
      </c>
      <c r="N1298">
        <v>0.34166287363457548</v>
      </c>
      <c r="O1298">
        <v>0.23658096442668025</v>
      </c>
      <c r="P1298">
        <v>1.2756909032694851E-2</v>
      </c>
      <c r="Q1298">
        <v>1.5544035252686816E-3</v>
      </c>
      <c r="R1298">
        <v>3.9129786335954791E-3</v>
      </c>
      <c r="S1298">
        <v>0.36447427284946954</v>
      </c>
      <c r="T1298">
        <v>0.39192647763874</v>
      </c>
      <c r="U1298">
        <v>0</v>
      </c>
      <c r="V1298">
        <v>0.19852861170357353</v>
      </c>
      <c r="W1298">
        <v>0.22151493669867589</v>
      </c>
      <c r="X1298">
        <v>4.9937538050968393E-2</v>
      </c>
      <c r="Y1298">
        <v>1.0649837927587001E-2</v>
      </c>
    </row>
    <row r="1299" spans="1:25" x14ac:dyDescent="0.25">
      <c r="A1299" s="1083"/>
      <c r="B1299" s="1455">
        <v>1049</v>
      </c>
      <c r="C1299" s="1087">
        <v>1.0094085273508329</v>
      </c>
      <c r="D1299" s="1087">
        <v>1.0175335319321459</v>
      </c>
      <c r="E1299" s="1087">
        <v>0.97311589532925846</v>
      </c>
      <c r="F1299" s="1087">
        <v>1.0073936584539573</v>
      </c>
      <c r="G1299" s="1087">
        <v>1.0132370011539873</v>
      </c>
      <c r="H1299" s="1087">
        <v>0.99648991685715071</v>
      </c>
      <c r="I1299" s="1087">
        <v>0.99183059510103644</v>
      </c>
      <c r="K1299">
        <v>1.8104688970251144</v>
      </c>
      <c r="L1299">
        <v>0</v>
      </c>
      <c r="M1299">
        <v>3.7571460157011325E-3</v>
      </c>
      <c r="N1299">
        <v>0.32861771730867401</v>
      </c>
      <c r="O1299">
        <v>0.23634448241270112</v>
      </c>
      <c r="P1299">
        <v>1.2812306734630229E-2</v>
      </c>
      <c r="Q1299">
        <v>1.5137667267963268E-3</v>
      </c>
      <c r="R1299">
        <v>3.7506503810970518E-3</v>
      </c>
      <c r="S1299">
        <v>0.35444223539075226</v>
      </c>
      <c r="T1299">
        <v>0.40550859194794503</v>
      </c>
      <c r="U1299">
        <v>0</v>
      </c>
      <c r="V1299">
        <v>0.19830421689280905</v>
      </c>
      <c r="W1299">
        <v>0.21290434152541327</v>
      </c>
      <c r="X1299">
        <v>4.9819699784218553E-2</v>
      </c>
      <c r="Y1299">
        <v>1.0208033935780335E-2</v>
      </c>
    </row>
    <row r="1300" spans="1:25" x14ac:dyDescent="0.25">
      <c r="A1300" s="1083"/>
      <c r="B1300" s="1455">
        <v>1050</v>
      </c>
      <c r="C1300" s="1087">
        <v>1.0203293059096974</v>
      </c>
      <c r="D1300" s="1087">
        <v>0.95787766399041918</v>
      </c>
      <c r="E1300" s="1087">
        <v>0.98713766168105854</v>
      </c>
      <c r="F1300" s="1087">
        <v>1.0029042210501102</v>
      </c>
      <c r="G1300" s="1087">
        <v>1.0016950157789364</v>
      </c>
      <c r="H1300" s="1087">
        <v>0.96626715634546401</v>
      </c>
      <c r="I1300" s="1087">
        <v>0.96812685509675678</v>
      </c>
      <c r="K1300">
        <v>1.8119669441984099</v>
      </c>
      <c r="L1300">
        <v>0</v>
      </c>
      <c r="M1300">
        <v>3.6192732286942585E-3</v>
      </c>
      <c r="N1300">
        <v>0.33040597235250879</v>
      </c>
      <c r="O1300">
        <v>0.24073856620273895</v>
      </c>
      <c r="P1300">
        <v>1.2873612609158556E-2</v>
      </c>
      <c r="Q1300">
        <v>1.5575326191730502E-3</v>
      </c>
      <c r="R1300">
        <v>3.6128754899174428E-3</v>
      </c>
      <c r="S1300">
        <v>0.34878594919410649</v>
      </c>
      <c r="T1300">
        <v>0.40378543594773075</v>
      </c>
      <c r="U1300">
        <v>0</v>
      </c>
      <c r="V1300">
        <v>0.20007668577077564</v>
      </c>
      <c r="W1300">
        <v>0.21216759976999669</v>
      </c>
      <c r="X1300">
        <v>5.1748931371524171E-2</v>
      </c>
      <c r="Y1300">
        <v>9.8330560994701124E-3</v>
      </c>
    </row>
    <row r="1301" spans="1:25" x14ac:dyDescent="0.25">
      <c r="A1301" s="1083"/>
      <c r="B1301" s="1455">
        <v>1051</v>
      </c>
      <c r="C1301" s="1087">
        <v>1.0040446620783994</v>
      </c>
      <c r="D1301" s="1087">
        <v>0.97322478553869995</v>
      </c>
      <c r="E1301" s="1087">
        <v>1.0049150402822316</v>
      </c>
      <c r="F1301" s="1087">
        <v>0.9912694423225944</v>
      </c>
      <c r="G1301" s="1087">
        <v>0.99529175077287646</v>
      </c>
      <c r="H1301" s="1087">
        <v>1.0277452253296557</v>
      </c>
      <c r="I1301" s="1087">
        <v>0.99003903539119131</v>
      </c>
      <c r="K1301">
        <v>1.8780385256662331</v>
      </c>
      <c r="L1301">
        <v>0</v>
      </c>
      <c r="M1301">
        <v>3.7398794158105303E-3</v>
      </c>
      <c r="N1301">
        <v>0.36049251280658334</v>
      </c>
      <c r="O1301">
        <v>0.23996561995683663</v>
      </c>
      <c r="P1301">
        <v>1.3281875019972217E-2</v>
      </c>
      <c r="Q1301">
        <v>1.6029025090766363E-3</v>
      </c>
      <c r="R1301">
        <v>3.7336496791723537E-3</v>
      </c>
      <c r="S1301">
        <v>0.3706230001927634</v>
      </c>
      <c r="T1301">
        <v>0.39920755829781379</v>
      </c>
      <c r="U1301">
        <v>0</v>
      </c>
      <c r="V1301">
        <v>0.20004075941013214</v>
      </c>
      <c r="W1301">
        <v>0.22892272823206469</v>
      </c>
      <c r="X1301">
        <v>5.3746035348205649E-2</v>
      </c>
      <c r="Y1301">
        <v>1.0161763629421191E-2</v>
      </c>
    </row>
    <row r="1302" spans="1:25" x14ac:dyDescent="0.25">
      <c r="A1302" s="1083"/>
      <c r="B1302" s="1455">
        <v>1052</v>
      </c>
      <c r="C1302" s="1087">
        <v>0.97416861913913533</v>
      </c>
      <c r="D1302" s="1087">
        <v>0.97074184268571784</v>
      </c>
      <c r="E1302" s="1087">
        <v>0.99718508949267226</v>
      </c>
      <c r="F1302" s="1087">
        <v>0.99864866453583123</v>
      </c>
      <c r="G1302" s="1087">
        <v>1.0090492812945895</v>
      </c>
      <c r="H1302" s="1087">
        <v>0.98362243465039778</v>
      </c>
      <c r="I1302" s="1087">
        <v>0.99956512504716322</v>
      </c>
      <c r="K1302">
        <v>1.886326637616182</v>
      </c>
      <c r="L1302">
        <v>0</v>
      </c>
      <c r="M1302">
        <v>3.7526603032047579E-3</v>
      </c>
      <c r="N1302">
        <v>0.35326581037626348</v>
      </c>
      <c r="O1302">
        <v>0.2446560862718444</v>
      </c>
      <c r="P1302">
        <v>1.3396980875198193E-2</v>
      </c>
      <c r="Q1302">
        <v>1.6401912401962195E-3</v>
      </c>
      <c r="R1302">
        <v>3.7461304940581944E-3</v>
      </c>
      <c r="S1302">
        <v>0.37775442239522705</v>
      </c>
      <c r="T1302">
        <v>0.40213253631847706</v>
      </c>
      <c r="U1302">
        <v>0</v>
      </c>
      <c r="V1302">
        <v>0.20403700661269725</v>
      </c>
      <c r="W1302">
        <v>0.22541883225158074</v>
      </c>
      <c r="X1302">
        <v>5.3835568790602153E-2</v>
      </c>
      <c r="Y1302">
        <v>1.0195732293240925E-2</v>
      </c>
    </row>
    <row r="1303" spans="1:25" x14ac:dyDescent="0.25">
      <c r="A1303" s="1083"/>
      <c r="B1303" s="1455">
        <v>1053</v>
      </c>
      <c r="C1303" s="1087">
        <v>0.99823979765548621</v>
      </c>
      <c r="D1303" s="1087">
        <v>1.0302636140791435</v>
      </c>
      <c r="E1303" s="1087">
        <v>1.0104973634323322</v>
      </c>
      <c r="F1303" s="1087">
        <v>1.0191574866304589</v>
      </c>
      <c r="G1303" s="1087">
        <v>1.028907852329229</v>
      </c>
      <c r="H1303" s="1087">
        <v>1.0067710960204157</v>
      </c>
      <c r="I1303" s="1087">
        <v>0.99705832545867201</v>
      </c>
      <c r="K1303">
        <v>1.8525583798773959</v>
      </c>
      <c r="L1303">
        <v>0</v>
      </c>
      <c r="M1303">
        <v>3.5321795200092955E-3</v>
      </c>
      <c r="N1303">
        <v>0.34630166801199019</v>
      </c>
      <c r="O1303">
        <v>0.2383264634206213</v>
      </c>
      <c r="P1303">
        <v>1.334684434225384E-2</v>
      </c>
      <c r="Q1303">
        <v>1.5852737681560133E-3</v>
      </c>
      <c r="R1303">
        <v>3.5261243176187315E-3</v>
      </c>
      <c r="S1303">
        <v>0.36007607389673968</v>
      </c>
      <c r="T1303">
        <v>0.41047339100828134</v>
      </c>
      <c r="U1303">
        <v>0</v>
      </c>
      <c r="V1303">
        <v>0.20004911328301939</v>
      </c>
      <c r="W1303">
        <v>0.21914985667681852</v>
      </c>
      <c r="X1303">
        <v>5.365880266591494E-2</v>
      </c>
      <c r="Y1303">
        <v>9.5969480059892847E-3</v>
      </c>
    </row>
    <row r="1304" spans="1:25" x14ac:dyDescent="0.25">
      <c r="A1304" s="1083"/>
      <c r="B1304" s="1455">
        <v>1054</v>
      </c>
      <c r="C1304" s="1087">
        <v>1.012265973129669</v>
      </c>
      <c r="D1304" s="1087">
        <v>1.0202544289092585</v>
      </c>
      <c r="E1304" s="1087">
        <v>1.0103055512790817</v>
      </c>
      <c r="F1304" s="1087">
        <v>1.0270606321629923</v>
      </c>
      <c r="G1304" s="1087">
        <v>0.97832615364130948</v>
      </c>
      <c r="H1304" s="1087">
        <v>1.015383514118356</v>
      </c>
      <c r="I1304" s="1087">
        <v>1.0159825230921737</v>
      </c>
      <c r="K1304">
        <v>1.8606687819591294</v>
      </c>
      <c r="L1304">
        <v>0</v>
      </c>
      <c r="M1304">
        <v>3.5324183751985509E-3</v>
      </c>
      <c r="N1304">
        <v>0.34612832772725921</v>
      </c>
      <c r="O1304">
        <v>0.23848029166224563</v>
      </c>
      <c r="P1304">
        <v>1.3456041815291288E-2</v>
      </c>
      <c r="Q1304">
        <v>1.5691056064950173E-3</v>
      </c>
      <c r="R1304">
        <v>3.5264213547490284E-3</v>
      </c>
      <c r="S1304">
        <v>0.3652999394147029</v>
      </c>
      <c r="T1304">
        <v>0.41365524023740391</v>
      </c>
      <c r="U1304">
        <v>0</v>
      </c>
      <c r="V1304">
        <v>0.19972294823886499</v>
      </c>
      <c r="W1304">
        <v>0.21906621071275437</v>
      </c>
      <c r="X1304">
        <v>5.3698917121422607E-2</v>
      </c>
      <c r="Y1304">
        <v>9.5977564431396871E-3</v>
      </c>
    </row>
    <row r="1305" spans="1:25" x14ac:dyDescent="0.25">
      <c r="A1305" s="1083"/>
      <c r="B1305" s="1455">
        <v>1055</v>
      </c>
      <c r="C1305" s="1087">
        <v>0.98885777747781911</v>
      </c>
      <c r="D1305" s="1087">
        <v>1.0393111976107277</v>
      </c>
      <c r="E1305" s="1087">
        <v>1.0088914327956973</v>
      </c>
      <c r="F1305" s="1087">
        <v>0.98183949636065471</v>
      </c>
      <c r="G1305" s="1087">
        <v>0.9925312723457147</v>
      </c>
      <c r="H1305" s="1087">
        <v>1.0059880229019103</v>
      </c>
      <c r="I1305" s="1087">
        <v>1.0278387120726604</v>
      </c>
      <c r="K1305">
        <v>1.8443838190443986</v>
      </c>
      <c r="L1305">
        <v>0</v>
      </c>
      <c r="M1305">
        <v>3.5585998243909587E-3</v>
      </c>
      <c r="N1305">
        <v>0.34718643476335798</v>
      </c>
      <c r="O1305">
        <v>0.23428122000334681</v>
      </c>
      <c r="P1305">
        <v>1.3263150179628713E-2</v>
      </c>
      <c r="Q1305">
        <v>1.5920142468627422E-3</v>
      </c>
      <c r="R1305">
        <v>3.5524884397590707E-3</v>
      </c>
      <c r="S1305">
        <v>0.37278996586565072</v>
      </c>
      <c r="T1305">
        <v>0.39543366861859514</v>
      </c>
      <c r="U1305">
        <v>0</v>
      </c>
      <c r="V1305">
        <v>0.19743090561552115</v>
      </c>
      <c r="W1305">
        <v>0.21992873366417481</v>
      </c>
      <c r="X1305">
        <v>5.2815135016366768E-2</v>
      </c>
      <c r="Y1305">
        <v>9.6687024555247563E-3</v>
      </c>
    </row>
    <row r="1306" spans="1:25" x14ac:dyDescent="0.25">
      <c r="A1306" s="1083"/>
      <c r="B1306" s="1455">
        <v>1056</v>
      </c>
      <c r="C1306" s="1087">
        <v>1.008625615246769</v>
      </c>
      <c r="D1306" s="1087">
        <v>1.0195168145835136</v>
      </c>
      <c r="E1306" s="1087">
        <v>0.97623596504487065</v>
      </c>
      <c r="F1306" s="1087">
        <v>0.99333674389217996</v>
      </c>
      <c r="G1306" s="1087">
        <v>0.99743218634421538</v>
      </c>
      <c r="H1306" s="1087">
        <v>0.98794183562732385</v>
      </c>
      <c r="I1306" s="1087">
        <v>1.0032165755684681</v>
      </c>
      <c r="K1306">
        <v>1.8007304883072386</v>
      </c>
      <c r="L1306">
        <v>0</v>
      </c>
      <c r="M1306">
        <v>3.7005298731518496E-3</v>
      </c>
      <c r="N1306">
        <v>0.326763046587214</v>
      </c>
      <c r="O1306">
        <v>0.23467729659815964</v>
      </c>
      <c r="P1306">
        <v>1.2784603380585029E-2</v>
      </c>
      <c r="Q1306">
        <v>1.5188701382343329E-3</v>
      </c>
      <c r="R1306">
        <v>3.6940754162290233E-3</v>
      </c>
      <c r="S1306">
        <v>0.35692507702065035</v>
      </c>
      <c r="T1306">
        <v>0.39986866410185495</v>
      </c>
      <c r="U1306">
        <v>0</v>
      </c>
      <c r="V1306">
        <v>0.19711553053523206</v>
      </c>
      <c r="W1306">
        <v>0.21128248457373322</v>
      </c>
      <c r="X1306">
        <v>4.9747314297156092E-2</v>
      </c>
      <c r="Y1306">
        <v>1.0054055531341718E-2</v>
      </c>
    </row>
    <row r="1307" spans="1:25" x14ac:dyDescent="0.25">
      <c r="A1307" s="1083"/>
      <c r="B1307" s="1455">
        <v>1057</v>
      </c>
      <c r="C1307" s="1087">
        <v>0.98923898088578743</v>
      </c>
      <c r="D1307" s="1087">
        <v>1.0206683220713684</v>
      </c>
      <c r="E1307" s="1087">
        <v>0.98956017345576452</v>
      </c>
      <c r="F1307" s="1087">
        <v>0.99889412146864964</v>
      </c>
      <c r="G1307" s="1087">
        <v>0.9907435387432072</v>
      </c>
      <c r="H1307" s="1087">
        <v>1.0397036091769281</v>
      </c>
      <c r="I1307" s="1087">
        <v>1.0167144449079588</v>
      </c>
      <c r="K1307">
        <v>1.878218520741336</v>
      </c>
      <c r="L1307">
        <v>0</v>
      </c>
      <c r="M1307">
        <v>3.8622296139488423E-3</v>
      </c>
      <c r="N1307">
        <v>0.35524331757515676</v>
      </c>
      <c r="O1307">
        <v>0.23774066104636801</v>
      </c>
      <c r="P1307">
        <v>1.3269739009133618E-2</v>
      </c>
      <c r="Q1307">
        <v>1.5702699238554318E-3</v>
      </c>
      <c r="R1307">
        <v>3.8558280263992425E-3</v>
      </c>
      <c r="S1307">
        <v>0.37829687058570033</v>
      </c>
      <c r="T1307">
        <v>0.40218544495528574</v>
      </c>
      <c r="U1307">
        <v>0</v>
      </c>
      <c r="V1307">
        <v>0.19968549556596937</v>
      </c>
      <c r="W1307">
        <v>0.2277686415074639</v>
      </c>
      <c r="X1307">
        <v>5.1970189345461222E-2</v>
      </c>
      <c r="Y1307">
        <v>1.0494292814491444E-2</v>
      </c>
    </row>
    <row r="1308" spans="1:25" x14ac:dyDescent="0.25">
      <c r="A1308" s="1083"/>
      <c r="B1308" s="1455">
        <v>1058</v>
      </c>
      <c r="C1308" s="1087">
        <v>0.9603617388158382</v>
      </c>
      <c r="D1308" s="1087">
        <v>1.0135581096420887</v>
      </c>
      <c r="E1308" s="1087">
        <v>0.99793752088282739</v>
      </c>
      <c r="F1308" s="1087">
        <v>1.01105738202659</v>
      </c>
      <c r="G1308" s="1087">
        <v>0.98808196999102094</v>
      </c>
      <c r="H1308" s="1087">
        <v>1.0257048092208483</v>
      </c>
      <c r="I1308" s="1087">
        <v>1.023106377468276</v>
      </c>
      <c r="K1308">
        <v>1.9245724128751296</v>
      </c>
      <c r="L1308">
        <v>0</v>
      </c>
      <c r="M1308">
        <v>3.8729969291802172E-3</v>
      </c>
      <c r="N1308">
        <v>0.36545485976604369</v>
      </c>
      <c r="O1308">
        <v>0.24361091103788568</v>
      </c>
      <c r="P1308">
        <v>1.365874073673386E-2</v>
      </c>
      <c r="Q1308">
        <v>1.6366072023661312E-3</v>
      </c>
      <c r="R1308">
        <v>3.8664966256674563E-3</v>
      </c>
      <c r="S1308">
        <v>0.39106733008359412</v>
      </c>
      <c r="T1308">
        <v>0.40713383909329159</v>
      </c>
      <c r="U1308">
        <v>0</v>
      </c>
      <c r="V1308">
        <v>0.20438303581878189</v>
      </c>
      <c r="W1308">
        <v>0.23308685220143774</v>
      </c>
      <c r="X1308">
        <v>5.402340801371007E-2</v>
      </c>
      <c r="Y1308">
        <v>1.0523329224796717E-2</v>
      </c>
    </row>
    <row r="1309" spans="1:25" x14ac:dyDescent="0.25">
      <c r="A1309" s="1083"/>
      <c r="B1309" s="1455">
        <v>1059</v>
      </c>
      <c r="C1309" s="1087">
        <v>0.98374911271871723</v>
      </c>
      <c r="D1309" s="1087">
        <v>0.98517591232880664</v>
      </c>
      <c r="E1309" s="1087">
        <v>0.99650770611481809</v>
      </c>
      <c r="F1309" s="1087">
        <v>0.98225758928741747</v>
      </c>
      <c r="G1309" s="1087">
        <v>1.0146630385134481</v>
      </c>
      <c r="H1309" s="1087">
        <v>0.98103248799631881</v>
      </c>
      <c r="I1309" s="1087">
        <v>1.030804847442002</v>
      </c>
      <c r="K1309">
        <v>1.8628226993301684</v>
      </c>
      <c r="L1309">
        <v>0</v>
      </c>
      <c r="M1309">
        <v>3.6820406641002311E-3</v>
      </c>
      <c r="N1309">
        <v>0.34589908176890477</v>
      </c>
      <c r="O1309">
        <v>0.23999648174227828</v>
      </c>
      <c r="P1309">
        <v>1.3314825033558237E-2</v>
      </c>
      <c r="Q1309">
        <v>1.6134899664838349E-3</v>
      </c>
      <c r="R1309">
        <v>3.6756036016669684E-3</v>
      </c>
      <c r="S1309">
        <v>0.38211593975769792</v>
      </c>
      <c r="T1309">
        <v>0.39552820992784771</v>
      </c>
      <c r="U1309">
        <v>0</v>
      </c>
      <c r="V1309">
        <v>0.20074024555308551</v>
      </c>
      <c r="W1309">
        <v>0.22081178394601514</v>
      </c>
      <c r="X1309">
        <v>5.2805297355391807E-2</v>
      </c>
      <c r="Y1309">
        <v>1.000378134133584E-2</v>
      </c>
    </row>
    <row r="1310" spans="1:25" x14ac:dyDescent="0.25">
      <c r="A1310" s="1083"/>
      <c r="B1310" s="1455">
        <v>1060</v>
      </c>
      <c r="C1310" s="1087">
        <v>0.99482040249694614</v>
      </c>
      <c r="D1310" s="1087">
        <v>1.0029018455344998</v>
      </c>
      <c r="E1310" s="1087">
        <v>0.99757208599489133</v>
      </c>
      <c r="F1310" s="1087">
        <v>0.99011152928534507</v>
      </c>
      <c r="G1310" s="1087">
        <v>1.0037421695824602</v>
      </c>
      <c r="H1310" s="1087">
        <v>1.0105675459693111</v>
      </c>
      <c r="I1310" s="1087">
        <v>1.0253129275844295</v>
      </c>
      <c r="K1310">
        <v>1.8634126147615291</v>
      </c>
      <c r="L1310">
        <v>0</v>
      </c>
      <c r="M1310">
        <v>3.7072167288666959E-3</v>
      </c>
      <c r="N1310">
        <v>0.34941396717587786</v>
      </c>
      <c r="O1310">
        <v>0.23787706613705803</v>
      </c>
      <c r="P1310">
        <v>1.3288911671650593E-2</v>
      </c>
      <c r="Q1310">
        <v>1.5859934983920769E-3</v>
      </c>
      <c r="R1310">
        <v>3.700910286734198E-3</v>
      </c>
      <c r="S1310">
        <v>0.37770726902731194</v>
      </c>
      <c r="T1310">
        <v>0.39869714833090936</v>
      </c>
      <c r="U1310">
        <v>0</v>
      </c>
      <c r="V1310">
        <v>0.19930034558510282</v>
      </c>
      <c r="W1310">
        <v>0.22290695920637518</v>
      </c>
      <c r="X1310">
        <v>5.2568602775240954E-2</v>
      </c>
      <c r="Y1310">
        <v>1.0072657795742346E-2</v>
      </c>
    </row>
    <row r="1311" spans="1:25" x14ac:dyDescent="0.25">
      <c r="A1311" s="1083"/>
      <c r="B1311" s="1455">
        <v>1061</v>
      </c>
      <c r="C1311" s="1087">
        <v>1.0000498120821795</v>
      </c>
      <c r="D1311" s="1087">
        <v>0.99694011792076709</v>
      </c>
      <c r="E1311" s="1087">
        <v>0.99461193108804535</v>
      </c>
      <c r="F1311" s="1087">
        <v>1.0016933355637816</v>
      </c>
      <c r="G1311" s="1087">
        <v>1.0105566044941927</v>
      </c>
      <c r="H1311" s="1087">
        <v>1.0128660256712601</v>
      </c>
      <c r="I1311" s="1087">
        <v>0.96911333663288013</v>
      </c>
      <c r="K1311">
        <v>1.847606303818484</v>
      </c>
      <c r="L1311">
        <v>0</v>
      </c>
      <c r="M1311">
        <v>3.7306788697463165E-3</v>
      </c>
      <c r="N1311">
        <v>0.34846418114271616</v>
      </c>
      <c r="O1311">
        <v>0.23916522257753786</v>
      </c>
      <c r="P1311">
        <v>1.3046931162769258E-2</v>
      </c>
      <c r="Q1311">
        <v>1.5764766502938455E-3</v>
      </c>
      <c r="R1311">
        <v>3.7243522564153471E-3</v>
      </c>
      <c r="S1311">
        <v>0.35668449450518175</v>
      </c>
      <c r="T1311">
        <v>0.40334298241523309</v>
      </c>
      <c r="U1311">
        <v>0</v>
      </c>
      <c r="V1311">
        <v>0.20003677907587347</v>
      </c>
      <c r="W1311">
        <v>0.22271380326980714</v>
      </c>
      <c r="X1311">
        <v>5.244530052283055E-2</v>
      </c>
      <c r="Y1311">
        <v>1.0136459109571208E-2</v>
      </c>
    </row>
    <row r="1312" spans="1:25" x14ac:dyDescent="0.25">
      <c r="A1312" s="1083"/>
      <c r="B1312" s="1455">
        <v>1062</v>
      </c>
      <c r="C1312" s="1087">
        <v>1.0144302116122474</v>
      </c>
      <c r="D1312" s="1087">
        <v>0.9614329214775813</v>
      </c>
      <c r="E1312" s="1087">
        <v>0.9815937653754554</v>
      </c>
      <c r="F1312" s="1087">
        <v>1.020813985335838</v>
      </c>
      <c r="G1312" s="1087">
        <v>0.98384322738445107</v>
      </c>
      <c r="H1312" s="1087">
        <v>1.0164827319777707</v>
      </c>
      <c r="I1312" s="1087">
        <v>0.97581687178677734</v>
      </c>
      <c r="K1312">
        <v>1.8656684272461159</v>
      </c>
      <c r="L1312">
        <v>0</v>
      </c>
      <c r="M1312">
        <v>3.8654850631614094E-3</v>
      </c>
      <c r="N1312">
        <v>0.34698624339762574</v>
      </c>
      <c r="O1312">
        <v>0.24312530559928333</v>
      </c>
      <c r="P1312">
        <v>1.3117096121080774E-2</v>
      </c>
      <c r="Q1312">
        <v>1.5549818534669687E-3</v>
      </c>
      <c r="R1312">
        <v>3.8589865510284265E-3</v>
      </c>
      <c r="S1312">
        <v>0.3617636148080926</v>
      </c>
      <c r="T1312">
        <v>0.41096229050863364</v>
      </c>
      <c r="U1312">
        <v>0</v>
      </c>
      <c r="V1312">
        <v>0.20201642838061007</v>
      </c>
      <c r="W1312">
        <v>0.22359682737254555</v>
      </c>
      <c r="X1312">
        <v>5.2049248439585749E-2</v>
      </c>
      <c r="Y1312">
        <v>1.0502889277324718E-2</v>
      </c>
    </row>
    <row r="1313" spans="1:25" x14ac:dyDescent="0.25">
      <c r="A1313" s="1083"/>
      <c r="B1313" s="1455">
        <v>1063</v>
      </c>
      <c r="C1313" s="1087">
        <v>1.0080898413613733</v>
      </c>
      <c r="D1313" s="1087">
        <v>0.99274233150369151</v>
      </c>
      <c r="E1313" s="1087">
        <v>0.98514392805055206</v>
      </c>
      <c r="F1313" s="1087">
        <v>0.97016513034428564</v>
      </c>
      <c r="G1313" s="1087">
        <v>0.95728536503897965</v>
      </c>
      <c r="H1313" s="1087">
        <v>0.98546879516442643</v>
      </c>
      <c r="I1313" s="1087">
        <v>1.0333452100010325</v>
      </c>
      <c r="K1313">
        <v>1.8184677807523988</v>
      </c>
      <c r="L1313">
        <v>0</v>
      </c>
      <c r="M1313">
        <v>3.6791253030372503E-3</v>
      </c>
      <c r="N1313">
        <v>0.33383908481137359</v>
      </c>
      <c r="O1313">
        <v>0.2347206781543841</v>
      </c>
      <c r="P1313">
        <v>1.2955352994599052E-2</v>
      </c>
      <c r="Q1313">
        <v>1.5507378284370988E-3</v>
      </c>
      <c r="R1313">
        <v>3.6727158006690489E-3</v>
      </c>
      <c r="S1313">
        <v>0.37293192788675728</v>
      </c>
      <c r="T1313">
        <v>0.39059254580434383</v>
      </c>
      <c r="U1313">
        <v>0</v>
      </c>
      <c r="V1313">
        <v>0.19661218139203196</v>
      </c>
      <c r="W1313">
        <v>0.21464216881209675</v>
      </c>
      <c r="X1313">
        <v>5.0633590871760878E-2</v>
      </c>
      <c r="Y1313">
        <v>9.9959216989828435E-3</v>
      </c>
    </row>
    <row r="1314" spans="1:25" x14ac:dyDescent="0.25">
      <c r="A1314" s="1083"/>
      <c r="B1314" s="1455">
        <v>1064</v>
      </c>
      <c r="C1314" s="1087">
        <v>0.97009702837261158</v>
      </c>
      <c r="D1314" s="1087">
        <v>1.0305904987333749</v>
      </c>
      <c r="E1314" s="1087">
        <v>0.99848446478826147</v>
      </c>
      <c r="F1314" s="1087">
        <v>0.97840792641771923</v>
      </c>
      <c r="G1314" s="1087">
        <v>1.0147489624973067</v>
      </c>
      <c r="H1314" s="1087">
        <v>0.99916149785058128</v>
      </c>
      <c r="I1314" s="1087">
        <v>1.0147884336388355</v>
      </c>
      <c r="K1314">
        <v>1.8554368706216307</v>
      </c>
      <c r="L1314">
        <v>0</v>
      </c>
      <c r="M1314">
        <v>3.6971421317800509E-3</v>
      </c>
      <c r="N1314">
        <v>0.34942705744235375</v>
      </c>
      <c r="O1314">
        <v>0.23684014453082938</v>
      </c>
      <c r="P1314">
        <v>1.3207697074488997E-2</v>
      </c>
      <c r="Q1314">
        <v>1.6103581889490549E-3</v>
      </c>
      <c r="R1314">
        <v>3.6907569602526412E-3</v>
      </c>
      <c r="S1314">
        <v>0.37552263272891295</v>
      </c>
      <c r="T1314">
        <v>0.39398975420393401</v>
      </c>
      <c r="U1314">
        <v>0</v>
      </c>
      <c r="V1314">
        <v>0.19956842068277639</v>
      </c>
      <c r="W1314">
        <v>0.22278807933504877</v>
      </c>
      <c r="X1314">
        <v>5.2444087817763094E-2</v>
      </c>
      <c r="Y1314">
        <v>1.0045023788102726E-2</v>
      </c>
    </row>
    <row r="1315" spans="1:25" x14ac:dyDescent="0.25">
      <c r="A1315" s="1083"/>
      <c r="B1315" s="1455">
        <v>1065</v>
      </c>
      <c r="C1315" s="1087">
        <v>1.0244441578789576</v>
      </c>
      <c r="D1315" s="1087">
        <v>0.97586908759298319</v>
      </c>
      <c r="E1315" s="1087">
        <v>0.99081297216086539</v>
      </c>
      <c r="F1315" s="1087">
        <v>1.0325037537102493</v>
      </c>
      <c r="G1315" s="1087">
        <v>0.98000228171242953</v>
      </c>
      <c r="H1315" s="1087">
        <v>0.9834001817435396</v>
      </c>
      <c r="I1315" s="1087">
        <v>1.0460052833535625</v>
      </c>
      <c r="K1315">
        <v>1.8567213360744221</v>
      </c>
      <c r="L1315">
        <v>0</v>
      </c>
      <c r="M1315">
        <v>3.6044033925561147E-3</v>
      </c>
      <c r="N1315">
        <v>0.33277154404718495</v>
      </c>
      <c r="O1315">
        <v>0.24189182036110171</v>
      </c>
      <c r="P1315">
        <v>1.3437486706478373E-2</v>
      </c>
      <c r="Q1315">
        <v>1.5458494245491439E-3</v>
      </c>
      <c r="R1315">
        <v>3.5981258938811655E-3</v>
      </c>
      <c r="S1315">
        <v>0.37470121421739744</v>
      </c>
      <c r="T1315">
        <v>0.41572549754334404</v>
      </c>
      <c r="U1315">
        <v>0</v>
      </c>
      <c r="V1315">
        <v>0.20119920400953673</v>
      </c>
      <c r="W1315">
        <v>0.21319240004753159</v>
      </c>
      <c r="X1315">
        <v>5.2469684654711961E-2</v>
      </c>
      <c r="Y1315">
        <v>9.7929125612623881E-3</v>
      </c>
    </row>
    <row r="1316" spans="1:25" x14ac:dyDescent="0.25">
      <c r="A1316" s="1083"/>
      <c r="B1316" s="1455">
        <v>1066</v>
      </c>
      <c r="C1316" s="1087">
        <v>1.0322335247175665</v>
      </c>
      <c r="D1316" s="1087">
        <v>0.95625719249071361</v>
      </c>
      <c r="E1316" s="1087">
        <v>1.0159791502658657</v>
      </c>
      <c r="F1316" s="1087">
        <v>0.98799797470395712</v>
      </c>
      <c r="G1316" s="1087">
        <v>1.0085310922030255</v>
      </c>
      <c r="H1316" s="1087">
        <v>0.9885624013041715</v>
      </c>
      <c r="I1316" s="1087">
        <v>0.9709414240749159</v>
      </c>
      <c r="K1316">
        <v>1.8235636274066331</v>
      </c>
      <c r="L1316">
        <v>0</v>
      </c>
      <c r="M1316">
        <v>3.4533433511099339E-3</v>
      </c>
      <c r="N1316">
        <v>0.34427383692758201</v>
      </c>
      <c r="O1316">
        <v>0.23813886206245652</v>
      </c>
      <c r="P1316">
        <v>1.3062154517985158E-2</v>
      </c>
      <c r="Q1316">
        <v>1.5886572543569821E-3</v>
      </c>
      <c r="R1316">
        <v>3.4473777363609528E-3</v>
      </c>
      <c r="S1316">
        <v>0.35029652695556796</v>
      </c>
      <c r="T1316">
        <v>0.39795678464071332</v>
      </c>
      <c r="U1316">
        <v>0</v>
      </c>
      <c r="V1316">
        <v>0.19781343232633788</v>
      </c>
      <c r="W1316">
        <v>0.2171289943532978</v>
      </c>
      <c r="X1316">
        <v>5.3927718212472997E-2</v>
      </c>
      <c r="Y1316">
        <v>9.3826257706091463E-3</v>
      </c>
    </row>
    <row r="1317" spans="1:25" x14ac:dyDescent="0.25">
      <c r="A1317" s="1083"/>
      <c r="B1317" s="1455">
        <v>1067</v>
      </c>
      <c r="C1317" s="1087">
        <v>0.99839270945588066</v>
      </c>
      <c r="D1317" s="1087">
        <v>0.9996167851114881</v>
      </c>
      <c r="E1317" s="1087">
        <v>0.9947165373079544</v>
      </c>
      <c r="F1317" s="1087">
        <v>1.0349232164686537</v>
      </c>
      <c r="G1317" s="1087">
        <v>1.0483804963650756</v>
      </c>
      <c r="H1317" s="1087">
        <v>0.99931063325204594</v>
      </c>
      <c r="I1317" s="1087">
        <v>0.97429086996144376</v>
      </c>
      <c r="K1317">
        <v>1.8604002175701073</v>
      </c>
      <c r="L1317">
        <v>0</v>
      </c>
      <c r="M1317">
        <v>3.6804349579773188E-3</v>
      </c>
      <c r="N1317">
        <v>0.34387275286719349</v>
      </c>
      <c r="O1317">
        <v>0.24295757041649774</v>
      </c>
      <c r="P1317">
        <v>1.3262677820406528E-2</v>
      </c>
      <c r="Q1317">
        <v>1.5775768701314387E-3</v>
      </c>
      <c r="R1317">
        <v>3.6741059901749169E-3</v>
      </c>
      <c r="S1317">
        <v>0.35623948797102778</v>
      </c>
      <c r="T1317">
        <v>0.4167240176740013</v>
      </c>
      <c r="U1317">
        <v>0</v>
      </c>
      <c r="V1317">
        <v>0.20290174330513699</v>
      </c>
      <c r="W1317">
        <v>0.21976486297132874</v>
      </c>
      <c r="X1317">
        <v>5.3106151305641086E-2</v>
      </c>
      <c r="Y1317">
        <v>9.9997053365419725E-3</v>
      </c>
    </row>
    <row r="1318" spans="1:25" x14ac:dyDescent="0.25">
      <c r="A1318" s="1083"/>
      <c r="B1318" s="1455">
        <v>1068</v>
      </c>
      <c r="C1318" s="1087">
        <v>1.0046646187391064</v>
      </c>
      <c r="D1318" s="1087">
        <v>1.0054486263131261</v>
      </c>
      <c r="E1318" s="1087">
        <v>0.98236438901590351</v>
      </c>
      <c r="F1318" s="1087">
        <v>1.0055770141095539</v>
      </c>
      <c r="G1318" s="1087">
        <v>0.97954462343936177</v>
      </c>
      <c r="H1318" s="1087">
        <v>0.99451077682670341</v>
      </c>
      <c r="I1318" s="1087">
        <v>0.9643439298478097</v>
      </c>
      <c r="K1318">
        <v>1.8164273102665525</v>
      </c>
      <c r="L1318">
        <v>0</v>
      </c>
      <c r="M1318">
        <v>3.7213194902085945E-3</v>
      </c>
      <c r="N1318">
        <v>0.33481659203711656</v>
      </c>
      <c r="O1318">
        <v>0.23803956563285064</v>
      </c>
      <c r="P1318">
        <v>1.2825234547245613E-2</v>
      </c>
      <c r="Q1318">
        <v>1.5435119777916138E-3</v>
      </c>
      <c r="R1318">
        <v>3.7148843798092968E-3</v>
      </c>
      <c r="S1318">
        <v>0.3483149747453505</v>
      </c>
      <c r="T1318">
        <v>0.40483278047455296</v>
      </c>
      <c r="U1318">
        <v>0</v>
      </c>
      <c r="V1318">
        <v>0.19935059800045449</v>
      </c>
      <c r="W1318">
        <v>0.21564946117930234</v>
      </c>
      <c r="X1318">
        <v>5.095033611175024E-2</v>
      </c>
      <c r="Y1318">
        <v>1.0110690670534224E-2</v>
      </c>
    </row>
    <row r="1319" spans="1:25" x14ac:dyDescent="0.25">
      <c r="A1319" s="1083"/>
      <c r="B1319" s="1455">
        <v>1069</v>
      </c>
      <c r="C1319" s="1087">
        <v>1.0086706577028477</v>
      </c>
      <c r="D1319" s="1087">
        <v>0.98773460001072122</v>
      </c>
      <c r="E1319" s="1087">
        <v>1.0180655776496264</v>
      </c>
      <c r="F1319" s="1087">
        <v>1.0069969848703724</v>
      </c>
      <c r="G1319" s="1087">
        <v>1.0058627198673418</v>
      </c>
      <c r="H1319" s="1087">
        <v>1.0005488649541323</v>
      </c>
      <c r="I1319" s="1087">
        <v>1.0147511036570782</v>
      </c>
      <c r="K1319">
        <v>1.8677155328571855</v>
      </c>
      <c r="L1319">
        <v>0</v>
      </c>
      <c r="M1319">
        <v>3.4999545781609675E-3</v>
      </c>
      <c r="N1319">
        <v>0.35115115488746607</v>
      </c>
      <c r="O1319">
        <v>0.24001193583931613</v>
      </c>
      <c r="P1319">
        <v>1.3496607907587794E-2</v>
      </c>
      <c r="Q1319">
        <v>1.6083837099894526E-3</v>
      </c>
      <c r="R1319">
        <v>3.4939539162648628E-3</v>
      </c>
      <c r="S1319">
        <v>0.37020593206389002</v>
      </c>
      <c r="T1319">
        <v>0.40562229972773495</v>
      </c>
      <c r="U1319">
        <v>0</v>
      </c>
      <c r="V1319">
        <v>0.20020763130105382</v>
      </c>
      <c r="W1319">
        <v>0.22118156376034367</v>
      </c>
      <c r="X1319">
        <v>5.472663354322331E-2</v>
      </c>
      <c r="Y1319">
        <v>9.5093907784740122E-3</v>
      </c>
    </row>
    <row r="1320" spans="1:25" x14ac:dyDescent="0.25">
      <c r="A1320" s="1083"/>
      <c r="B1320" s="1455">
        <v>1070</v>
      </c>
      <c r="C1320" s="1087">
        <v>1.0121136981837053</v>
      </c>
      <c r="D1320" s="1087">
        <v>1.0356946593667811</v>
      </c>
      <c r="E1320" s="1087">
        <v>0.97947521521530934</v>
      </c>
      <c r="F1320" s="1087">
        <v>0.98776652065988535</v>
      </c>
      <c r="G1320" s="1087">
        <v>1.0149571598262448</v>
      </c>
      <c r="H1320" s="1087">
        <v>0.98475810814104003</v>
      </c>
      <c r="I1320" s="1087">
        <v>0.97592311755671179</v>
      </c>
      <c r="K1320">
        <v>1.7723017143592121</v>
      </c>
      <c r="L1320">
        <v>0</v>
      </c>
      <c r="M1320">
        <v>3.6205557599018169E-3</v>
      </c>
      <c r="N1320">
        <v>0.32287923436264465</v>
      </c>
      <c r="O1320">
        <v>0.23211953429018975</v>
      </c>
      <c r="P1320">
        <v>1.2570423699220321E-2</v>
      </c>
      <c r="Q1320">
        <v>1.5093944452801375E-3</v>
      </c>
      <c r="R1320">
        <v>3.6142059906412245E-3</v>
      </c>
      <c r="S1320">
        <v>0.34250367802518716</v>
      </c>
      <c r="T1320">
        <v>0.39764544310587085</v>
      </c>
      <c r="U1320">
        <v>0</v>
      </c>
      <c r="V1320">
        <v>0.19547294016798517</v>
      </c>
      <c r="W1320">
        <v>0.20834202311609129</v>
      </c>
      <c r="X1320">
        <v>4.9428715632163354E-2</v>
      </c>
      <c r="Y1320">
        <v>9.8366772838407984E-3</v>
      </c>
    </row>
    <row r="1321" spans="1:25" x14ac:dyDescent="0.25">
      <c r="A1321" s="1083"/>
      <c r="B1321" s="1455">
        <v>1071</v>
      </c>
      <c r="C1321" s="1087">
        <v>1.018634016929362</v>
      </c>
      <c r="D1321" s="1087">
        <v>1.0376862246285399</v>
      </c>
      <c r="E1321" s="1087">
        <v>0.96472064119545731</v>
      </c>
      <c r="F1321" s="1087">
        <v>0.98880213315976129</v>
      </c>
      <c r="G1321" s="1087">
        <v>0.95770842236457376</v>
      </c>
      <c r="H1321" s="1087">
        <v>1.0041900452392065</v>
      </c>
      <c r="I1321" s="1087">
        <v>1.0138002364701475</v>
      </c>
      <c r="K1321">
        <v>1.7841477925309781</v>
      </c>
      <c r="L1321">
        <v>0</v>
      </c>
      <c r="M1321">
        <v>3.7760341088202178E-3</v>
      </c>
      <c r="N1321">
        <v>0.32189976621705046</v>
      </c>
      <c r="O1321">
        <v>0.23107448960731328</v>
      </c>
      <c r="P1321">
        <v>1.2608122600110712E-2</v>
      </c>
      <c r="Q1321">
        <v>1.4748658540302963E-3</v>
      </c>
      <c r="R1321">
        <v>3.7695375334785598E-3</v>
      </c>
      <c r="S1321">
        <v>0.35640249815658825</v>
      </c>
      <c r="T1321">
        <v>0.39797573437940403</v>
      </c>
      <c r="U1321">
        <v>0</v>
      </c>
      <c r="V1321">
        <v>0.1946944435493583</v>
      </c>
      <c r="W1321">
        <v>0.20967488268061435</v>
      </c>
      <c r="X1321">
        <v>4.8090047523434598E-2</v>
      </c>
      <c r="Y1321">
        <v>1.0259438538414691E-2</v>
      </c>
    </row>
    <row r="1322" spans="1:25" x14ac:dyDescent="0.25">
      <c r="A1322" s="1083"/>
      <c r="B1322" s="1455">
        <v>1072</v>
      </c>
      <c r="C1322" s="1087">
        <v>1.0170469648206737</v>
      </c>
      <c r="D1322" s="1087">
        <v>0.98304436417335239</v>
      </c>
      <c r="E1322" s="1087">
        <v>1.0141129667629361</v>
      </c>
      <c r="F1322" s="1087">
        <v>0.97869577872816838</v>
      </c>
      <c r="G1322" s="1087">
        <v>0.98507876219786583</v>
      </c>
      <c r="H1322" s="1087">
        <v>1.0238898928200306</v>
      </c>
      <c r="I1322" s="1087">
        <v>1.0339711463243939</v>
      </c>
      <c r="K1322">
        <v>1.8658517890497981</v>
      </c>
      <c r="L1322">
        <v>0</v>
      </c>
      <c r="M1322">
        <v>3.5900088874049178E-3</v>
      </c>
      <c r="N1322">
        <v>0.35588712472771378</v>
      </c>
      <c r="O1322">
        <v>0.23606578832437297</v>
      </c>
      <c r="P1322">
        <v>1.3383845409336629E-2</v>
      </c>
      <c r="Q1322">
        <v>1.5915154455222974E-3</v>
      </c>
      <c r="R1322">
        <v>3.5839977796055141E-3</v>
      </c>
      <c r="S1322">
        <v>0.37938796225610749</v>
      </c>
      <c r="T1322">
        <v>0.39419875898454854</v>
      </c>
      <c r="U1322">
        <v>0</v>
      </c>
      <c r="V1322">
        <v>0.19710762125538953</v>
      </c>
      <c r="W1322">
        <v>0.22471227191097198</v>
      </c>
      <c r="X1322">
        <v>5.37684513520982E-2</v>
      </c>
      <c r="Y1322">
        <v>9.7544604915356867E-3</v>
      </c>
    </row>
    <row r="1323" spans="1:25" x14ac:dyDescent="0.25">
      <c r="A1323" s="1083"/>
      <c r="B1323" s="1455">
        <v>1073</v>
      </c>
      <c r="C1323" s="1087">
        <v>0.99641146107919798</v>
      </c>
      <c r="D1323" s="1087">
        <v>1.0020046020770994</v>
      </c>
      <c r="E1323" s="1087">
        <v>0.9916098268135819</v>
      </c>
      <c r="F1323" s="1087">
        <v>0.97548030039020472</v>
      </c>
      <c r="G1323" s="1087">
        <v>0.99273621202849105</v>
      </c>
      <c r="H1323" s="1087">
        <v>1.0037003587765934</v>
      </c>
      <c r="I1323" s="1087">
        <v>0.99673346517805061</v>
      </c>
      <c r="K1323">
        <v>1.8333948015185813</v>
      </c>
      <c r="L1323">
        <v>0</v>
      </c>
      <c r="M1323">
        <v>3.7228067103431948E-3</v>
      </c>
      <c r="N1323">
        <v>0.34455032240842531</v>
      </c>
      <c r="O1323">
        <v>0.23593510695418327</v>
      </c>
      <c r="P1323">
        <v>1.2963717937847112E-2</v>
      </c>
      <c r="Q1323">
        <v>1.5739681758018013E-3</v>
      </c>
      <c r="R1323">
        <v>3.7164308613018685E-3</v>
      </c>
      <c r="S1323">
        <v>0.36545126444180953</v>
      </c>
      <c r="T1323">
        <v>0.39277035477752631</v>
      </c>
      <c r="U1323">
        <v>0</v>
      </c>
      <c r="V1323">
        <v>0.19786770732096079</v>
      </c>
      <c r="W1323">
        <v>0.22062795005246325</v>
      </c>
      <c r="X1323">
        <v>5.1545885615247498E-2</v>
      </c>
      <c r="Y1323">
        <v>1.0114899683359515E-2</v>
      </c>
    </row>
    <row r="1324" spans="1:25" x14ac:dyDescent="0.25">
      <c r="A1324" s="1083"/>
      <c r="B1324" s="1455">
        <v>1074</v>
      </c>
      <c r="C1324" s="1087">
        <v>1.0141404598603074</v>
      </c>
      <c r="D1324" s="1087">
        <v>1.0052838912350928</v>
      </c>
      <c r="E1324" s="1087">
        <v>1.0216633102533974</v>
      </c>
      <c r="F1324" s="1087">
        <v>1.0359814233076801</v>
      </c>
      <c r="G1324" s="1087">
        <v>1.0422261107778652</v>
      </c>
      <c r="H1324" s="1087">
        <v>0.99697268713809262</v>
      </c>
      <c r="I1324" s="1087">
        <v>1.0052944173774936</v>
      </c>
      <c r="K1324">
        <v>1.8626940321008969</v>
      </c>
      <c r="L1324">
        <v>0</v>
      </c>
      <c r="M1324">
        <v>3.409509748103807E-3</v>
      </c>
      <c r="N1324">
        <v>0.34584394288667719</v>
      </c>
      <c r="O1324">
        <v>0.24093640993759688</v>
      </c>
      <c r="P1324">
        <v>1.3573897196208112E-2</v>
      </c>
      <c r="Q1324">
        <v>1.5945183942695999E-3</v>
      </c>
      <c r="R1324">
        <v>3.4036269338950922E-3</v>
      </c>
      <c r="S1324">
        <v>0.36058293219804466</v>
      </c>
      <c r="T1324">
        <v>0.41732024305519383</v>
      </c>
      <c r="U1324">
        <v>0</v>
      </c>
      <c r="V1324">
        <v>0.20114136224289356</v>
      </c>
      <c r="W1324">
        <v>0.21735677011494314</v>
      </c>
      <c r="X1324">
        <v>5.5086288380531916E-2</v>
      </c>
      <c r="Y1324">
        <v>9.2635505087452254E-3</v>
      </c>
    </row>
    <row r="1325" spans="1:25" x14ac:dyDescent="0.25">
      <c r="A1325" s="1083"/>
      <c r="B1325" s="1455">
        <v>1075</v>
      </c>
      <c r="C1325" s="1087">
        <v>0.99806141474970966</v>
      </c>
      <c r="D1325" s="1087">
        <v>0.96598620587914386</v>
      </c>
      <c r="E1325" s="1087">
        <v>0.97873616575513245</v>
      </c>
      <c r="F1325" s="1087">
        <v>1.0082120317563228</v>
      </c>
      <c r="G1325" s="1087">
        <v>1.0229099939535431</v>
      </c>
      <c r="H1325" s="1087">
        <v>1.0149652395047699</v>
      </c>
      <c r="I1325" s="1087">
        <v>0.97523971110114871</v>
      </c>
      <c r="K1325">
        <v>1.8710617095262454</v>
      </c>
      <c r="L1325">
        <v>0</v>
      </c>
      <c r="M1325">
        <v>3.9356972884815513E-3</v>
      </c>
      <c r="N1325">
        <v>0.35021566705220442</v>
      </c>
      <c r="O1325">
        <v>0.24309189437754233</v>
      </c>
      <c r="P1325">
        <v>1.3085090819843118E-2</v>
      </c>
      <c r="Q1325">
        <v>1.5726546796666532E-3</v>
      </c>
      <c r="R1325">
        <v>3.9290661411954166E-3</v>
      </c>
      <c r="S1325">
        <v>0.36619970764554122</v>
      </c>
      <c r="T1325">
        <v>0.40587175131324305</v>
      </c>
      <c r="U1325">
        <v>0</v>
      </c>
      <c r="V1325">
        <v>0.2024023671223022</v>
      </c>
      <c r="W1325">
        <v>0.2260872460910737</v>
      </c>
      <c r="X1325">
        <v>5.1848338752085998E-2</v>
      </c>
      <c r="Y1325">
        <v>1.0693622820028576E-2</v>
      </c>
    </row>
    <row r="1326" spans="1:25" x14ac:dyDescent="0.25">
      <c r="A1326" s="1083"/>
      <c r="B1326" s="1455">
        <v>1076</v>
      </c>
      <c r="C1326" s="1087">
        <v>0.99125501944875671</v>
      </c>
      <c r="D1326" s="1087">
        <v>1.026162096223197</v>
      </c>
      <c r="E1326" s="1087">
        <v>0.9703367280251497</v>
      </c>
      <c r="F1326" s="1087">
        <v>1.0148833896525078</v>
      </c>
      <c r="G1326" s="1087">
        <v>1.0122775799666699</v>
      </c>
      <c r="H1326" s="1087">
        <v>1.031648807821703</v>
      </c>
      <c r="I1326" s="1087">
        <v>1.0027901826776053</v>
      </c>
      <c r="K1326">
        <v>1.859783025361889</v>
      </c>
      <c r="L1326">
        <v>0</v>
      </c>
      <c r="M1326">
        <v>3.9655693118507002E-3</v>
      </c>
      <c r="N1326">
        <v>0.3439317985630313</v>
      </c>
      <c r="O1326">
        <v>0.23852601136505755</v>
      </c>
      <c r="P1326">
        <v>1.3055084544749513E-2</v>
      </c>
      <c r="Q1326">
        <v>1.5316816001713946E-3</v>
      </c>
      <c r="R1326">
        <v>3.958939609242128E-3</v>
      </c>
      <c r="S1326">
        <v>0.36956152188501007</v>
      </c>
      <c r="T1326">
        <v>0.40850671078991951</v>
      </c>
      <c r="U1326">
        <v>0</v>
      </c>
      <c r="V1326">
        <v>0.20042076873672371</v>
      </c>
      <c r="W1326">
        <v>0.22322163540891218</v>
      </c>
      <c r="X1326">
        <v>5.0259513618653898E-2</v>
      </c>
      <c r="Y1326">
        <v>1.0774928552265632E-2</v>
      </c>
    </row>
    <row r="1327" spans="1:25" x14ac:dyDescent="0.25">
      <c r="A1327" s="1083"/>
      <c r="B1327" s="1455">
        <v>1077</v>
      </c>
      <c r="C1327" s="1087">
        <v>1.017833716706801</v>
      </c>
      <c r="D1327" s="1087">
        <v>0.9977684727460242</v>
      </c>
      <c r="E1327" s="1087">
        <v>1.0262365225975392</v>
      </c>
      <c r="F1327" s="1087">
        <v>1.0282751102521275</v>
      </c>
      <c r="G1327" s="1087">
        <v>0.97601112790614497</v>
      </c>
      <c r="H1327" s="1087">
        <v>0.99991119103671977</v>
      </c>
      <c r="I1327" s="1087">
        <v>0.98653630995344921</v>
      </c>
      <c r="K1327">
        <v>1.8566796224670454</v>
      </c>
      <c r="L1327">
        <v>0</v>
      </c>
      <c r="M1327">
        <v>3.3893492169081471E-3</v>
      </c>
      <c r="N1327">
        <v>0.3486246394078405</v>
      </c>
      <c r="O1327">
        <v>0.24045719178435485</v>
      </c>
      <c r="P1327">
        <v>1.3485305230521142E-2</v>
      </c>
      <c r="Q1327">
        <v>1.6011971001713182E-3</v>
      </c>
      <c r="R1327">
        <v>3.3835250703655537E-3</v>
      </c>
      <c r="S1327">
        <v>0.35462384490784016</v>
      </c>
      <c r="T1327">
        <v>0.41424491155069226</v>
      </c>
      <c r="U1327">
        <v>0</v>
      </c>
      <c r="V1327">
        <v>0.20054551336929485</v>
      </c>
      <c r="W1327">
        <v>0.21849031758709769</v>
      </c>
      <c r="X1327">
        <v>5.5403685812979983E-2</v>
      </c>
      <c r="Y1327">
        <v>9.2088398627953542E-3</v>
      </c>
    </row>
    <row r="1328" spans="1:25" x14ac:dyDescent="0.25">
      <c r="A1328" s="1083"/>
      <c r="B1328" s="1455">
        <v>1078</v>
      </c>
      <c r="C1328" s="1087">
        <v>0.97795349450234059</v>
      </c>
      <c r="D1328" s="1087">
        <v>0.9798302108003194</v>
      </c>
      <c r="E1328" s="1087">
        <v>0.9620692281439901</v>
      </c>
      <c r="F1328" s="1087">
        <v>0.97846558468255151</v>
      </c>
      <c r="G1328" s="1087">
        <v>1.0403393740172475</v>
      </c>
      <c r="H1328" s="1087">
        <v>0.96476714392349772</v>
      </c>
      <c r="I1328" s="1087">
        <v>0.97535346923583954</v>
      </c>
      <c r="K1328">
        <v>1.8185965151062273</v>
      </c>
      <c r="L1328">
        <v>0</v>
      </c>
      <c r="M1328">
        <v>3.9184172613615231E-3</v>
      </c>
      <c r="N1328">
        <v>0.33131997045274103</v>
      </c>
      <c r="O1328">
        <v>0.24026692068434341</v>
      </c>
      <c r="P1328">
        <v>1.2678683549435583E-2</v>
      </c>
      <c r="Q1328">
        <v>1.5673573480622647E-3</v>
      </c>
      <c r="R1328">
        <v>3.9114559325332098E-3</v>
      </c>
      <c r="S1328">
        <v>0.36141748011549141</v>
      </c>
      <c r="T1328">
        <v>0.39380015135323099</v>
      </c>
      <c r="U1328">
        <v>0</v>
      </c>
      <c r="V1328">
        <v>0.20111680940202514</v>
      </c>
      <c r="W1328">
        <v>0.21617875640281209</v>
      </c>
      <c r="X1328">
        <v>4.9611653489658236E-2</v>
      </c>
      <c r="Y1328">
        <v>1.0645693637253775E-2</v>
      </c>
    </row>
    <row r="1329" spans="1:25" x14ac:dyDescent="0.25">
      <c r="A1329" s="1083"/>
      <c r="B1329" s="1455">
        <v>1079</v>
      </c>
      <c r="C1329" s="1087">
        <v>1.0050296860508783</v>
      </c>
      <c r="D1329" s="1087">
        <v>1.013208446640028</v>
      </c>
      <c r="E1329" s="1087">
        <v>1.0043386769023694</v>
      </c>
      <c r="F1329" s="1087">
        <v>1.0200335024109413</v>
      </c>
      <c r="G1329" s="1087">
        <v>0.97260063246480633</v>
      </c>
      <c r="H1329" s="1087">
        <v>0.99697337293313837</v>
      </c>
      <c r="I1329" s="1087">
        <v>0.98887906640396805</v>
      </c>
      <c r="K1329">
        <v>1.8426700015725923</v>
      </c>
      <c r="L1329">
        <v>0</v>
      </c>
      <c r="M1329">
        <v>3.5502812673930987E-3</v>
      </c>
      <c r="N1329">
        <v>0.34159471348122161</v>
      </c>
      <c r="O1329">
        <v>0.23920010388302995</v>
      </c>
      <c r="P1329">
        <v>1.3240100549581852E-2</v>
      </c>
      <c r="Q1329">
        <v>1.5747836785698112E-3</v>
      </c>
      <c r="R1329">
        <v>3.5441498347251418E-3</v>
      </c>
      <c r="S1329">
        <v>0.35619505703017507</v>
      </c>
      <c r="T1329">
        <v>0.41078794902868904</v>
      </c>
      <c r="U1329">
        <v>0</v>
      </c>
      <c r="V1329">
        <v>0.20025465057071545</v>
      </c>
      <c r="W1329">
        <v>0.21699996409417277</v>
      </c>
      <c r="X1329">
        <v>5.3182803167660761E-2</v>
      </c>
      <c r="Y1329">
        <v>9.6460075214428176E-3</v>
      </c>
    </row>
    <row r="1330" spans="1:25" x14ac:dyDescent="0.25">
      <c r="A1330" s="1083"/>
      <c r="B1330" s="1455">
        <v>1080</v>
      </c>
      <c r="C1330" s="1087">
        <v>1.0085240724090321</v>
      </c>
      <c r="D1330" s="1087">
        <v>1.0107740559381722</v>
      </c>
      <c r="E1330" s="1087">
        <v>1.0228211050551852</v>
      </c>
      <c r="F1330" s="1087">
        <v>1.0245627281054714</v>
      </c>
      <c r="G1330" s="1087">
        <v>1.0047700576086114</v>
      </c>
      <c r="H1330" s="1087">
        <v>0.98274300220629451</v>
      </c>
      <c r="I1330" s="1087">
        <v>0.96463036636845623</v>
      </c>
      <c r="K1330">
        <v>1.8334569326850267</v>
      </c>
      <c r="L1330">
        <v>0</v>
      </c>
      <c r="M1330">
        <v>3.3620230440576321E-3</v>
      </c>
      <c r="N1330">
        <v>0.34222327106025757</v>
      </c>
      <c r="O1330">
        <v>0.2397991720486965</v>
      </c>
      <c r="P1330">
        <v>1.328896697707798E-2</v>
      </c>
      <c r="Q1330">
        <v>1.6018613371182964E-3</v>
      </c>
      <c r="R1330">
        <v>3.3561343532676146E-3</v>
      </c>
      <c r="S1330">
        <v>0.34445427273892121</v>
      </c>
      <c r="T1330">
        <v>0.41272779561340961</v>
      </c>
      <c r="U1330">
        <v>0</v>
      </c>
      <c r="V1330">
        <v>0.20050164428996439</v>
      </c>
      <c r="W1330">
        <v>0.21492827813194165</v>
      </c>
      <c r="X1330">
        <v>5.4803267818227447E-2</v>
      </c>
      <c r="Y1330">
        <v>9.1342913602022301E-3</v>
      </c>
    </row>
    <row r="1331" spans="1:25" x14ac:dyDescent="0.25">
      <c r="A1331" s="1083"/>
      <c r="B1331" s="1455">
        <v>1081</v>
      </c>
      <c r="C1331" s="1087">
        <v>0.97727102140120437</v>
      </c>
      <c r="D1331" s="1087">
        <v>1.0448218379357808</v>
      </c>
      <c r="E1331" s="1087">
        <v>0.99571555318586924</v>
      </c>
      <c r="F1331" s="1087">
        <v>0.98370965369250551</v>
      </c>
      <c r="G1331" s="1087">
        <v>0.99863873845838114</v>
      </c>
      <c r="H1331" s="1087">
        <v>1.0237860811679214</v>
      </c>
      <c r="I1331" s="1087">
        <v>0.99926971581153345</v>
      </c>
      <c r="K1331">
        <v>1.8519247338449887</v>
      </c>
      <c r="L1331">
        <v>0</v>
      </c>
      <c r="M1331">
        <v>3.7540739067293246E-3</v>
      </c>
      <c r="N1331">
        <v>0.35183528515049967</v>
      </c>
      <c r="O1331">
        <v>0.23521085265463137</v>
      </c>
      <c r="P1331">
        <v>1.3102465805471615E-2</v>
      </c>
      <c r="Q1331">
        <v>1.5851008304870505E-3</v>
      </c>
      <c r="R1331">
        <v>3.7477344949509279E-3</v>
      </c>
      <c r="S1331">
        <v>0.36873984954814198</v>
      </c>
      <c r="T1331">
        <v>0.39610820795074508</v>
      </c>
      <c r="U1331">
        <v>0</v>
      </c>
      <c r="V1331">
        <v>0.19850431245392902</v>
      </c>
      <c r="W1331">
        <v>0.22471280228898816</v>
      </c>
      <c r="X1331">
        <v>5.1932098718959659E-2</v>
      </c>
      <c r="Y1331">
        <v>1.0200097854912197E-2</v>
      </c>
    </row>
    <row r="1332" spans="1:25" x14ac:dyDescent="0.25">
      <c r="A1332" s="1083"/>
      <c r="B1332" s="1455">
        <v>1082</v>
      </c>
      <c r="C1332" s="1087">
        <v>0.982412901312127</v>
      </c>
      <c r="D1332" s="1087">
        <v>0.98847532523203763</v>
      </c>
      <c r="E1332" s="1087">
        <v>1.0044730985910746</v>
      </c>
      <c r="F1332" s="1087">
        <v>1.0218518584180352</v>
      </c>
      <c r="G1332" s="1087">
        <v>1.0113316235541601</v>
      </c>
      <c r="H1332" s="1087">
        <v>0.99905752930478087</v>
      </c>
      <c r="I1332" s="1087">
        <v>0.98750815107753909</v>
      </c>
      <c r="K1332">
        <v>1.8899581156721101</v>
      </c>
      <c r="L1332">
        <v>0</v>
      </c>
      <c r="M1332">
        <v>3.6882331239957143E-3</v>
      </c>
      <c r="N1332">
        <v>0.35501699835614398</v>
      </c>
      <c r="O1332">
        <v>0.24472782737034871</v>
      </c>
      <c r="P1332">
        <v>1.3485513830172791E-2</v>
      </c>
      <c r="Q1332">
        <v>1.6272751438674636E-3</v>
      </c>
      <c r="R1332">
        <v>3.6818999636160075E-3</v>
      </c>
      <c r="S1332">
        <v>0.36932281937777356</v>
      </c>
      <c r="T1332">
        <v>0.41152107234416901</v>
      </c>
      <c r="U1332">
        <v>0</v>
      </c>
      <c r="V1332">
        <v>0.2042221363084718</v>
      </c>
      <c r="W1332">
        <v>0.22550766761928043</v>
      </c>
      <c r="X1332">
        <v>5.4512220519294975E-2</v>
      </c>
      <c r="Y1332">
        <v>1.0020917962965966E-2</v>
      </c>
    </row>
    <row r="1333" spans="1:25" x14ac:dyDescent="0.25">
      <c r="A1333" s="1083"/>
      <c r="B1333" s="1455">
        <v>1083</v>
      </c>
      <c r="C1333" s="1087">
        <v>0.97338823585287748</v>
      </c>
      <c r="D1333" s="1087">
        <v>0.99442999711307123</v>
      </c>
      <c r="E1333" s="1087">
        <v>0.9862889794903652</v>
      </c>
      <c r="F1333" s="1087">
        <v>1.0120013347371259</v>
      </c>
      <c r="G1333" s="1087">
        <v>0.98756750779590585</v>
      </c>
      <c r="H1333" s="1087">
        <v>0.96644924153417477</v>
      </c>
      <c r="I1333" s="1087">
        <v>1.0311537537396469</v>
      </c>
      <c r="K1333">
        <v>1.871405657390145</v>
      </c>
      <c r="L1333">
        <v>0</v>
      </c>
      <c r="M1333">
        <v>3.7251135972907485E-3</v>
      </c>
      <c r="N1333">
        <v>0.33918472532725152</v>
      </c>
      <c r="O1333">
        <v>0.243814629446992</v>
      </c>
      <c r="P1333">
        <v>1.3407721289272924E-2</v>
      </c>
      <c r="Q1333">
        <v>1.6069053277916075E-3</v>
      </c>
      <c r="R1333">
        <v>3.718495586662417E-3</v>
      </c>
      <c r="S1333">
        <v>0.38142054672451453</v>
      </c>
      <c r="T1333">
        <v>0.40744292636481877</v>
      </c>
      <c r="U1333">
        <v>0</v>
      </c>
      <c r="V1333">
        <v>0.20394082943215952</v>
      </c>
      <c r="W1333">
        <v>0.21792149681676487</v>
      </c>
      <c r="X1333">
        <v>5.2551975486052005E-2</v>
      </c>
      <c r="Y1333">
        <v>1.0120519185154395E-2</v>
      </c>
    </row>
    <row r="1334" spans="1:25" x14ac:dyDescent="0.25">
      <c r="A1334" s="1083"/>
      <c r="B1334" s="1455">
        <v>1084</v>
      </c>
      <c r="C1334" s="1087">
        <v>0.98637366711227492</v>
      </c>
      <c r="D1334" s="1087">
        <v>1.0062723257601183</v>
      </c>
      <c r="E1334" s="1087">
        <v>0.99052112809866677</v>
      </c>
      <c r="F1334" s="1087">
        <v>1.0359045438323526</v>
      </c>
      <c r="G1334" s="1087">
        <v>1.0200299290509545</v>
      </c>
      <c r="H1334" s="1087">
        <v>1.0200645419766825</v>
      </c>
      <c r="I1334" s="1087">
        <v>1.0010775080461676</v>
      </c>
      <c r="K1334">
        <v>1.8947818538235917</v>
      </c>
      <c r="L1334">
        <v>0</v>
      </c>
      <c r="M1334">
        <v>3.8218665569022862E-3</v>
      </c>
      <c r="N1334">
        <v>0.35255380289997884</v>
      </c>
      <c r="O1334">
        <v>0.24383955474671024</v>
      </c>
      <c r="P1334">
        <v>1.3465615369649015E-2</v>
      </c>
      <c r="Q1334">
        <v>1.5854359815826863E-3</v>
      </c>
      <c r="R1334">
        <v>3.8154224498586956E-3</v>
      </c>
      <c r="S1334">
        <v>0.37290378016643039</v>
      </c>
      <c r="T1334">
        <v>0.41709296610375884</v>
      </c>
      <c r="U1334">
        <v>0</v>
      </c>
      <c r="V1334">
        <v>0.20392307072514873</v>
      </c>
      <c r="W1334">
        <v>0.22590752265650804</v>
      </c>
      <c r="X1334">
        <v>5.3132227126025243E-2</v>
      </c>
      <c r="Y1334">
        <v>1.0384322154842801E-2</v>
      </c>
    </row>
    <row r="1335" spans="1:25" x14ac:dyDescent="0.25">
      <c r="A1335" s="1083"/>
      <c r="B1335" s="1455">
        <v>1085</v>
      </c>
      <c r="C1335" s="1087">
        <v>1.0415322133971168</v>
      </c>
      <c r="D1335" s="1087">
        <v>0.9894907303962186</v>
      </c>
      <c r="E1335" s="1087">
        <v>0.98684460859749168</v>
      </c>
      <c r="F1335" s="1087">
        <v>0.98676865729045837</v>
      </c>
      <c r="G1335" s="1087">
        <v>0.98258997083477806</v>
      </c>
      <c r="H1335" s="1087">
        <v>0.97486650061358804</v>
      </c>
      <c r="I1335" s="1087">
        <v>1.0056946349979787</v>
      </c>
      <c r="K1335">
        <v>1.7760874563555171</v>
      </c>
      <c r="L1335">
        <v>0</v>
      </c>
      <c r="M1335">
        <v>3.5166280844961739E-3</v>
      </c>
      <c r="N1335">
        <v>0.32075055000445318</v>
      </c>
      <c r="O1335">
        <v>0.23316869050167441</v>
      </c>
      <c r="P1335">
        <v>1.2729338373287515E-2</v>
      </c>
      <c r="Q1335">
        <v>1.5056623726356763E-3</v>
      </c>
      <c r="R1335">
        <v>3.510437761824377E-3</v>
      </c>
      <c r="S1335">
        <v>0.35008681991899332</v>
      </c>
      <c r="T1335">
        <v>0.39728726156376887</v>
      </c>
      <c r="U1335">
        <v>0</v>
      </c>
      <c r="V1335">
        <v>0.19480540860320769</v>
      </c>
      <c r="W1335">
        <v>0.20600553501191973</v>
      </c>
      <c r="X1335">
        <v>5.020012595605737E-2</v>
      </c>
      <c r="Y1335">
        <v>9.5542543721887745E-3</v>
      </c>
    </row>
    <row r="1336" spans="1:25" x14ac:dyDescent="0.25">
      <c r="A1336" s="1083"/>
      <c r="B1336" s="1455">
        <v>1086</v>
      </c>
      <c r="C1336" s="1087">
        <v>1.0055392876160836</v>
      </c>
      <c r="D1336" s="1087">
        <v>1.0205074965822845</v>
      </c>
      <c r="E1336" s="1087">
        <v>1.0183463825604666</v>
      </c>
      <c r="F1336" s="1087">
        <v>1.0014578179161691</v>
      </c>
      <c r="G1336" s="1087">
        <v>1.0228668557357123</v>
      </c>
      <c r="H1336" s="1087">
        <v>1.0007346759606659</v>
      </c>
      <c r="I1336" s="1087">
        <v>0.99531815852111671</v>
      </c>
      <c r="K1336">
        <v>1.838391642383528</v>
      </c>
      <c r="L1336">
        <v>0</v>
      </c>
      <c r="M1336">
        <v>3.4479005799416475E-3</v>
      </c>
      <c r="N1336">
        <v>0.34622207810011385</v>
      </c>
      <c r="O1336">
        <v>0.23648718490744935</v>
      </c>
      <c r="P1336">
        <v>1.3270317550319075E-2</v>
      </c>
      <c r="Q1336">
        <v>1.5929361620183411E-3</v>
      </c>
      <c r="R1336">
        <v>3.441962733423537E-3</v>
      </c>
      <c r="S1336">
        <v>0.35775080784660862</v>
      </c>
      <c r="T1336">
        <v>0.40339282749284378</v>
      </c>
      <c r="U1336">
        <v>0</v>
      </c>
      <c r="V1336">
        <v>0.19833101613575038</v>
      </c>
      <c r="W1336">
        <v>0.21803911856335678</v>
      </c>
      <c r="X1336">
        <v>5.3943405553917301E-2</v>
      </c>
      <c r="Y1336">
        <v>9.367887917668738E-3</v>
      </c>
    </row>
    <row r="1337" spans="1:25" x14ac:dyDescent="0.25">
      <c r="A1337" s="1083"/>
      <c r="B1337" s="1455">
        <v>1087</v>
      </c>
      <c r="C1337" s="1087">
        <v>0.9857367939411843</v>
      </c>
      <c r="D1337" s="1087">
        <v>0.99846409610872144</v>
      </c>
      <c r="E1337" s="1087">
        <v>0.95106045538997075</v>
      </c>
      <c r="F1337" s="1087">
        <v>1.0093681745851681</v>
      </c>
      <c r="G1337" s="1087">
        <v>1.019139884840377</v>
      </c>
      <c r="H1337" s="1087">
        <v>1.0055302161903619</v>
      </c>
      <c r="I1337" s="1087">
        <v>1.0017333702389122</v>
      </c>
      <c r="K1337">
        <v>1.8513366137403591</v>
      </c>
      <c r="L1337">
        <v>0</v>
      </c>
      <c r="M1337">
        <v>4.1026955455160706E-3</v>
      </c>
      <c r="N1337">
        <v>0.33542787072807456</v>
      </c>
      <c r="O1337">
        <v>0.24104108452095682</v>
      </c>
      <c r="P1337">
        <v>1.2881374636155895E-2</v>
      </c>
      <c r="Q1337">
        <v>1.5249010640118667E-3</v>
      </c>
      <c r="R1337">
        <v>4.0956860271208527E-3</v>
      </c>
      <c r="S1337">
        <v>0.37187387994754006</v>
      </c>
      <c r="T1337">
        <v>0.40617223033479494</v>
      </c>
      <c r="U1337">
        <v>0</v>
      </c>
      <c r="V1337">
        <v>0.20190895717977017</v>
      </c>
      <c r="W1337">
        <v>0.22042030095197421</v>
      </c>
      <c r="X1337">
        <v>4.8945916672189782E-2</v>
      </c>
      <c r="Y1337">
        <v>1.1147107223286976E-2</v>
      </c>
    </row>
    <row r="1338" spans="1:25" x14ac:dyDescent="0.25">
      <c r="A1338" s="1083"/>
      <c r="B1338" s="1455">
        <v>1088</v>
      </c>
      <c r="C1338" s="1087">
        <v>1.0254902375698722</v>
      </c>
      <c r="D1338" s="1087">
        <v>1.0011593567813919</v>
      </c>
      <c r="E1338" s="1087">
        <v>0.99848835660184998</v>
      </c>
      <c r="F1338" s="1087">
        <v>1.0082540187038911</v>
      </c>
      <c r="G1338" s="1087">
        <v>1.004008203707957</v>
      </c>
      <c r="H1338" s="1087">
        <v>1.0078229998709642</v>
      </c>
      <c r="I1338" s="1087">
        <v>1.0244982507691118</v>
      </c>
      <c r="K1338">
        <v>1.837358297239269</v>
      </c>
      <c r="L1338">
        <v>0</v>
      </c>
      <c r="M1338">
        <v>3.582634992462566E-3</v>
      </c>
      <c r="N1338">
        <v>0.33861596468153971</v>
      </c>
      <c r="O1338">
        <v>0.23651438731050653</v>
      </c>
      <c r="P1338">
        <v>1.3215796171886837E-2</v>
      </c>
      <c r="Q1338">
        <v>1.5411364842976328E-3</v>
      </c>
      <c r="R1338">
        <v>3.5765243633442746E-3</v>
      </c>
      <c r="S1338">
        <v>0.36595572913204061</v>
      </c>
      <c r="T1338">
        <v>0.40600833815409848</v>
      </c>
      <c r="U1338">
        <v>0</v>
      </c>
      <c r="V1338">
        <v>0.19771102681283734</v>
      </c>
      <c r="W1338">
        <v>0.21589460558963303</v>
      </c>
      <c r="X1338">
        <v>5.2173303215460889E-2</v>
      </c>
      <c r="Y1338">
        <v>9.7341203160836044E-3</v>
      </c>
    </row>
    <row r="1339" spans="1:25" x14ac:dyDescent="0.25">
      <c r="A1339" s="1083"/>
      <c r="B1339" s="1455">
        <v>1089</v>
      </c>
      <c r="C1339" s="1087">
        <v>1.0185863906924257</v>
      </c>
      <c r="D1339" s="1087">
        <v>1.0026341999881025</v>
      </c>
      <c r="E1339" s="1087">
        <v>1.028826161939941</v>
      </c>
      <c r="F1339" s="1087">
        <v>1.0260674074797378</v>
      </c>
      <c r="G1339" s="1087">
        <v>1.0236798665712987</v>
      </c>
      <c r="H1339" s="1087">
        <v>1.0431675703497834</v>
      </c>
      <c r="I1339" s="1087">
        <v>0.99505695332830957</v>
      </c>
      <c r="K1339">
        <v>1.8886448775424138</v>
      </c>
      <c r="L1339">
        <v>0</v>
      </c>
      <c r="M1339">
        <v>3.5052689715892433E-3</v>
      </c>
      <c r="N1339">
        <v>0.36342838724133886</v>
      </c>
      <c r="O1339">
        <v>0.23965504088960798</v>
      </c>
      <c r="P1339">
        <v>1.362409538641053E-2</v>
      </c>
      <c r="Q1339">
        <v>1.6012539294318004E-3</v>
      </c>
      <c r="R1339">
        <v>3.499491259888657E-3</v>
      </c>
      <c r="S1339">
        <v>0.36414351872510925</v>
      </c>
      <c r="T1339">
        <v>0.41337193940691858</v>
      </c>
      <c r="U1339">
        <v>0</v>
      </c>
      <c r="V1339">
        <v>0.20003170124579389</v>
      </c>
      <c r="W1339">
        <v>0.22740740594033476</v>
      </c>
      <c r="X1339">
        <v>5.5862850886732859E-2</v>
      </c>
      <c r="Y1339">
        <v>9.5244616024331413E-3</v>
      </c>
    </row>
    <row r="1340" spans="1:25" x14ac:dyDescent="0.25">
      <c r="A1340" s="1083"/>
      <c r="B1340" s="1455">
        <v>1090</v>
      </c>
      <c r="C1340" s="1087">
        <v>1.0166283913036913</v>
      </c>
      <c r="D1340" s="1087">
        <v>0.99649428531636819</v>
      </c>
      <c r="E1340" s="1087">
        <v>0.96305166908198159</v>
      </c>
      <c r="F1340" s="1087">
        <v>0.98540440106903693</v>
      </c>
      <c r="G1340" s="1087">
        <v>0.98962787718773626</v>
      </c>
      <c r="H1340" s="1087">
        <v>0.99123619375604366</v>
      </c>
      <c r="I1340" s="1087">
        <v>1.0296932575505851</v>
      </c>
      <c r="K1340">
        <v>1.8068530550222619</v>
      </c>
      <c r="L1340">
        <v>0</v>
      </c>
      <c r="M1340">
        <v>3.8308953867819185E-3</v>
      </c>
      <c r="N1340">
        <v>0.32490911193787986</v>
      </c>
      <c r="O1340">
        <v>0.23486123900378805</v>
      </c>
      <c r="P1340">
        <v>1.2761564751357776E-2</v>
      </c>
      <c r="Q1340">
        <v>1.4991944855909853E-3</v>
      </c>
      <c r="R1340">
        <v>3.8242571766573903E-3</v>
      </c>
      <c r="S1340">
        <v>0.36853998965188967</v>
      </c>
      <c r="T1340">
        <v>0.39659850249969286</v>
      </c>
      <c r="U1340">
        <v>0</v>
      </c>
      <c r="V1340">
        <v>0.1967185890234153</v>
      </c>
      <c r="W1340">
        <v>0.21186199166933317</v>
      </c>
      <c r="X1340">
        <v>4.8701142840618258E-2</v>
      </c>
      <c r="Y1340">
        <v>1.0408367368821945E-2</v>
      </c>
    </row>
    <row r="1341" spans="1:25" x14ac:dyDescent="0.25">
      <c r="A1341" s="1083"/>
      <c r="B1341" s="1455">
        <v>1091</v>
      </c>
      <c r="C1341" s="1087">
        <v>0.99699859796585621</v>
      </c>
      <c r="D1341" s="1087">
        <v>1.0250528895750919</v>
      </c>
      <c r="E1341" s="1087">
        <v>0.96322764067018796</v>
      </c>
      <c r="F1341" s="1087">
        <v>1.023551352735562</v>
      </c>
      <c r="G1341" s="1087">
        <v>0.97458655342853651</v>
      </c>
      <c r="H1341" s="1087">
        <v>1.0324553253930264</v>
      </c>
      <c r="I1341" s="1087">
        <v>0.96456878783011701</v>
      </c>
      <c r="K1341">
        <v>1.8412893817781371</v>
      </c>
      <c r="L1341">
        <v>0</v>
      </c>
      <c r="M1341">
        <v>4.0052055316042168E-3</v>
      </c>
      <c r="N1341">
        <v>0.33989704601728365</v>
      </c>
      <c r="O1341">
        <v>0.23881264422806425</v>
      </c>
      <c r="P1341">
        <v>1.2820542190691056E-2</v>
      </c>
      <c r="Q1341">
        <v>1.5118200031024878E-3</v>
      </c>
      <c r="R1341">
        <v>3.9985150913995331E-3</v>
      </c>
      <c r="S1341">
        <v>0.35368053705671798</v>
      </c>
      <c r="T1341">
        <v>0.41195267638431943</v>
      </c>
      <c r="U1341">
        <v>0</v>
      </c>
      <c r="V1341">
        <v>0.20054151198779879</v>
      </c>
      <c r="W1341">
        <v>0.2216100492615474</v>
      </c>
      <c r="X1341">
        <v>4.9586605120172912E-2</v>
      </c>
      <c r="Y1341">
        <v>1.0882639968643901E-2</v>
      </c>
    </row>
    <row r="1342" spans="1:25" x14ac:dyDescent="0.25">
      <c r="A1342" s="1083"/>
      <c r="B1342" s="1455">
        <v>1092</v>
      </c>
      <c r="C1342" s="1087">
        <v>1.0219762426500834</v>
      </c>
      <c r="D1342" s="1087">
        <v>1.0063352530057392</v>
      </c>
      <c r="E1342" s="1087">
        <v>0.96393796555847877</v>
      </c>
      <c r="F1342" s="1087">
        <v>0.97208733096575295</v>
      </c>
      <c r="G1342" s="1087">
        <v>1.0319933490387878</v>
      </c>
      <c r="H1342" s="1087">
        <v>1.0256721943616238</v>
      </c>
      <c r="I1342" s="1087">
        <v>0.99459271960425055</v>
      </c>
      <c r="K1342">
        <v>1.7986387863777835</v>
      </c>
      <c r="L1342">
        <v>0</v>
      </c>
      <c r="M1342">
        <v>3.9152150803179221E-3</v>
      </c>
      <c r="N1342">
        <v>0.33298087344220367</v>
      </c>
      <c r="O1342">
        <v>0.23173797733038085</v>
      </c>
      <c r="P1342">
        <v>1.2533409687810032E-2</v>
      </c>
      <c r="Q1342">
        <v>1.4869291208987668E-3</v>
      </c>
      <c r="R1342">
        <v>3.9086493577153167E-3</v>
      </c>
      <c r="S1342">
        <v>0.35825037250383729</v>
      </c>
      <c r="T1342">
        <v>0.39124382540034397</v>
      </c>
      <c r="U1342">
        <v>0</v>
      </c>
      <c r="V1342">
        <v>0.194522061320025</v>
      </c>
      <c r="W1342">
        <v>0.21700174207816533</v>
      </c>
      <c r="X1342">
        <v>4.825010615093326E-2</v>
      </c>
      <c r="Y1342">
        <v>1.0638055065786607E-2</v>
      </c>
    </row>
    <row r="1343" spans="1:25" x14ac:dyDescent="0.25">
      <c r="A1343" s="1083"/>
      <c r="B1343" s="1455">
        <v>1093</v>
      </c>
      <c r="C1343" s="1087">
        <v>0.99684748406626911</v>
      </c>
      <c r="D1343" s="1087">
        <v>1.0128097973563395</v>
      </c>
      <c r="E1343" s="1087">
        <v>0.97138356191938835</v>
      </c>
      <c r="F1343" s="1087">
        <v>1.0367832141991351</v>
      </c>
      <c r="G1343" s="1087">
        <v>1.0013130300137292</v>
      </c>
      <c r="H1343" s="1087">
        <v>0.99791967377244328</v>
      </c>
      <c r="I1343" s="1087">
        <v>1.0092354199002633</v>
      </c>
      <c r="K1343">
        <v>1.8533992583899883</v>
      </c>
      <c r="L1343">
        <v>0</v>
      </c>
      <c r="M1343">
        <v>3.8328529765741131E-3</v>
      </c>
      <c r="N1343">
        <v>0.33346942124528989</v>
      </c>
      <c r="O1343">
        <v>0.24167414701894369</v>
      </c>
      <c r="P1343">
        <v>1.3166831619027302E-2</v>
      </c>
      <c r="Q1343">
        <v>1.5328238056382963E-3</v>
      </c>
      <c r="R1343">
        <v>3.8262399493321454E-3</v>
      </c>
      <c r="S1343">
        <v>0.36637895926551844</v>
      </c>
      <c r="T1343">
        <v>0.41732817620753337</v>
      </c>
      <c r="U1343">
        <v>0</v>
      </c>
      <c r="V1343">
        <v>0.20236842087658882</v>
      </c>
      <c r="W1343">
        <v>0.21628658717623617</v>
      </c>
      <c r="X1343">
        <v>5.0786740380032509E-2</v>
      </c>
      <c r="Y1343">
        <v>1.0413763822421786E-2</v>
      </c>
    </row>
    <row r="1344" spans="1:25" x14ac:dyDescent="0.25">
      <c r="A1344" s="1083"/>
      <c r="B1344" s="1455">
        <v>1094</v>
      </c>
      <c r="C1344" s="1087">
        <v>1.0299770547077653</v>
      </c>
      <c r="D1344" s="1087">
        <v>0.97556913557273939</v>
      </c>
      <c r="E1344" s="1087">
        <v>1.0027122854135326</v>
      </c>
      <c r="F1344" s="1087">
        <v>0.9971747309419805</v>
      </c>
      <c r="G1344" s="1087">
        <v>1.0162124829638013</v>
      </c>
      <c r="H1344" s="1087">
        <v>1.0113485542205272</v>
      </c>
      <c r="I1344" s="1087">
        <v>0.97288918132799573</v>
      </c>
      <c r="K1344">
        <v>1.829063405766407</v>
      </c>
      <c r="L1344">
        <v>0</v>
      </c>
      <c r="M1344">
        <v>3.5991652357521406E-3</v>
      </c>
      <c r="N1344">
        <v>0.3445957226056649</v>
      </c>
      <c r="O1344">
        <v>0.23733986722023126</v>
      </c>
      <c r="P1344">
        <v>1.3001717454274787E-2</v>
      </c>
      <c r="Q1344">
        <v>1.5573895756978318E-3</v>
      </c>
      <c r="R1344">
        <v>3.5930707757919219E-3</v>
      </c>
      <c r="S1344">
        <v>0.35169130331328313</v>
      </c>
      <c r="T1344">
        <v>0.40157241198036325</v>
      </c>
      <c r="U1344">
        <v>0</v>
      </c>
      <c r="V1344">
        <v>0.19770726063078503</v>
      </c>
      <c r="W1344">
        <v>0.21912834959489338</v>
      </c>
      <c r="X1344">
        <v>5.2696323654929732E-2</v>
      </c>
      <c r="Y1344">
        <v>9.7791541962427009E-3</v>
      </c>
    </row>
    <row r="1345" spans="1:25" x14ac:dyDescent="0.25">
      <c r="A1345" s="1083"/>
      <c r="B1345" s="1455">
        <v>1095</v>
      </c>
      <c r="C1345" s="1087">
        <v>0.98761595520052592</v>
      </c>
      <c r="D1345" s="1087">
        <v>1.0351331883121149</v>
      </c>
      <c r="E1345" s="1087">
        <v>0.972320015313341</v>
      </c>
      <c r="F1345" s="1087">
        <v>1.0041756535117261</v>
      </c>
      <c r="G1345" s="1087">
        <v>1.0222853978219772</v>
      </c>
      <c r="H1345" s="1087">
        <v>0.96116871982809915</v>
      </c>
      <c r="I1345" s="1087">
        <v>0.97493458788959908</v>
      </c>
      <c r="K1345">
        <v>1.7896835936495912</v>
      </c>
      <c r="L1345">
        <v>0</v>
      </c>
      <c r="M1345">
        <v>3.6761663533248241E-3</v>
      </c>
      <c r="N1345">
        <v>0.3207315771461246</v>
      </c>
      <c r="O1345">
        <v>0.23690409834261034</v>
      </c>
      <c r="P1345">
        <v>1.2697124671145843E-2</v>
      </c>
      <c r="Q1345">
        <v>1.5352717643012106E-3</v>
      </c>
      <c r="R1345">
        <v>3.6695620742616263E-3</v>
      </c>
      <c r="S1345">
        <v>0.34654752132972799</v>
      </c>
      <c r="T1345">
        <v>0.40420849364641703</v>
      </c>
      <c r="U1345">
        <v>0</v>
      </c>
      <c r="V1345">
        <v>0.19946258277479831</v>
      </c>
      <c r="W1345">
        <v>0.20790059048349332</v>
      </c>
      <c r="X1345">
        <v>4.9715599474707231E-2</v>
      </c>
      <c r="Y1345">
        <v>9.9873382953274727E-3</v>
      </c>
    </row>
    <row r="1346" spans="1:25" x14ac:dyDescent="0.25">
      <c r="A1346" s="1083"/>
      <c r="B1346" s="1455">
        <v>1096</v>
      </c>
      <c r="C1346" s="1087">
        <v>1.0231437736938986</v>
      </c>
      <c r="D1346" s="1087">
        <v>0.99539922686035576</v>
      </c>
      <c r="E1346" s="1087">
        <v>1.0203457288986457</v>
      </c>
      <c r="F1346" s="1087">
        <v>0.98911884065561673</v>
      </c>
      <c r="G1346" s="1087">
        <v>1.0299837699490151</v>
      </c>
      <c r="H1346" s="1087">
        <v>0.99931330847471245</v>
      </c>
      <c r="I1346" s="1087">
        <v>1.0331265349970051</v>
      </c>
      <c r="K1346">
        <v>1.8407238853645083</v>
      </c>
      <c r="L1346">
        <v>0</v>
      </c>
      <c r="M1346">
        <v>3.4156258662403701E-3</v>
      </c>
      <c r="N1346">
        <v>0.34507853556097262</v>
      </c>
      <c r="O1346">
        <v>0.23546143834604261</v>
      </c>
      <c r="P1346">
        <v>1.3366024991563211E-2</v>
      </c>
      <c r="Q1346">
        <v>1.58454424856756E-3</v>
      </c>
      <c r="R1346">
        <v>3.4097558751817959E-3</v>
      </c>
      <c r="S1346">
        <v>0.36977934047412991</v>
      </c>
      <c r="T1346">
        <v>0.39843476372920889</v>
      </c>
      <c r="U1346">
        <v>0</v>
      </c>
      <c r="V1346">
        <v>0.1967640307921156</v>
      </c>
      <c r="W1346">
        <v>0.2170515485418158</v>
      </c>
      <c r="X1346">
        <v>5.3929297204628253E-2</v>
      </c>
      <c r="Y1346">
        <v>9.2802314665226815E-3</v>
      </c>
    </row>
    <row r="1347" spans="1:25" x14ac:dyDescent="0.25">
      <c r="A1347" s="1083"/>
      <c r="B1347" s="1455">
        <v>1097</v>
      </c>
      <c r="C1347" s="1087">
        <v>1.004398241495108</v>
      </c>
      <c r="D1347" s="1087">
        <v>0.98637488771073045</v>
      </c>
      <c r="E1347" s="1087">
        <v>1.0319146933857664</v>
      </c>
      <c r="F1347" s="1087">
        <v>0.98742706390534707</v>
      </c>
      <c r="G1347" s="1087">
        <v>0.97028502476802092</v>
      </c>
      <c r="H1347" s="1087">
        <v>1.0041020613901253</v>
      </c>
      <c r="I1347" s="1087">
        <v>0.98942574337382994</v>
      </c>
      <c r="K1347">
        <v>1.8624765321527947</v>
      </c>
      <c r="L1347">
        <v>0</v>
      </c>
      <c r="M1347">
        <v>3.43085745680686E-3</v>
      </c>
      <c r="N1347">
        <v>0.35905287771306033</v>
      </c>
      <c r="O1347">
        <v>0.23853026020855866</v>
      </c>
      <c r="P1347">
        <v>1.3416804292622769E-2</v>
      </c>
      <c r="Q1347">
        <v>1.6398323700556184E-3</v>
      </c>
      <c r="R1347">
        <v>3.4249970002974998E-3</v>
      </c>
      <c r="S1347">
        <v>0.36357104689825154</v>
      </c>
      <c r="T1347">
        <v>0.39782376854643048</v>
      </c>
      <c r="U1347">
        <v>0</v>
      </c>
      <c r="V1347">
        <v>0.19912193342355994</v>
      </c>
      <c r="W1347">
        <v>0.2242461190673955</v>
      </c>
      <c r="X1347">
        <v>5.5758037304516721E-2</v>
      </c>
      <c r="Y1347">
        <v>9.3217127848520855E-3</v>
      </c>
    </row>
    <row r="1348" spans="1:25" x14ac:dyDescent="0.25">
      <c r="A1348" s="1083"/>
      <c r="B1348" s="1455">
        <v>1098</v>
      </c>
      <c r="C1348" s="1087">
        <v>1.021519457896866</v>
      </c>
      <c r="D1348" s="1087">
        <v>1.0415080780459338</v>
      </c>
      <c r="E1348" s="1087">
        <v>0.98060463926919816</v>
      </c>
      <c r="F1348" s="1087">
        <v>1.022860213814528</v>
      </c>
      <c r="G1348" s="1087">
        <v>1.0335949450364847</v>
      </c>
      <c r="H1348" s="1087">
        <v>0.99827182741800335</v>
      </c>
      <c r="I1348" s="1087">
        <v>0.97467203004753866</v>
      </c>
      <c r="K1348">
        <v>1.7894710418798616</v>
      </c>
      <c r="L1348">
        <v>0</v>
      </c>
      <c r="M1348">
        <v>3.6150574009635489E-3</v>
      </c>
      <c r="N1348">
        <v>0.32351053289265308</v>
      </c>
      <c r="O1348">
        <v>0.23436106559455683</v>
      </c>
      <c r="P1348">
        <v>1.2760503927158598E-2</v>
      </c>
      <c r="Q1348">
        <v>1.4939674924305849E-3</v>
      </c>
      <c r="R1348">
        <v>3.608794607688402E-3</v>
      </c>
      <c r="S1348">
        <v>0.34007305381458836</v>
      </c>
      <c r="T1348">
        <v>0.41178002020497162</v>
      </c>
      <c r="U1348">
        <v>0</v>
      </c>
      <c r="V1348">
        <v>0.19710501036949274</v>
      </c>
      <c r="W1348">
        <v>0.20859988425987597</v>
      </c>
      <c r="X1348">
        <v>4.9971316834103441E-2</v>
      </c>
      <c r="Y1348">
        <v>9.8219492833051276E-3</v>
      </c>
    </row>
    <row r="1349" spans="1:25" x14ac:dyDescent="0.25">
      <c r="A1349" s="1083"/>
      <c r="B1349" s="1455">
        <v>1099</v>
      </c>
      <c r="C1349" s="1087">
        <v>1.0108001771237138</v>
      </c>
      <c r="D1349" s="1087">
        <v>1.0425253053098187</v>
      </c>
      <c r="E1349" s="1087">
        <v>0.99317132727662538</v>
      </c>
      <c r="F1349" s="1087">
        <v>0.99268694816129721</v>
      </c>
      <c r="G1349" s="1087">
        <v>0.99687579698654105</v>
      </c>
      <c r="H1349" s="1087">
        <v>1.0258087803768265</v>
      </c>
      <c r="I1349" s="1087">
        <v>0.99632541022044496</v>
      </c>
      <c r="K1349">
        <v>1.8172961653476387</v>
      </c>
      <c r="L1349">
        <v>0</v>
      </c>
      <c r="M1349">
        <v>3.6590461029127599E-3</v>
      </c>
      <c r="N1349">
        <v>0.34027701837117674</v>
      </c>
      <c r="O1349">
        <v>0.23237344341468499</v>
      </c>
      <c r="P1349">
        <v>1.2918365398940668E-2</v>
      </c>
      <c r="Q1349">
        <v>1.5297063479165574E-3</v>
      </c>
      <c r="R1349">
        <v>3.6528795969666878E-3</v>
      </c>
      <c r="S1349">
        <v>0.35616594644903699</v>
      </c>
      <c r="T1349">
        <v>0.39970783292136475</v>
      </c>
      <c r="U1349">
        <v>0</v>
      </c>
      <c r="V1349">
        <v>0.19575691506713078</v>
      </c>
      <c r="W1349">
        <v>0.21767789512817662</v>
      </c>
      <c r="X1349">
        <v>5.0953274663647852E-2</v>
      </c>
      <c r="Y1349">
        <v>9.9419340915078147E-3</v>
      </c>
    </row>
    <row r="1350" spans="1:25" x14ac:dyDescent="0.25">
      <c r="A1350" s="1083"/>
      <c r="B1350" s="1455">
        <v>1100</v>
      </c>
      <c r="C1350" s="1087">
        <v>0.97781001997045236</v>
      </c>
      <c r="D1350" s="1087">
        <v>1.0034549704478348</v>
      </c>
      <c r="E1350" s="1087">
        <v>0.97801312222311287</v>
      </c>
      <c r="F1350" s="1087">
        <v>0.99572611648688703</v>
      </c>
      <c r="G1350" s="1087">
        <v>1.0194729618758476</v>
      </c>
      <c r="H1350" s="1087">
        <v>0.96209369951707491</v>
      </c>
      <c r="I1350" s="1087">
        <v>1.0135327694665361</v>
      </c>
      <c r="K1350">
        <v>1.834763694386615</v>
      </c>
      <c r="L1350">
        <v>0</v>
      </c>
      <c r="M1350">
        <v>3.7360003419646304E-3</v>
      </c>
      <c r="N1350">
        <v>0.33167794240052806</v>
      </c>
      <c r="O1350">
        <v>0.24029023079836434</v>
      </c>
      <c r="P1350">
        <v>1.3054969911321795E-2</v>
      </c>
      <c r="Q1350">
        <v>1.5797450043016554E-3</v>
      </c>
      <c r="R1350">
        <v>3.7293242733340243E-3</v>
      </c>
      <c r="S1350">
        <v>0.37042520219351183</v>
      </c>
      <c r="T1350">
        <v>0.40084105362731659</v>
      </c>
      <c r="U1350">
        <v>0</v>
      </c>
      <c r="V1350">
        <v>0.20149783836556961</v>
      </c>
      <c r="W1350">
        <v>0.2142182724911168</v>
      </c>
      <c r="X1350">
        <v>5.1035124362613329E-2</v>
      </c>
      <c r="Y1350">
        <v>1.0149991300598909E-2</v>
      </c>
    </row>
    <row r="1351" spans="1:25" x14ac:dyDescent="0.25">
      <c r="A1351" s="1083"/>
      <c r="B1351" s="1455">
        <v>1101</v>
      </c>
      <c r="C1351" s="1087">
        <v>1.0429764306391847</v>
      </c>
      <c r="D1351" s="1087">
        <v>1.0106747899317841</v>
      </c>
      <c r="E1351" s="1087">
        <v>0.96562288751964598</v>
      </c>
      <c r="F1351" s="1087">
        <v>1.0102611464962028</v>
      </c>
      <c r="G1351" s="1087">
        <v>0.98416979392968462</v>
      </c>
      <c r="H1351" s="1087">
        <v>0.97620575095641826</v>
      </c>
      <c r="I1351" s="1087">
        <v>1.0045132623697957</v>
      </c>
      <c r="K1351">
        <v>1.764764782502354</v>
      </c>
      <c r="L1351">
        <v>0</v>
      </c>
      <c r="M1351">
        <v>3.628915230342564E-3</v>
      </c>
      <c r="N1351">
        <v>0.31019984384705263</v>
      </c>
      <c r="O1351">
        <v>0.233274612396175</v>
      </c>
      <c r="P1351">
        <v>1.2590226656515886E-2</v>
      </c>
      <c r="Q1351">
        <v>1.4571464625226453E-3</v>
      </c>
      <c r="R1351">
        <v>3.6225147443433524E-3</v>
      </c>
      <c r="S1351">
        <v>0.3450615317609475</v>
      </c>
      <c r="T1351">
        <v>0.4066179989467012</v>
      </c>
      <c r="U1351">
        <v>0</v>
      </c>
      <c r="V1351">
        <v>0.1953907797142031</v>
      </c>
      <c r="W1351">
        <v>0.20193703052354817</v>
      </c>
      <c r="X1351">
        <v>4.8382721708246756E-2</v>
      </c>
      <c r="Y1351">
        <v>9.8592909724380725E-3</v>
      </c>
    </row>
    <row r="1352" spans="1:25" x14ac:dyDescent="0.25">
      <c r="A1352" s="1083"/>
      <c r="B1352" s="1455">
        <v>1102</v>
      </c>
      <c r="C1352" s="1087">
        <v>0.98425196830414363</v>
      </c>
      <c r="D1352" s="1087">
        <v>1.0075878813355499</v>
      </c>
      <c r="E1352" s="1087">
        <v>0.96655991855625079</v>
      </c>
      <c r="F1352" s="1087">
        <v>0.9755400134330936</v>
      </c>
      <c r="G1352" s="1087">
        <v>0.97025978833835647</v>
      </c>
      <c r="H1352" s="1087">
        <v>1.0381382958603727</v>
      </c>
      <c r="I1352" s="1087">
        <v>1.0039245855834387</v>
      </c>
      <c r="K1352">
        <v>1.8594050307936771</v>
      </c>
      <c r="L1352">
        <v>0</v>
      </c>
      <c r="M1352">
        <v>4.0900386802859897E-3</v>
      </c>
      <c r="N1352">
        <v>0.35065780230065652</v>
      </c>
      <c r="O1352">
        <v>0.23650308732713057</v>
      </c>
      <c r="P1352">
        <v>1.2890175292678179E-2</v>
      </c>
      <c r="Q1352">
        <v>1.5475480561039003E-3</v>
      </c>
      <c r="R1352">
        <v>4.0832609443726929E-3</v>
      </c>
      <c r="S1352">
        <v>0.37753805673325586</v>
      </c>
      <c r="T1352">
        <v>0.39264856167454254</v>
      </c>
      <c r="U1352">
        <v>0</v>
      </c>
      <c r="V1352">
        <v>0.198742399069364</v>
      </c>
      <c r="W1352">
        <v>0.22813768598023967</v>
      </c>
      <c r="X1352">
        <v>4.9633201851647213E-2</v>
      </c>
      <c r="Y1352">
        <v>1.1113290243973915E-2</v>
      </c>
    </row>
    <row r="1353" spans="1:25" x14ac:dyDescent="0.25">
      <c r="A1353" s="1083"/>
      <c r="B1353" s="1455">
        <v>1103</v>
      </c>
      <c r="C1353" s="1087">
        <v>1.0020234264790522</v>
      </c>
      <c r="D1353" s="1087">
        <v>0.9837692013544046</v>
      </c>
      <c r="E1353" s="1087">
        <v>1.0018924564241196</v>
      </c>
      <c r="F1353" s="1087">
        <v>0.987029913043032</v>
      </c>
      <c r="G1353" s="1087">
        <v>0.96970705319395012</v>
      </c>
      <c r="H1353" s="1087">
        <v>0.96429773626420145</v>
      </c>
      <c r="I1353" s="1087">
        <v>0.98880393821624202</v>
      </c>
      <c r="K1353">
        <v>1.8190639849804171</v>
      </c>
      <c r="L1353">
        <v>0</v>
      </c>
      <c r="M1353">
        <v>3.5173783665823077E-3</v>
      </c>
      <c r="N1353">
        <v>0.33589532261475663</v>
      </c>
      <c r="O1353">
        <v>0.23859123726863246</v>
      </c>
      <c r="P1353">
        <v>1.3034960229079897E-2</v>
      </c>
      <c r="Q1353">
        <v>1.5940939954828337E-3</v>
      </c>
      <c r="R1353">
        <v>3.5111243445894763E-3</v>
      </c>
      <c r="S1353">
        <v>0.3572035444546291</v>
      </c>
      <c r="T1353">
        <v>0.39748207950046499</v>
      </c>
      <c r="U1353">
        <v>0</v>
      </c>
      <c r="V1353">
        <v>0.19929714486782227</v>
      </c>
      <c r="W1353">
        <v>0.21370501959999455</v>
      </c>
      <c r="X1353">
        <v>5.2710713447403024E-2</v>
      </c>
      <c r="Y1353">
        <v>9.5561230241434335E-3</v>
      </c>
    </row>
    <row r="1354" spans="1:25" x14ac:dyDescent="0.25">
      <c r="A1354" s="1083"/>
      <c r="B1354" s="1455">
        <v>1104</v>
      </c>
      <c r="C1354" s="1087">
        <v>1.0226086606776188</v>
      </c>
      <c r="D1354" s="1087">
        <v>0.95698346789096456</v>
      </c>
      <c r="E1354" s="1087">
        <v>1.0020607663686991</v>
      </c>
      <c r="F1354" s="1087">
        <v>0.989800635660402</v>
      </c>
      <c r="G1354" s="1087">
        <v>1.0026284443764149</v>
      </c>
      <c r="H1354" s="1087">
        <v>1.0002018082436104</v>
      </c>
      <c r="I1354" s="1087">
        <v>1.0208151528875413</v>
      </c>
      <c r="K1354">
        <v>1.8551242698082144</v>
      </c>
      <c r="L1354">
        <v>0</v>
      </c>
      <c r="M1354">
        <v>3.6273545383618574E-3</v>
      </c>
      <c r="N1354">
        <v>0.34659999766764038</v>
      </c>
      <c r="O1354">
        <v>0.23920117743967048</v>
      </c>
      <c r="P1354">
        <v>1.3269536008048808E-2</v>
      </c>
      <c r="Q1354">
        <v>1.5796310399392301E-3</v>
      </c>
      <c r="R1354">
        <v>3.6211605018567627E-3</v>
      </c>
      <c r="S1354">
        <v>0.37359278244536009</v>
      </c>
      <c r="T1354">
        <v>0.39859887474348921</v>
      </c>
      <c r="U1354">
        <v>0</v>
      </c>
      <c r="V1354">
        <v>0.19883582118618873</v>
      </c>
      <c r="W1354">
        <v>0.22049244745176066</v>
      </c>
      <c r="X1354">
        <v>5.3104590691803309E-2</v>
      </c>
      <c r="Y1354">
        <v>9.8556051708154919E-3</v>
      </c>
    </row>
    <row r="1355" spans="1:25" x14ac:dyDescent="0.25">
      <c r="A1355" s="1083"/>
      <c r="B1355" s="1455">
        <v>1105</v>
      </c>
      <c r="C1355" s="1087">
        <v>0.98992383604036494</v>
      </c>
      <c r="D1355" s="1087">
        <v>1.0050810702784301</v>
      </c>
      <c r="E1355" s="1087">
        <v>0.99179833932937078</v>
      </c>
      <c r="F1355" s="1087">
        <v>1.0289599653598782</v>
      </c>
      <c r="G1355" s="1087">
        <v>0.980506592762169</v>
      </c>
      <c r="H1355" s="1087">
        <v>0.96849636634331793</v>
      </c>
      <c r="I1355" s="1087">
        <v>1.0255390637609465</v>
      </c>
      <c r="K1355">
        <v>1.856897295816786</v>
      </c>
      <c r="L1355">
        <v>0</v>
      </c>
      <c r="M1355">
        <v>3.6085630083436773E-3</v>
      </c>
      <c r="N1355">
        <v>0.33414816290648475</v>
      </c>
      <c r="O1355">
        <v>0.24273345783001551</v>
      </c>
      <c r="P1355">
        <v>1.3405990103104158E-2</v>
      </c>
      <c r="Q1355">
        <v>1.5826611539250411E-3</v>
      </c>
      <c r="R1355">
        <v>3.6021557068729544E-3</v>
      </c>
      <c r="S1355">
        <v>0.37125046393777678</v>
      </c>
      <c r="T1355">
        <v>0.41430473806432044</v>
      </c>
      <c r="U1355">
        <v>0</v>
      </c>
      <c r="V1355">
        <v>0.20301425070349766</v>
      </c>
      <c r="W1355">
        <v>0.21394171468182882</v>
      </c>
      <c r="X1355">
        <v>5.2718383353503713E-2</v>
      </c>
      <c r="Y1355">
        <v>9.803880383798546E-3</v>
      </c>
    </row>
    <row r="1356" spans="1:25" x14ac:dyDescent="0.25">
      <c r="A1356" s="1083"/>
      <c r="B1356" s="1455">
        <v>1106</v>
      </c>
      <c r="C1356" s="1087">
        <v>0.98831861264024923</v>
      </c>
      <c r="D1356" s="1087">
        <v>0.98451466747507732</v>
      </c>
      <c r="E1356" s="1087">
        <v>1.0290190395940759</v>
      </c>
      <c r="F1356" s="1087">
        <v>0.97341090608925029</v>
      </c>
      <c r="G1356" s="1087">
        <v>0.97828438266942896</v>
      </c>
      <c r="H1356" s="1087">
        <v>1.0026899463930155</v>
      </c>
      <c r="I1356" s="1087">
        <v>1.0178345091693564</v>
      </c>
      <c r="K1356">
        <v>1.8825457260299436</v>
      </c>
      <c r="L1356">
        <v>0</v>
      </c>
      <c r="M1356">
        <v>3.5055261517689205E-3</v>
      </c>
      <c r="N1356">
        <v>0.36364596865615029</v>
      </c>
      <c r="O1356">
        <v>0.23889415310346612</v>
      </c>
      <c r="P1356">
        <v>1.3548929398548732E-2</v>
      </c>
      <c r="Q1356">
        <v>1.6627125397798883E-3</v>
      </c>
      <c r="R1356">
        <v>3.4995302738211956E-3</v>
      </c>
      <c r="S1356">
        <v>0.38015982592950215</v>
      </c>
      <c r="T1356">
        <v>0.39215936692711151</v>
      </c>
      <c r="U1356">
        <v>0</v>
      </c>
      <c r="V1356">
        <v>0.19969415182748065</v>
      </c>
      <c r="W1356">
        <v>0.22751672024140193</v>
      </c>
      <c r="X1356">
        <v>5.5745325498953426E-2</v>
      </c>
      <c r="Y1356">
        <v>9.52456778549657E-3</v>
      </c>
    </row>
    <row r="1357" spans="1:25" x14ac:dyDescent="0.25">
      <c r="A1357" s="1083"/>
      <c r="B1357" s="1455">
        <v>1107</v>
      </c>
      <c r="C1357" s="1087">
        <v>1.0018100084858195</v>
      </c>
      <c r="D1357" s="1087">
        <v>1.0104470972835105</v>
      </c>
      <c r="E1357" s="1087">
        <v>1.0005434635595158</v>
      </c>
      <c r="F1357" s="1087">
        <v>1.024181030162953</v>
      </c>
      <c r="G1357" s="1087">
        <v>1.0088701412923815</v>
      </c>
      <c r="H1357" s="1087">
        <v>1.0000573618454638</v>
      </c>
      <c r="I1357" s="1087">
        <v>1.0144479096609902</v>
      </c>
      <c r="K1357">
        <v>1.8606948793305091</v>
      </c>
      <c r="L1357">
        <v>0</v>
      </c>
      <c r="M1357">
        <v>3.6059550694649452E-3</v>
      </c>
      <c r="N1357">
        <v>0.34295906321084174</v>
      </c>
      <c r="O1357">
        <v>0.24028648372722494</v>
      </c>
      <c r="P1357">
        <v>1.3392870238734828E-2</v>
      </c>
      <c r="Q1357">
        <v>1.5751952944765679E-3</v>
      </c>
      <c r="R1357">
        <v>3.5997492034396126E-3</v>
      </c>
      <c r="S1357">
        <v>0.36765635960888732</v>
      </c>
      <c r="T1357">
        <v>0.41243464891157389</v>
      </c>
      <c r="U1357">
        <v>0</v>
      </c>
      <c r="V1357">
        <v>0.2010718999430644</v>
      </c>
      <c r="W1357">
        <v>0.21838297328586509</v>
      </c>
      <c r="X1357">
        <v>5.3144260301108692E-2</v>
      </c>
      <c r="Y1357">
        <v>9.7973306747566342E-3</v>
      </c>
    </row>
    <row r="1358" spans="1:25" x14ac:dyDescent="0.25">
      <c r="A1358" s="1083"/>
      <c r="B1358" s="1455">
        <v>1108</v>
      </c>
      <c r="C1358" s="1087">
        <v>0.99083506004218636</v>
      </c>
      <c r="D1358" s="1087">
        <v>1.0149603202882309</v>
      </c>
      <c r="E1358" s="1087">
        <v>1.0106670398158148</v>
      </c>
      <c r="F1358" s="1087">
        <v>1.0034604320352638</v>
      </c>
      <c r="G1358" s="1087">
        <v>0.96912890146579089</v>
      </c>
      <c r="H1358" s="1087">
        <v>1.0169579443017738</v>
      </c>
      <c r="I1358" s="1087">
        <v>1.025406122761688</v>
      </c>
      <c r="K1358">
        <v>1.8808381181475426</v>
      </c>
      <c r="L1358">
        <v>0</v>
      </c>
      <c r="M1358">
        <v>3.6232090226299592E-3</v>
      </c>
      <c r="N1358">
        <v>0.35541771516655468</v>
      </c>
      <c r="O1358">
        <v>0.23894425288530635</v>
      </c>
      <c r="P1358">
        <v>1.3513524350514772E-2</v>
      </c>
      <c r="Q1358">
        <v>1.6069989812617029E-3</v>
      </c>
      <c r="R1358">
        <v>3.6170740742186946E-3</v>
      </c>
      <c r="S1358">
        <v>0.37811209181198313</v>
      </c>
      <c r="T1358">
        <v>0.40415232284047742</v>
      </c>
      <c r="U1358">
        <v>0</v>
      </c>
      <c r="V1358">
        <v>0.20032951078531019</v>
      </c>
      <c r="W1358">
        <v>0.22489510350893616</v>
      </c>
      <c r="X1358">
        <v>5.4028249503730683E-2</v>
      </c>
      <c r="Y1358">
        <v>9.8444832618751719E-3</v>
      </c>
    </row>
    <row r="1359" spans="1:25" x14ac:dyDescent="0.25">
      <c r="A1359" s="1083"/>
      <c r="B1359" s="1455">
        <v>1109</v>
      </c>
      <c r="C1359" s="1087">
        <v>1.0060601738743467</v>
      </c>
      <c r="D1359" s="1087">
        <v>0.99479066925588844</v>
      </c>
      <c r="E1359" s="1087">
        <v>1.0366270280343985</v>
      </c>
      <c r="F1359" s="1087">
        <v>0.99653188298879292</v>
      </c>
      <c r="G1359" s="1087">
        <v>1.0011299793535071</v>
      </c>
      <c r="H1359" s="1087">
        <v>0.97720507972343973</v>
      </c>
      <c r="I1359" s="1087">
        <v>1.0232183662257281</v>
      </c>
      <c r="K1359">
        <v>1.8544334568509302</v>
      </c>
      <c r="L1359">
        <v>0</v>
      </c>
      <c r="M1359">
        <v>3.2862790836812174E-3</v>
      </c>
      <c r="N1359">
        <v>0.34887405621841605</v>
      </c>
      <c r="O1359">
        <v>0.23864947289506822</v>
      </c>
      <c r="P1359">
        <v>1.3588802576497134E-2</v>
      </c>
      <c r="Q1359">
        <v>1.6396388157198236E-3</v>
      </c>
      <c r="R1359">
        <v>3.2805043855160657E-3</v>
      </c>
      <c r="S1359">
        <v>0.36868305924574207</v>
      </c>
      <c r="T1359">
        <v>0.40152113551047242</v>
      </c>
      <c r="U1359">
        <v>0</v>
      </c>
      <c r="V1359">
        <v>0.19931645486174238</v>
      </c>
      <c r="W1359">
        <v>0.21726455675616591</v>
      </c>
      <c r="X1359">
        <v>5.5973603149873909E-2</v>
      </c>
      <c r="Y1359">
        <v>8.9284515193946822E-3</v>
      </c>
    </row>
    <row r="1360" spans="1:25" x14ac:dyDescent="0.25">
      <c r="A1360" s="1083"/>
      <c r="B1360" s="1455">
        <v>1110</v>
      </c>
      <c r="C1360" s="1087">
        <v>1.0142608752704618</v>
      </c>
      <c r="D1360" s="1087">
        <v>0.96641384224181082</v>
      </c>
      <c r="E1360" s="1087">
        <v>0.98801755909964972</v>
      </c>
      <c r="F1360" s="1087">
        <v>0.99903488533441065</v>
      </c>
      <c r="G1360" s="1087">
        <v>1.0025616233428232</v>
      </c>
      <c r="H1360" s="1087">
        <v>0.97885510725406888</v>
      </c>
      <c r="I1360" s="1087">
        <v>0.98839824103209217</v>
      </c>
      <c r="K1360">
        <v>1.8280045681583368</v>
      </c>
      <c r="L1360">
        <v>0</v>
      </c>
      <c r="M1360">
        <v>3.6640734686653477E-3</v>
      </c>
      <c r="N1360">
        <v>0.33540291973869935</v>
      </c>
      <c r="O1360">
        <v>0.24013180233053921</v>
      </c>
      <c r="P1360">
        <v>1.2993363020584294E-2</v>
      </c>
      <c r="Q1360">
        <v>1.5627748784509772E-3</v>
      </c>
      <c r="R1360">
        <v>3.6576717613262385E-3</v>
      </c>
      <c r="S1360">
        <v>0.35872754764709724</v>
      </c>
      <c r="T1360">
        <v>0.40223285780637585</v>
      </c>
      <c r="U1360">
        <v>0</v>
      </c>
      <c r="V1360">
        <v>0.19991039565678645</v>
      </c>
      <c r="W1360">
        <v>0.21525686062256519</v>
      </c>
      <c r="X1360">
        <v>5.1837471381418233E-2</v>
      </c>
      <c r="Y1360">
        <v>9.9549767831579525E-3</v>
      </c>
    </row>
    <row r="1361" spans="1:25" x14ac:dyDescent="0.25">
      <c r="A1361" s="1083"/>
      <c r="B1361" s="1455">
        <v>1111</v>
      </c>
      <c r="C1361" s="1087">
        <v>0.99163220191801138</v>
      </c>
      <c r="D1361" s="1087">
        <v>1.0239910374558734</v>
      </c>
      <c r="E1361" s="1087">
        <v>0.97690047500196253</v>
      </c>
      <c r="F1361" s="1087">
        <v>0.99954319477479492</v>
      </c>
      <c r="G1361" s="1087">
        <v>0.95661743918411102</v>
      </c>
      <c r="H1361" s="1087">
        <v>0.9844757954077229</v>
      </c>
      <c r="I1361" s="1087">
        <v>1.0140596798832631</v>
      </c>
      <c r="K1361">
        <v>1.8234379409732937</v>
      </c>
      <c r="L1361">
        <v>0</v>
      </c>
      <c r="M1361">
        <v>3.7370706785642919E-3</v>
      </c>
      <c r="N1361">
        <v>0.33065831810987856</v>
      </c>
      <c r="O1361">
        <v>0.23701696310396439</v>
      </c>
      <c r="P1361">
        <v>1.2967515509192005E-2</v>
      </c>
      <c r="Q1361">
        <v>1.5433008232199855E-3</v>
      </c>
      <c r="R1361">
        <v>3.7305259710161466E-3</v>
      </c>
      <c r="S1361">
        <v>0.36546499614599581</v>
      </c>
      <c r="T1361">
        <v>0.40237103343389224</v>
      </c>
      <c r="U1361">
        <v>0</v>
      </c>
      <c r="V1361">
        <v>0.19923083798128791</v>
      </c>
      <c r="W1361">
        <v>0.2137108031227046</v>
      </c>
      <c r="X1361">
        <v>5.0327455525153698E-2</v>
      </c>
      <c r="Y1361">
        <v>1.0153261925550112E-2</v>
      </c>
    </row>
    <row r="1362" spans="1:25" x14ac:dyDescent="0.25">
      <c r="A1362" s="1083"/>
      <c r="B1362" s="1455">
        <v>1112</v>
      </c>
      <c r="C1362" s="1087">
        <v>1.0340179500118738</v>
      </c>
      <c r="D1362" s="1087">
        <v>1.0185855898387994</v>
      </c>
      <c r="E1362" s="1087">
        <v>0.96111124928906577</v>
      </c>
      <c r="F1362" s="1087">
        <v>0.9779289977117005</v>
      </c>
      <c r="G1362" s="1087">
        <v>1.0152193614739353</v>
      </c>
      <c r="H1362" s="1087">
        <v>1.0297069315011187</v>
      </c>
      <c r="I1362" s="1087">
        <v>0.9822886505701276</v>
      </c>
      <c r="K1362">
        <v>1.7774383822536055</v>
      </c>
      <c r="L1362">
        <v>0</v>
      </c>
      <c r="M1362">
        <v>3.8813750035102206E-3</v>
      </c>
      <c r="N1362">
        <v>0.32726096245459524</v>
      </c>
      <c r="O1362">
        <v>0.22982362557916117</v>
      </c>
      <c r="P1362">
        <v>1.2383195298913694E-2</v>
      </c>
      <c r="Q1362">
        <v>1.4580324994704515E-3</v>
      </c>
      <c r="R1362">
        <v>3.8748798505345277E-3</v>
      </c>
      <c r="S1362">
        <v>0.34800629042772424</v>
      </c>
      <c r="T1362">
        <v>0.39357867493922194</v>
      </c>
      <c r="U1362">
        <v>0</v>
      </c>
      <c r="V1362">
        <v>0.19315448014626141</v>
      </c>
      <c r="W1362">
        <v>0.213661962316125</v>
      </c>
      <c r="X1362">
        <v>4.7571508145752166E-2</v>
      </c>
      <c r="Y1362">
        <v>1.0546145599355549E-2</v>
      </c>
    </row>
    <row r="1363" spans="1:25" x14ac:dyDescent="0.25">
      <c r="A1363" s="1083"/>
      <c r="B1363" s="1455">
        <v>1113</v>
      </c>
      <c r="C1363" s="1087">
        <v>1.0052460263890517</v>
      </c>
      <c r="D1363" s="1087">
        <v>0.95101019539840614</v>
      </c>
      <c r="E1363" s="1087">
        <v>1.0307644046814874</v>
      </c>
      <c r="F1363" s="1087">
        <v>0.97005679196338723</v>
      </c>
      <c r="G1363" s="1087">
        <v>1.0379884794923582</v>
      </c>
      <c r="H1363" s="1087">
        <v>1.014725328536481</v>
      </c>
      <c r="I1363" s="1087">
        <v>0.9965348361031805</v>
      </c>
      <c r="K1363">
        <v>1.8861949254007195</v>
      </c>
      <c r="L1363">
        <v>0</v>
      </c>
      <c r="M1363">
        <v>3.5403643894259362E-3</v>
      </c>
      <c r="N1363">
        <v>0.36922741689467375</v>
      </c>
      <c r="O1363">
        <v>0.23982349139038026</v>
      </c>
      <c r="P1363">
        <v>1.3474835665043337E-2</v>
      </c>
      <c r="Q1363">
        <v>1.6605500209422035E-3</v>
      </c>
      <c r="R1363">
        <v>3.5344086655514301E-3</v>
      </c>
      <c r="S1363">
        <v>0.37526138717059482</v>
      </c>
      <c r="T1363">
        <v>0.39081856341358012</v>
      </c>
      <c r="U1363">
        <v>0</v>
      </c>
      <c r="V1363">
        <v>0.19939408048891283</v>
      </c>
      <c r="W1363">
        <v>0.23076256588188315</v>
      </c>
      <c r="X1363">
        <v>5.6158494928454948E-2</v>
      </c>
      <c r="Y1363">
        <v>9.6194952701275215E-3</v>
      </c>
    </row>
    <row r="1364" spans="1:25" x14ac:dyDescent="0.25">
      <c r="A1364" s="1083"/>
      <c r="B1364" s="1455">
        <v>1114</v>
      </c>
      <c r="C1364" s="1087">
        <v>0.9605075221141629</v>
      </c>
      <c r="D1364" s="1087">
        <v>1.007539325998025</v>
      </c>
      <c r="E1364" s="1087">
        <v>1.0145988439124214</v>
      </c>
      <c r="F1364" s="1087">
        <v>0.96353560232411384</v>
      </c>
      <c r="G1364" s="1087">
        <v>1.0020496404506862</v>
      </c>
      <c r="H1364" s="1087">
        <v>0.99590993121395699</v>
      </c>
      <c r="I1364" s="1087">
        <v>1.0132992465108255</v>
      </c>
      <c r="K1364">
        <v>1.8797825404951054</v>
      </c>
      <c r="L1364">
        <v>0</v>
      </c>
      <c r="M1364">
        <v>3.6440541346446764E-3</v>
      </c>
      <c r="N1364">
        <v>0.36176088084955893</v>
      </c>
      <c r="O1364">
        <v>0.23862042799757269</v>
      </c>
      <c r="P1364">
        <v>1.3402149481552623E-2</v>
      </c>
      <c r="Q1364">
        <v>1.6695473167021096E-3</v>
      </c>
      <c r="R1364">
        <v>3.6377578174218118E-3</v>
      </c>
      <c r="S1364">
        <v>0.38298167348810791</v>
      </c>
      <c r="T1364">
        <v>0.38809541356519994</v>
      </c>
      <c r="U1364">
        <v>0</v>
      </c>
      <c r="V1364">
        <v>0.20059575158008508</v>
      </c>
      <c r="W1364">
        <v>0.22835245456925593</v>
      </c>
      <c r="X1364">
        <v>5.4409760371811985E-2</v>
      </c>
      <c r="Y1364">
        <v>9.90077759247995E-3</v>
      </c>
    </row>
    <row r="1365" spans="1:25" x14ac:dyDescent="0.25">
      <c r="A1365" s="1083"/>
      <c r="B1365" s="1455">
        <v>1115</v>
      </c>
      <c r="C1365" s="1087">
        <v>1.0016325469511269</v>
      </c>
      <c r="D1365" s="1087">
        <v>0.98411892625168484</v>
      </c>
      <c r="E1365" s="1087">
        <v>1.0256445702759827</v>
      </c>
      <c r="F1365" s="1087">
        <v>1.0108166323956831</v>
      </c>
      <c r="G1365" s="1087">
        <v>1.0246263534169764</v>
      </c>
      <c r="H1365" s="1087">
        <v>0.98965347758005606</v>
      </c>
      <c r="I1365" s="1087">
        <v>0.98366192442572598</v>
      </c>
      <c r="K1365">
        <v>1.8654281013393528</v>
      </c>
      <c r="L1365">
        <v>0</v>
      </c>
      <c r="M1365">
        <v>3.439245918359396E-3</v>
      </c>
      <c r="N1365">
        <v>0.35311471516989928</v>
      </c>
      <c r="O1365">
        <v>0.24179173524929906</v>
      </c>
      <c r="P1365">
        <v>1.3473616350227155E-2</v>
      </c>
      <c r="Q1365">
        <v>1.6350678287533557E-3</v>
      </c>
      <c r="R1365">
        <v>3.4332876295830425E-3</v>
      </c>
      <c r="S1365">
        <v>0.36025243947607122</v>
      </c>
      <c r="T1365">
        <v>0.40720799964130433</v>
      </c>
      <c r="U1365">
        <v>0</v>
      </c>
      <c r="V1365">
        <v>0.20152973243194955</v>
      </c>
      <c r="W1365">
        <v>0.22138463200599484</v>
      </c>
      <c r="X1365">
        <v>5.5699844329865973E-2</v>
      </c>
      <c r="Y1365">
        <v>9.3442771447621222E-3</v>
      </c>
    </row>
    <row r="1366" spans="1:25" x14ac:dyDescent="0.25">
      <c r="A1366" s="1083"/>
      <c r="B1366" s="1455">
        <v>1116</v>
      </c>
      <c r="C1366" s="1087">
        <v>0.99471026160983678</v>
      </c>
      <c r="D1366" s="1087">
        <v>1.0084939896076128</v>
      </c>
      <c r="E1366" s="1087">
        <v>0.98045538902172824</v>
      </c>
      <c r="F1366" s="1087">
        <v>0.97473618223081238</v>
      </c>
      <c r="G1366" s="1087">
        <v>1.0142841371516167</v>
      </c>
      <c r="H1366" s="1087">
        <v>0.99427302055130828</v>
      </c>
      <c r="I1366" s="1087">
        <v>1.0170690443758934</v>
      </c>
      <c r="K1366">
        <v>1.8247934721388679</v>
      </c>
      <c r="L1366">
        <v>0</v>
      </c>
      <c r="M1366">
        <v>3.7661303351892682E-3</v>
      </c>
      <c r="N1366">
        <v>0.3368769965317554</v>
      </c>
      <c r="O1366">
        <v>0.23526462335365378</v>
      </c>
      <c r="P1366">
        <v>1.2912124340053321E-2</v>
      </c>
      <c r="Q1366">
        <v>1.5538788471309226E-3</v>
      </c>
      <c r="R1366">
        <v>3.7596133605253546E-3</v>
      </c>
      <c r="S1366">
        <v>0.37034747156161268</v>
      </c>
      <c r="T1366">
        <v>0.3924055216772333</v>
      </c>
      <c r="U1366">
        <v>0</v>
      </c>
      <c r="V1366">
        <v>0.19758327440015602</v>
      </c>
      <c r="W1366">
        <v>0.21723914932204819</v>
      </c>
      <c r="X1366">
        <v>5.038452086874616E-2</v>
      </c>
      <c r="Y1366">
        <v>1.0232428211138799E-2</v>
      </c>
    </row>
    <row r="1367" spans="1:25" x14ac:dyDescent="0.25">
      <c r="A1367" s="1083"/>
      <c r="B1367" s="1455">
        <v>1117</v>
      </c>
      <c r="C1367" s="1087">
        <v>0.99954403366437627</v>
      </c>
      <c r="D1367" s="1087">
        <v>0.9629823699404445</v>
      </c>
      <c r="E1367" s="1087">
        <v>1.0137149607002103</v>
      </c>
      <c r="F1367" s="1087">
        <v>1.0035359573808484</v>
      </c>
      <c r="G1367" s="1087">
        <v>0.98822431761136798</v>
      </c>
      <c r="H1367" s="1087">
        <v>1.0028131618855392</v>
      </c>
      <c r="I1367" s="1087">
        <v>0.97698374844407831</v>
      </c>
      <c r="K1367">
        <v>1.879536835402458</v>
      </c>
      <c r="L1367">
        <v>0</v>
      </c>
      <c r="M1367">
        <v>3.6208298869567566E-3</v>
      </c>
      <c r="N1367">
        <v>0.35849638557928004</v>
      </c>
      <c r="O1367">
        <v>0.24316742603224598</v>
      </c>
      <c r="P1367">
        <v>1.3391763385472532E-2</v>
      </c>
      <c r="Q1367">
        <v>1.6321083177604427E-3</v>
      </c>
      <c r="R1367">
        <v>3.6146578311487495E-3</v>
      </c>
      <c r="S1367">
        <v>0.36514263460880958</v>
      </c>
      <c r="T1367">
        <v>0.40420143398819924</v>
      </c>
      <c r="U1367">
        <v>0</v>
      </c>
      <c r="V1367">
        <v>0.20221147260660377</v>
      </c>
      <c r="W1367">
        <v>0.22641551050659425</v>
      </c>
      <c r="X1367">
        <v>5.5046365388543475E-2</v>
      </c>
      <c r="Y1367">
        <v>9.8379070447531022E-3</v>
      </c>
    </row>
    <row r="1368" spans="1:25" x14ac:dyDescent="0.25">
      <c r="A1368" s="1083"/>
      <c r="B1368" s="1455">
        <v>1118</v>
      </c>
      <c r="C1368" s="1087">
        <v>1.0111798571589408</v>
      </c>
      <c r="D1368" s="1087">
        <v>0.98414957842854101</v>
      </c>
      <c r="E1368" s="1087">
        <v>1.0043560638730265</v>
      </c>
      <c r="F1368" s="1087">
        <v>0.99467151671833043</v>
      </c>
      <c r="G1368" s="1087">
        <v>0.99377303523924565</v>
      </c>
      <c r="H1368" s="1087">
        <v>1.029842222169022</v>
      </c>
      <c r="I1368" s="1087">
        <v>0.96582763895721224</v>
      </c>
      <c r="K1368">
        <v>1.8558528653589297</v>
      </c>
      <c r="L1368">
        <v>0</v>
      </c>
      <c r="M1368">
        <v>3.7030833534010018E-3</v>
      </c>
      <c r="N1368">
        <v>0.35633782976814082</v>
      </c>
      <c r="O1368">
        <v>0.23841457625485191</v>
      </c>
      <c r="P1368">
        <v>1.3096341505320117E-2</v>
      </c>
      <c r="Q1368">
        <v>1.5835598778252652E-3</v>
      </c>
      <c r="R1368">
        <v>3.6969180839303813E-3</v>
      </c>
      <c r="S1368">
        <v>0.35715873655741204</v>
      </c>
      <c r="T1368">
        <v>0.40057427384725719</v>
      </c>
      <c r="U1368">
        <v>0</v>
      </c>
      <c r="V1368">
        <v>0.19898879339275893</v>
      </c>
      <c r="W1368">
        <v>0.22636316053737834</v>
      </c>
      <c r="X1368">
        <v>5.3279966551715956E-2</v>
      </c>
      <c r="Y1368">
        <v>1.0061792335739662E-2</v>
      </c>
    </row>
    <row r="1369" spans="1:25" x14ac:dyDescent="0.25">
      <c r="A1369" s="1083"/>
      <c r="B1369" s="1455">
        <v>1119</v>
      </c>
      <c r="C1369" s="1087">
        <v>1.0397252171060587</v>
      </c>
      <c r="D1369" s="1087">
        <v>0.98273708026303108</v>
      </c>
      <c r="E1369" s="1087">
        <v>0.99090383325886555</v>
      </c>
      <c r="F1369" s="1087">
        <v>1.042876432703961</v>
      </c>
      <c r="G1369" s="1087">
        <v>0.99556132337007686</v>
      </c>
      <c r="H1369" s="1087">
        <v>0.96381856610075878</v>
      </c>
      <c r="I1369" s="1087">
        <v>1.0022964036106667</v>
      </c>
      <c r="K1369">
        <v>1.8104193895807295</v>
      </c>
      <c r="L1369">
        <v>0</v>
      </c>
      <c r="M1369">
        <v>3.4657219585926893E-3</v>
      </c>
      <c r="N1369">
        <v>0.32004466522956099</v>
      </c>
      <c r="O1369">
        <v>0.24050399607361972</v>
      </c>
      <c r="P1369">
        <v>1.3130030051269129E-2</v>
      </c>
      <c r="Q1369">
        <v>1.5190107111898135E-3</v>
      </c>
      <c r="R1369">
        <v>3.4595551931754678E-3</v>
      </c>
      <c r="S1369">
        <v>0.34887967585551549</v>
      </c>
      <c r="T1369">
        <v>0.41990250518696171</v>
      </c>
      <c r="U1369">
        <v>0</v>
      </c>
      <c r="V1369">
        <v>0.20009201963019382</v>
      </c>
      <c r="W1369">
        <v>0.20502711622410291</v>
      </c>
      <c r="X1369">
        <v>5.1910768589969992E-2</v>
      </c>
      <c r="Y1369">
        <v>9.4157687937606923E-3</v>
      </c>
    </row>
    <row r="1370" spans="1:25" x14ac:dyDescent="0.25">
      <c r="A1370" s="1083"/>
      <c r="B1370" s="1455">
        <v>1120</v>
      </c>
      <c r="C1370" s="1087">
        <v>1.0128594470830596</v>
      </c>
      <c r="D1370" s="1087">
        <v>0.97960555739035104</v>
      </c>
      <c r="E1370" s="1087">
        <v>1.0319033011940117</v>
      </c>
      <c r="F1370" s="1087">
        <v>1.008193078344874</v>
      </c>
      <c r="G1370" s="1087">
        <v>1.0175064309529291</v>
      </c>
      <c r="H1370" s="1087">
        <v>0.95517607827841267</v>
      </c>
      <c r="I1370" s="1087">
        <v>0.99039997703280114</v>
      </c>
      <c r="K1370">
        <v>1.8325454813842659</v>
      </c>
      <c r="L1370">
        <v>0</v>
      </c>
      <c r="M1370">
        <v>3.248689926240647E-3</v>
      </c>
      <c r="N1370">
        <v>0.3399473463937957</v>
      </c>
      <c r="O1370">
        <v>0.24067329640326476</v>
      </c>
      <c r="P1370">
        <v>1.3410470417956529E-2</v>
      </c>
      <c r="Q1370">
        <v>1.6305996175372225E-3</v>
      </c>
      <c r="R1370">
        <v>3.2428622598193848E-3</v>
      </c>
      <c r="S1370">
        <v>0.35349333231050545</v>
      </c>
      <c r="T1370">
        <v>0.40619010179434351</v>
      </c>
      <c r="U1370">
        <v>0</v>
      </c>
      <c r="V1370">
        <v>0.20038974550065991</v>
      </c>
      <c r="W1370">
        <v>0.2123152539779429</v>
      </c>
      <c r="X1370">
        <v>5.5675160572707723E-2</v>
      </c>
      <c r="Y1370">
        <v>8.8260020619717171E-3</v>
      </c>
    </row>
    <row r="1371" spans="1:25" x14ac:dyDescent="0.25">
      <c r="A1371" s="1083"/>
      <c r="B1371" s="1455">
        <v>1121</v>
      </c>
      <c r="C1371" s="1087">
        <v>0.97798228058744729</v>
      </c>
      <c r="D1371" s="1087">
        <v>1.0014289954735915</v>
      </c>
      <c r="E1371" s="1087">
        <v>0.97201649768760767</v>
      </c>
      <c r="F1371" s="1087">
        <v>1.003423413487089</v>
      </c>
      <c r="G1371" s="1087">
        <v>0.99644723082945408</v>
      </c>
      <c r="H1371" s="1087">
        <v>0.98439659881092911</v>
      </c>
      <c r="I1371" s="1087">
        <v>0.99615556635294877</v>
      </c>
      <c r="K1371">
        <v>1.8483128569283396</v>
      </c>
      <c r="L1371">
        <v>0</v>
      </c>
      <c r="M1371">
        <v>3.8732332694890416E-3</v>
      </c>
      <c r="N1371">
        <v>0.33762853333376774</v>
      </c>
      <c r="O1371">
        <v>0.24130157839025296</v>
      </c>
      <c r="P1371">
        <v>1.3019788110849091E-2</v>
      </c>
      <c r="Q1371">
        <v>1.5705446923043507E-3</v>
      </c>
      <c r="R1371">
        <v>3.8664708611071434E-3</v>
      </c>
      <c r="S1371">
        <v>0.36846772996811838</v>
      </c>
      <c r="T1371">
        <v>0.40390388798403309</v>
      </c>
      <c r="U1371">
        <v>0</v>
      </c>
      <c r="V1371">
        <v>0.20221764846972276</v>
      </c>
      <c r="W1371">
        <v>0.21889571241436986</v>
      </c>
      <c r="X1371">
        <v>5.079093687114309E-2</v>
      </c>
      <c r="Y1371">
        <v>1.0523259102156832E-2</v>
      </c>
    </row>
    <row r="1372" spans="1:25" x14ac:dyDescent="0.25">
      <c r="A1372" s="1083"/>
      <c r="B1372" s="1455">
        <v>1122</v>
      </c>
      <c r="C1372" s="1087">
        <v>1.0114256459750128</v>
      </c>
      <c r="D1372" s="1087">
        <v>1.0279009744983432</v>
      </c>
      <c r="E1372" s="1087">
        <v>0.96312918641209078</v>
      </c>
      <c r="F1372" s="1087">
        <v>1.0048058524626793</v>
      </c>
      <c r="G1372" s="1087">
        <v>0.97049339344425989</v>
      </c>
      <c r="H1372" s="1087">
        <v>1.0062021420130618</v>
      </c>
      <c r="I1372" s="1087">
        <v>0.99605063332869281</v>
      </c>
      <c r="K1372">
        <v>1.8029913889244504</v>
      </c>
      <c r="L1372">
        <v>0</v>
      </c>
      <c r="M1372">
        <v>3.8425820665086876E-3</v>
      </c>
      <c r="N1372">
        <v>0.32598350632911799</v>
      </c>
      <c r="O1372">
        <v>0.2346565556317334</v>
      </c>
      <c r="P1372">
        <v>1.2691594455610505E-2</v>
      </c>
      <c r="Q1372">
        <v>1.4884430753027522E-3</v>
      </c>
      <c r="R1372">
        <v>3.8359930556173447E-3</v>
      </c>
      <c r="S1372">
        <v>0.35484327456172876</v>
      </c>
      <c r="T1372">
        <v>0.4044075189246662</v>
      </c>
      <c r="U1372">
        <v>0</v>
      </c>
      <c r="V1372">
        <v>0.19727794791799347</v>
      </c>
      <c r="W1372">
        <v>0.21255198085577329</v>
      </c>
      <c r="X1372">
        <v>4.8656847620794141E-2</v>
      </c>
      <c r="Y1372">
        <v>1.0440308562619478E-2</v>
      </c>
    </row>
    <row r="1373" spans="1:25" x14ac:dyDescent="0.25">
      <c r="A1373" s="1083"/>
      <c r="B1373" s="1455">
        <v>1123</v>
      </c>
      <c r="C1373" s="1087">
        <v>0.98652561054076515</v>
      </c>
      <c r="D1373" s="1087">
        <v>0.96565032415675855</v>
      </c>
      <c r="E1373" s="1087">
        <v>1.006084174608868</v>
      </c>
      <c r="F1373" s="1087">
        <v>0.9942171175707315</v>
      </c>
      <c r="G1373" s="1087">
        <v>1.0414817352053092</v>
      </c>
      <c r="H1373" s="1087">
        <v>0.98688303225440654</v>
      </c>
      <c r="I1373" s="1087">
        <v>0.99522824647338304</v>
      </c>
      <c r="K1373">
        <v>1.8776226965723439</v>
      </c>
      <c r="L1373">
        <v>0</v>
      </c>
      <c r="M1373">
        <v>3.6612719625818192E-3</v>
      </c>
      <c r="N1373">
        <v>0.35415245404826257</v>
      </c>
      <c r="O1373">
        <v>0.24322706144693682</v>
      </c>
      <c r="P1373">
        <v>1.3380343282050835E-2</v>
      </c>
      <c r="Q1373">
        <v>1.6385081051360491E-3</v>
      </c>
      <c r="R1373">
        <v>3.6549269548804128E-3</v>
      </c>
      <c r="S1373">
        <v>0.37320551549331055</v>
      </c>
      <c r="T1373">
        <v>0.40040172703881</v>
      </c>
      <c r="U1373">
        <v>0</v>
      </c>
      <c r="V1373">
        <v>0.20260711348486382</v>
      </c>
      <c r="W1373">
        <v>0.22473306532580875</v>
      </c>
      <c r="X1373">
        <v>5.4335747030026367E-2</v>
      </c>
      <c r="Y1373">
        <v>9.9475063248376152E-3</v>
      </c>
    </row>
    <row r="1374" spans="1:25" x14ac:dyDescent="0.25">
      <c r="A1374" s="1083"/>
      <c r="B1374" s="1455">
        <v>1124</v>
      </c>
      <c r="C1374" s="1087">
        <v>1.0079744161490556</v>
      </c>
      <c r="D1374" s="1087">
        <v>1.0264468130474182</v>
      </c>
      <c r="E1374" s="1087">
        <v>1.0177251769524902</v>
      </c>
      <c r="F1374" s="1087">
        <v>0.99325740529375284</v>
      </c>
      <c r="G1374" s="1087">
        <v>0.99376473648856756</v>
      </c>
      <c r="H1374" s="1087">
        <v>0.99754095427849077</v>
      </c>
      <c r="I1374" s="1087">
        <v>1.0125160214097717</v>
      </c>
      <c r="K1374">
        <v>1.8298275773791024</v>
      </c>
      <c r="L1374">
        <v>0</v>
      </c>
      <c r="M1374">
        <v>3.4222098916716023E-3</v>
      </c>
      <c r="N1374">
        <v>0.34298997876025611</v>
      </c>
      <c r="O1374">
        <v>0.23466447171029045</v>
      </c>
      <c r="P1374">
        <v>1.3250308506884403E-2</v>
      </c>
      <c r="Q1374">
        <v>1.5843640853485752E-3</v>
      </c>
      <c r="R1374">
        <v>3.4162925887795599E-3</v>
      </c>
      <c r="S1374">
        <v>0.36131033272006019</v>
      </c>
      <c r="T1374">
        <v>0.40008586923777539</v>
      </c>
      <c r="U1374">
        <v>0</v>
      </c>
      <c r="V1374">
        <v>0.19706774482113212</v>
      </c>
      <c r="W1374">
        <v>0.21608637904322239</v>
      </c>
      <c r="X1374">
        <v>5.3496023550915768E-2</v>
      </c>
      <c r="Y1374">
        <v>9.2980222461087388E-3</v>
      </c>
    </row>
    <row r="1375" spans="1:25" x14ac:dyDescent="0.25">
      <c r="A1375" s="1083"/>
      <c r="B1375" s="1455">
        <v>1125</v>
      </c>
      <c r="C1375" s="1087">
        <v>0.97057734031234588</v>
      </c>
      <c r="D1375" s="1087">
        <v>0.99487489137061114</v>
      </c>
      <c r="E1375" s="1087">
        <v>1.0102385395954048</v>
      </c>
      <c r="F1375" s="1087">
        <v>0.99313117111497062</v>
      </c>
      <c r="G1375" s="1087">
        <v>1.0053013703108946</v>
      </c>
      <c r="H1375" s="1087">
        <v>1.0409231706532678</v>
      </c>
      <c r="I1375" s="1087">
        <v>1.0157700668755676</v>
      </c>
      <c r="K1375">
        <v>1.9295553186714527</v>
      </c>
      <c r="L1375">
        <v>0</v>
      </c>
      <c r="M1375">
        <v>3.8301034132851384E-3</v>
      </c>
      <c r="N1375">
        <v>0.37523869303133045</v>
      </c>
      <c r="O1375">
        <v>0.24219112318866645</v>
      </c>
      <c r="P1375">
        <v>1.3664500744897824E-2</v>
      </c>
      <c r="Q1375">
        <v>1.6529580237986258E-3</v>
      </c>
      <c r="R1375">
        <v>3.8237845980907204E-3</v>
      </c>
      <c r="S1375">
        <v>0.39116810536341468</v>
      </c>
      <c r="T1375">
        <v>0.39998952656243525</v>
      </c>
      <c r="U1375">
        <v>0</v>
      </c>
      <c r="V1375">
        <v>0.20272645475072845</v>
      </c>
      <c r="W1375">
        <v>0.23750016239023505</v>
      </c>
      <c r="X1375">
        <v>5.5023032265389848E-2</v>
      </c>
      <c r="Y1375">
        <v>1.040708116574895E-2</v>
      </c>
    </row>
    <row r="1376" spans="1:25" x14ac:dyDescent="0.25">
      <c r="A1376" s="1083"/>
      <c r="B1376" s="1455">
        <v>1126</v>
      </c>
      <c r="C1376" s="1087">
        <v>1.0486918431893284</v>
      </c>
      <c r="D1376" s="1087">
        <v>0.98720293966057115</v>
      </c>
      <c r="E1376" s="1087">
        <v>0.98371666674261538</v>
      </c>
      <c r="F1376" s="1087">
        <v>0.99278634533917709</v>
      </c>
      <c r="G1376" s="1087">
        <v>0.99209500163594577</v>
      </c>
      <c r="H1376" s="1087">
        <v>1.0172440569571615</v>
      </c>
      <c r="I1376" s="1087">
        <v>0.97734427883538566</v>
      </c>
      <c r="K1376">
        <v>1.7926621729296845</v>
      </c>
      <c r="L1376">
        <v>0</v>
      </c>
      <c r="M1376">
        <v>3.6721649327393891E-3</v>
      </c>
      <c r="N1376">
        <v>0.33177619770769939</v>
      </c>
      <c r="O1376">
        <v>0.23323655076783442</v>
      </c>
      <c r="P1376">
        <v>1.266850746886908E-2</v>
      </c>
      <c r="Q1376">
        <v>1.491749571938176E-3</v>
      </c>
      <c r="R1376">
        <v>3.6659717697851363E-3</v>
      </c>
      <c r="S1376">
        <v>0.34549604102945236</v>
      </c>
      <c r="T1376">
        <v>0.39969145203006323</v>
      </c>
      <c r="U1376">
        <v>0</v>
      </c>
      <c r="V1376">
        <v>0.19470860195866593</v>
      </c>
      <c r="W1376">
        <v>0.21350839741296432</v>
      </c>
      <c r="X1376">
        <v>5.0113301475065423E-2</v>
      </c>
      <c r="Y1376">
        <v>9.9775666700860216E-3</v>
      </c>
    </row>
    <row r="1377" spans="1:25" x14ac:dyDescent="0.25">
      <c r="A1377" s="1083"/>
      <c r="B1377" s="1455">
        <v>1127</v>
      </c>
      <c r="C1377" s="1087">
        <v>1.0137188673109052</v>
      </c>
      <c r="D1377" s="1087">
        <v>1.0365768492536329</v>
      </c>
      <c r="E1377" s="1087">
        <v>1.0072032689987818</v>
      </c>
      <c r="F1377" s="1087">
        <v>0.98714069419086403</v>
      </c>
      <c r="G1377" s="1087">
        <v>1.0307751756448214</v>
      </c>
      <c r="H1377" s="1087">
        <v>0.96352998321018335</v>
      </c>
      <c r="I1377" s="1087">
        <v>0.96435419516176546</v>
      </c>
      <c r="K1377">
        <v>1.7643355233141633</v>
      </c>
      <c r="L1377">
        <v>0</v>
      </c>
      <c r="M1377">
        <v>3.3404890218306049E-3</v>
      </c>
      <c r="N1377">
        <v>0.32420880320563122</v>
      </c>
      <c r="O1377">
        <v>0.23215965276094419</v>
      </c>
      <c r="P1377">
        <v>1.2721412667780117E-2</v>
      </c>
      <c r="Q1377">
        <v>1.551825543604287E-3</v>
      </c>
      <c r="R1377">
        <v>3.334500561898021E-3</v>
      </c>
      <c r="S1377">
        <v>0.33444726310645706</v>
      </c>
      <c r="T1377">
        <v>0.39755855938748508</v>
      </c>
      <c r="U1377">
        <v>0</v>
      </c>
      <c r="V1377">
        <v>0.19536844758627342</v>
      </c>
      <c r="W1377">
        <v>0.20558875738147186</v>
      </c>
      <c r="X1377">
        <v>5.1661378822776403E-2</v>
      </c>
      <c r="Y1377">
        <v>9.0754113116716037E-3</v>
      </c>
    </row>
    <row r="1378" spans="1:25" x14ac:dyDescent="0.25">
      <c r="A1378" s="1083"/>
      <c r="B1378" s="1455">
        <v>1128</v>
      </c>
      <c r="C1378" s="1087">
        <v>0.99266670461741913</v>
      </c>
      <c r="D1378" s="1087">
        <v>1.0011611497190858</v>
      </c>
      <c r="E1378" s="1087">
        <v>1.0124653806877892</v>
      </c>
      <c r="F1378" s="1087">
        <v>1.0256717552144989</v>
      </c>
      <c r="G1378" s="1087">
        <v>0.99343899681388315</v>
      </c>
      <c r="H1378" s="1087">
        <v>0.98345509825989075</v>
      </c>
      <c r="I1378" s="1087">
        <v>0.99176421686100824</v>
      </c>
      <c r="K1378">
        <v>1.8646357291235676</v>
      </c>
      <c r="L1378">
        <v>0</v>
      </c>
      <c r="M1378">
        <v>3.5103012276786094E-3</v>
      </c>
      <c r="N1378">
        <v>0.34621653702660016</v>
      </c>
      <c r="O1378">
        <v>0.24271336182609532</v>
      </c>
      <c r="P1378">
        <v>1.3463130980553489E-2</v>
      </c>
      <c r="Q1378">
        <v>1.6159161198231145E-3</v>
      </c>
      <c r="R1378">
        <v>3.50416662556978E-3</v>
      </c>
      <c r="S1378">
        <v>0.3617520453072019</v>
      </c>
      <c r="T1378">
        <v>0.41310939183001316</v>
      </c>
      <c r="U1378">
        <v>0</v>
      </c>
      <c r="V1378">
        <v>0.20277291245793783</v>
      </c>
      <c r="W1378">
        <v>0.2188290457014693</v>
      </c>
      <c r="X1378">
        <v>5.4632336069395999E-2</v>
      </c>
      <c r="Y1378">
        <v>9.5371864065832718E-3</v>
      </c>
    </row>
    <row r="1379" spans="1:25" x14ac:dyDescent="0.25">
      <c r="A1379" s="1083"/>
      <c r="B1379" s="1455">
        <v>1129</v>
      </c>
      <c r="C1379" s="1087">
        <v>1.034025019778555</v>
      </c>
      <c r="D1379" s="1087">
        <v>1.0353864112998035</v>
      </c>
      <c r="E1379" s="1087">
        <v>0.98405550068278647</v>
      </c>
      <c r="F1379" s="1087">
        <v>1.0114022910748295</v>
      </c>
      <c r="G1379" s="1087">
        <v>1.002829154307401</v>
      </c>
      <c r="H1379" s="1087">
        <v>0.9834488524313284</v>
      </c>
      <c r="I1379" s="1087">
        <v>1.0091242932413538</v>
      </c>
      <c r="K1379">
        <v>1.7755847847996411</v>
      </c>
      <c r="L1379">
        <v>0</v>
      </c>
      <c r="M1379">
        <v>3.5048905157709347E-3</v>
      </c>
      <c r="N1379">
        <v>0.31696873576585927</v>
      </c>
      <c r="O1379">
        <v>0.23226609708712234</v>
      </c>
      <c r="P1379">
        <v>1.2792248341060948E-2</v>
      </c>
      <c r="Q1379">
        <v>1.4848838173075914E-3</v>
      </c>
      <c r="R1379">
        <v>3.4987323595639902E-3</v>
      </c>
      <c r="S1379">
        <v>0.34643841743442005</v>
      </c>
      <c r="T1379">
        <v>0.40718820301996439</v>
      </c>
      <c r="U1379">
        <v>0</v>
      </c>
      <c r="V1379">
        <v>0.19520771660519018</v>
      </c>
      <c r="W1379">
        <v>0.20393562322566303</v>
      </c>
      <c r="X1379">
        <v>4.9786621533337946E-2</v>
      </c>
      <c r="Y1379">
        <v>9.5223961259208231E-3</v>
      </c>
    </row>
    <row r="1380" spans="1:25" x14ac:dyDescent="0.25">
      <c r="A1380" s="1083"/>
      <c r="B1380" s="1455">
        <v>1130</v>
      </c>
      <c r="C1380" s="1087">
        <v>1.0099647698081151</v>
      </c>
      <c r="D1380" s="1087">
        <v>0.97697973852695341</v>
      </c>
      <c r="E1380" s="1087">
        <v>1.0043964851324101</v>
      </c>
      <c r="F1380" s="1087">
        <v>0.96938779446370493</v>
      </c>
      <c r="G1380" s="1087">
        <v>1.0052664843947809</v>
      </c>
      <c r="H1380" s="1087">
        <v>0.959739954514509</v>
      </c>
      <c r="I1380" s="1087">
        <v>0.99144421792674164</v>
      </c>
      <c r="K1380">
        <v>1.8018412600783646</v>
      </c>
      <c r="L1380">
        <v>0</v>
      </c>
      <c r="M1380">
        <v>3.4680216328987061E-3</v>
      </c>
      <c r="N1380">
        <v>0.33371948724124179</v>
      </c>
      <c r="O1380">
        <v>0.23621939558253618</v>
      </c>
      <c r="P1380">
        <v>1.2916803887931372E-2</v>
      </c>
      <c r="Q1380">
        <v>1.5901773377984851E-3</v>
      </c>
      <c r="R1380">
        <v>3.4618313779410724E-3</v>
      </c>
      <c r="S1380">
        <v>0.35589625303651878</v>
      </c>
      <c r="T1380">
        <v>0.3903922472964344</v>
      </c>
      <c r="U1380">
        <v>0</v>
      </c>
      <c r="V1380">
        <v>0.19728817100772425</v>
      </c>
      <c r="W1380">
        <v>0.21198955023294977</v>
      </c>
      <c r="X1380">
        <v>5.2413400891836368E-2</v>
      </c>
      <c r="Y1380">
        <v>9.4219638183485627E-3</v>
      </c>
    </row>
    <row r="1381" spans="1:25" x14ac:dyDescent="0.25">
      <c r="A1381" s="1083"/>
      <c r="B1381" s="1455">
        <v>1131</v>
      </c>
      <c r="C1381" s="1087">
        <v>1.0066759802244776</v>
      </c>
      <c r="D1381" s="1087">
        <v>0.99189449091868231</v>
      </c>
      <c r="E1381" s="1087">
        <v>0.9628080925280601</v>
      </c>
      <c r="F1381" s="1087">
        <v>1.0085307798560714</v>
      </c>
      <c r="G1381" s="1087">
        <v>0.97831818267185344</v>
      </c>
      <c r="H1381" s="1087">
        <v>0.98953578687994403</v>
      </c>
      <c r="I1381" s="1087">
        <v>0.98902922185167996</v>
      </c>
      <c r="K1381">
        <v>1.8199329457136779</v>
      </c>
      <c r="L1381">
        <v>0</v>
      </c>
      <c r="M1381">
        <v>3.8738384231075227E-3</v>
      </c>
      <c r="N1381">
        <v>0.32830585163654075</v>
      </c>
      <c r="O1381">
        <v>0.23921490325411598</v>
      </c>
      <c r="P1381">
        <v>1.2787592354136445E-2</v>
      </c>
      <c r="Q1381">
        <v>1.5164193760427711E-3</v>
      </c>
      <c r="R1381">
        <v>3.86711883959122E-3</v>
      </c>
      <c r="S1381">
        <v>0.35810200151658483</v>
      </c>
      <c r="T1381">
        <v>0.40590479336758623</v>
      </c>
      <c r="U1381">
        <v>0</v>
      </c>
      <c r="V1381">
        <v>0.19999521883153826</v>
      </c>
      <c r="W1381">
        <v>0.21411039689504918</v>
      </c>
      <c r="X1381">
        <v>4.9477465379615101E-2</v>
      </c>
      <c r="Y1381">
        <v>1.0525022685984438E-2</v>
      </c>
    </row>
    <row r="1382" spans="1:25" x14ac:dyDescent="0.25">
      <c r="A1382" s="1083"/>
      <c r="B1382" s="1455">
        <v>1132</v>
      </c>
      <c r="C1382" s="1087">
        <v>1.0215792446135357</v>
      </c>
      <c r="D1382" s="1087">
        <v>1.0135380787711952</v>
      </c>
      <c r="E1382" s="1087">
        <v>0.99374440509456208</v>
      </c>
      <c r="F1382" s="1087">
        <v>0.97732463374412937</v>
      </c>
      <c r="G1382" s="1087">
        <v>1.008159468864722</v>
      </c>
      <c r="H1382" s="1087">
        <v>0.99634182880353006</v>
      </c>
      <c r="I1382" s="1087">
        <v>0.96338860266016346</v>
      </c>
      <c r="K1382">
        <v>1.780846913308771</v>
      </c>
      <c r="L1382">
        <v>0</v>
      </c>
      <c r="M1382">
        <v>3.5666201513414471E-3</v>
      </c>
      <c r="N1382">
        <v>0.33224836628133997</v>
      </c>
      <c r="O1382">
        <v>0.23211828177442373</v>
      </c>
      <c r="P1382">
        <v>1.2622808517426134E-2</v>
      </c>
      <c r="Q1382">
        <v>1.5316729278167381E-3</v>
      </c>
      <c r="R1382">
        <v>3.560456721749814E-3</v>
      </c>
      <c r="S1382">
        <v>0.34112091242586706</v>
      </c>
      <c r="T1382">
        <v>0.39352553715660776</v>
      </c>
      <c r="U1382">
        <v>0</v>
      </c>
      <c r="V1382">
        <v>0.19481333257413624</v>
      </c>
      <c r="W1382">
        <v>0.21246543573922172</v>
      </c>
      <c r="X1382">
        <v>5.0716339849163156E-2</v>
      </c>
      <c r="Y1382">
        <v>9.6903894923601047E-3</v>
      </c>
    </row>
    <row r="1383" spans="1:25" x14ac:dyDescent="0.25">
      <c r="A1383" s="1083"/>
      <c r="B1383" s="1455">
        <v>1133</v>
      </c>
      <c r="C1383" s="1087">
        <v>0.98133024761296261</v>
      </c>
      <c r="D1383" s="1087">
        <v>0.98141888285081125</v>
      </c>
      <c r="E1383" s="1087">
        <v>1.0193180236194181</v>
      </c>
      <c r="F1383" s="1087">
        <v>1.0002724993070966</v>
      </c>
      <c r="G1383" s="1087">
        <v>0.99537908838374378</v>
      </c>
      <c r="H1383" s="1087">
        <v>1.0286911149380498</v>
      </c>
      <c r="I1383" s="1087">
        <v>0.99095129735046217</v>
      </c>
      <c r="K1383">
        <v>1.9159453228423784</v>
      </c>
      <c r="L1383">
        <v>0</v>
      </c>
      <c r="M1383">
        <v>3.7017971235869212E-3</v>
      </c>
      <c r="N1383">
        <v>0.37284041085338632</v>
      </c>
      <c r="O1383">
        <v>0.24320375381054637</v>
      </c>
      <c r="P1383">
        <v>1.361915936237015E-2</v>
      </c>
      <c r="Q1383">
        <v>1.6596337213600448E-3</v>
      </c>
      <c r="R1383">
        <v>3.69562930127085E-3</v>
      </c>
      <c r="S1383">
        <v>0.37813665071404046</v>
      </c>
      <c r="T1383">
        <v>0.40292134142646513</v>
      </c>
      <c r="U1383">
        <v>0</v>
      </c>
      <c r="V1383">
        <v>0.20293509964760684</v>
      </c>
      <c r="W1383">
        <v>0.23466195017288646</v>
      </c>
      <c r="X1383">
        <v>5.5915206261845332E-2</v>
      </c>
      <c r="Y1383">
        <v>1.0058284694187505E-2</v>
      </c>
    </row>
    <row r="1384" spans="1:25" x14ac:dyDescent="0.25">
      <c r="A1384" s="1083"/>
      <c r="B1384" s="1455">
        <v>1134</v>
      </c>
      <c r="C1384" s="1087">
        <v>1.0151090568206227</v>
      </c>
      <c r="D1384" s="1087">
        <v>1.0159273308245402</v>
      </c>
      <c r="E1384" s="1087">
        <v>0.96975529766772417</v>
      </c>
      <c r="F1384" s="1087">
        <v>0.98754303312537117</v>
      </c>
      <c r="G1384" s="1087">
        <v>0.99431710330656509</v>
      </c>
      <c r="H1384" s="1087">
        <v>1.0001390346865382</v>
      </c>
      <c r="I1384" s="1087">
        <v>1.0071896435680174</v>
      </c>
      <c r="K1384">
        <v>1.7989484553268968</v>
      </c>
      <c r="L1384">
        <v>0</v>
      </c>
      <c r="M1384">
        <v>3.7789063805413908E-3</v>
      </c>
      <c r="N1384">
        <v>0.32714385761040948</v>
      </c>
      <c r="O1384">
        <v>0.23349697717099263</v>
      </c>
      <c r="P1384">
        <v>1.2701811462566041E-2</v>
      </c>
      <c r="Q1384">
        <v>1.500753053379836E-3</v>
      </c>
      <c r="R1384">
        <v>3.7723987614033186E-3</v>
      </c>
      <c r="S1384">
        <v>0.35884488525681874</v>
      </c>
      <c r="T1384">
        <v>0.39749837864334575</v>
      </c>
      <c r="U1384">
        <v>0</v>
      </c>
      <c r="V1384">
        <v>0.19609169119659589</v>
      </c>
      <c r="W1384">
        <v>0.21240469322370842</v>
      </c>
      <c r="X1384">
        <v>4.9004689470595275E-2</v>
      </c>
      <c r="Y1384">
        <v>1.0267225857622353E-2</v>
      </c>
    </row>
    <row r="1385" spans="1:25" x14ac:dyDescent="0.25">
      <c r="A1385" s="1083"/>
      <c r="B1385" s="1455">
        <v>1135</v>
      </c>
      <c r="C1385" s="1087">
        <v>1.0059937475548346</v>
      </c>
      <c r="D1385" s="1087">
        <v>0.99558328264833584</v>
      </c>
      <c r="E1385" s="1087">
        <v>1.0268774934462059</v>
      </c>
      <c r="F1385" s="1087">
        <v>1.0013122377019652</v>
      </c>
      <c r="G1385" s="1087">
        <v>0.99271910285657494</v>
      </c>
      <c r="H1385" s="1087">
        <v>1.0193844260575124</v>
      </c>
      <c r="I1385" s="1087">
        <v>1.0172380156530134</v>
      </c>
      <c r="K1385">
        <v>1.8823641479025943</v>
      </c>
      <c r="L1385">
        <v>0</v>
      </c>
      <c r="M1385">
        <v>3.4962487579310335E-3</v>
      </c>
      <c r="N1385">
        <v>0.36033511931483181</v>
      </c>
      <c r="O1385">
        <v>0.23900025929298838</v>
      </c>
      <c r="P1385">
        <v>1.3598050143250389E-2</v>
      </c>
      <c r="Q1385">
        <v>1.6225564446470291E-3</v>
      </c>
      <c r="R1385">
        <v>3.4903586538011793E-3</v>
      </c>
      <c r="S1385">
        <v>0.37404012554736815</v>
      </c>
      <c r="T1385">
        <v>0.40338676715207905</v>
      </c>
      <c r="U1385">
        <v>0</v>
      </c>
      <c r="V1385">
        <v>0.19963290824244523</v>
      </c>
      <c r="W1385">
        <v>0.2257408765243209</v>
      </c>
      <c r="X1385">
        <v>5.5513769685566428E-2</v>
      </c>
      <c r="Y1385">
        <v>9.4996056592258141E-3</v>
      </c>
    </row>
    <row r="1386" spans="1:25" x14ac:dyDescent="0.25">
      <c r="A1386" s="1083"/>
      <c r="B1386" s="1455">
        <v>1136</v>
      </c>
      <c r="C1386" s="1087">
        <v>0.98023558621092077</v>
      </c>
      <c r="D1386" s="1087">
        <v>1.0066471526604599</v>
      </c>
      <c r="E1386" s="1087">
        <v>0.99231791962616966</v>
      </c>
      <c r="F1386" s="1087">
        <v>1.0141372275499494</v>
      </c>
      <c r="G1386" s="1087">
        <v>0.99945142584254287</v>
      </c>
      <c r="H1386" s="1087">
        <v>1.0296233398016152</v>
      </c>
      <c r="I1386" s="1087">
        <v>1.0019394936219879</v>
      </c>
      <c r="K1386">
        <v>1.8972843312435781</v>
      </c>
      <c r="L1386">
        <v>0</v>
      </c>
      <c r="M1386">
        <v>3.8671359927828354E-3</v>
      </c>
      <c r="N1386">
        <v>0.35869803430664243</v>
      </c>
      <c r="O1386">
        <v>0.24206636548059554</v>
      </c>
      <c r="P1386">
        <v>1.3408453184411695E-2</v>
      </c>
      <c r="Q1386">
        <v>1.5981966922970932E-3</v>
      </c>
      <c r="R1386">
        <v>3.8606762532771718E-3</v>
      </c>
      <c r="S1386">
        <v>0.37728599099627008</v>
      </c>
      <c r="T1386">
        <v>0.40833962362088377</v>
      </c>
      <c r="U1386">
        <v>0</v>
      </c>
      <c r="V1386">
        <v>0.20273839214684736</v>
      </c>
      <c r="W1386">
        <v>0.22958502322314284</v>
      </c>
      <c r="X1386">
        <v>5.3063223242155087E-2</v>
      </c>
      <c r="Y1386">
        <v>1.0507488089835607E-2</v>
      </c>
    </row>
    <row r="1387" spans="1:25" x14ac:dyDescent="0.25">
      <c r="A1387" s="1083"/>
      <c r="B1387" s="1455">
        <v>1137</v>
      </c>
      <c r="C1387" s="1087">
        <v>1.0119998217516668</v>
      </c>
      <c r="D1387" s="1087">
        <v>0.97748257650955983</v>
      </c>
      <c r="E1387" s="1087">
        <v>0.99587607975306236</v>
      </c>
      <c r="F1387" s="1087">
        <v>1.0041142140107842</v>
      </c>
      <c r="G1387" s="1087">
        <v>0.98692296300317306</v>
      </c>
      <c r="H1387" s="1087">
        <v>0.98218125746897955</v>
      </c>
      <c r="I1387" s="1087">
        <v>0.98455258383758126</v>
      </c>
      <c r="K1387">
        <v>1.8315427140418332</v>
      </c>
      <c r="L1387">
        <v>0</v>
      </c>
      <c r="M1387">
        <v>3.6038663253280361E-3</v>
      </c>
      <c r="N1387">
        <v>0.33790451674246785</v>
      </c>
      <c r="O1387">
        <v>0.23999115790499873</v>
      </c>
      <c r="P1387">
        <v>1.3070792637871895E-2</v>
      </c>
      <c r="Q1387">
        <v>1.5723137568495688E-3</v>
      </c>
      <c r="R1387">
        <v>3.5975811945024271E-3</v>
      </c>
      <c r="S1387">
        <v>0.35655484259997411</v>
      </c>
      <c r="T1387">
        <v>0.40432544121841224</v>
      </c>
      <c r="U1387">
        <v>0</v>
      </c>
      <c r="V1387">
        <v>0.200030147916375</v>
      </c>
      <c r="W1387">
        <v>0.2157936805771225</v>
      </c>
      <c r="X1387">
        <v>5.2514675749470961E-2</v>
      </c>
      <c r="Y1387">
        <v>9.7914300691135693E-3</v>
      </c>
    </row>
    <row r="1388" spans="1:25" x14ac:dyDescent="0.25">
      <c r="A1388" s="1083"/>
      <c r="B1388" s="1455">
        <v>1138</v>
      </c>
      <c r="C1388" s="1087">
        <v>1.0091750325161488</v>
      </c>
      <c r="D1388" s="1087">
        <v>1.0081450799184244</v>
      </c>
      <c r="E1388" s="1087">
        <v>0.99738762326871766</v>
      </c>
      <c r="F1388" s="1087">
        <v>0.99862775322207453</v>
      </c>
      <c r="G1388" s="1087">
        <v>1.0452062118535592</v>
      </c>
      <c r="H1388" s="1087">
        <v>1.002489255378868</v>
      </c>
      <c r="I1388" s="1087">
        <v>1.0044418684065646</v>
      </c>
      <c r="K1388">
        <v>1.8338165661318204</v>
      </c>
      <c r="L1388">
        <v>0</v>
      </c>
      <c r="M1388">
        <v>3.6162834655708749E-3</v>
      </c>
      <c r="N1388">
        <v>0.34064631092386555</v>
      </c>
      <c r="O1388">
        <v>0.23663725536181066</v>
      </c>
      <c r="P1388">
        <v>1.3108518972954526E-2</v>
      </c>
      <c r="Q1388">
        <v>1.559869517193626E-3</v>
      </c>
      <c r="R1388">
        <v>3.6100773399109923E-3</v>
      </c>
      <c r="S1388">
        <v>0.36224313234672578</v>
      </c>
      <c r="T1388">
        <v>0.4021253389543894</v>
      </c>
      <c r="U1388">
        <v>0</v>
      </c>
      <c r="V1388">
        <v>0.19822620010282624</v>
      </c>
      <c r="W1388">
        <v>0.21733877087928744</v>
      </c>
      <c r="X1388">
        <v>5.2111934740862183E-2</v>
      </c>
      <c r="Y1388">
        <v>9.8254404575624545E-3</v>
      </c>
    </row>
    <row r="1389" spans="1:25" x14ac:dyDescent="0.25">
      <c r="A1389" s="1083"/>
      <c r="B1389" s="1455">
        <v>1139</v>
      </c>
      <c r="C1389" s="1087">
        <v>1.0016740714323897</v>
      </c>
      <c r="D1389" s="1087">
        <v>0.96708420841175968</v>
      </c>
      <c r="E1389" s="1087">
        <v>1.0024356675972015</v>
      </c>
      <c r="F1389" s="1087">
        <v>1.0306308947565002</v>
      </c>
      <c r="G1389" s="1087">
        <v>1.0228552219247571</v>
      </c>
      <c r="H1389" s="1087">
        <v>0.99082833907722467</v>
      </c>
      <c r="I1389" s="1087">
        <v>1.0378452055704042</v>
      </c>
      <c r="K1389">
        <v>1.8985238768311075</v>
      </c>
      <c r="L1389">
        <v>0</v>
      </c>
      <c r="M1389">
        <v>3.64535211173751E-3</v>
      </c>
      <c r="N1389">
        <v>0.34871190866720303</v>
      </c>
      <c r="O1389">
        <v>0.24555585559358434</v>
      </c>
      <c r="P1389">
        <v>1.370781272122764E-2</v>
      </c>
      <c r="Q1389">
        <v>1.6065270556679032E-3</v>
      </c>
      <c r="R1389">
        <v>3.6390599527690555E-3</v>
      </c>
      <c r="S1389">
        <v>0.3837384840810627</v>
      </c>
      <c r="T1389">
        <v>0.41504381904631693</v>
      </c>
      <c r="U1389">
        <v>0</v>
      </c>
      <c r="V1389">
        <v>0.20403812167984134</v>
      </c>
      <c r="W1389">
        <v>0.2217840865523811</v>
      </c>
      <c r="X1389">
        <v>5.4439232017146115E-2</v>
      </c>
      <c r="Y1389">
        <v>9.9043215756463385E-3</v>
      </c>
    </row>
    <row r="1390" spans="1:25" x14ac:dyDescent="0.25">
      <c r="A1390" s="1083"/>
      <c r="B1390" s="1455">
        <v>1140</v>
      </c>
      <c r="C1390" s="1087">
        <v>0.99181658358070235</v>
      </c>
      <c r="D1390" s="1087">
        <v>1.0191794549911775</v>
      </c>
      <c r="E1390" s="1087">
        <v>1.0115228243457821</v>
      </c>
      <c r="F1390" s="1087">
        <v>1.0279398663198438</v>
      </c>
      <c r="G1390" s="1087">
        <v>0.99583907372773217</v>
      </c>
      <c r="H1390" s="1087">
        <v>0.98534509639310153</v>
      </c>
      <c r="I1390" s="1087">
        <v>1.0210078228644066</v>
      </c>
      <c r="K1390">
        <v>1.866391665091603</v>
      </c>
      <c r="L1390">
        <v>0</v>
      </c>
      <c r="M1390">
        <v>3.4927099735579774E-3</v>
      </c>
      <c r="N1390">
        <v>0.34349255017750974</v>
      </c>
      <c r="O1390">
        <v>0.24124241745326383</v>
      </c>
      <c r="P1390">
        <v>1.3562006647986661E-2</v>
      </c>
      <c r="Q1390">
        <v>1.6042008262925013E-3</v>
      </c>
      <c r="R1390">
        <v>3.4866019779580299E-3</v>
      </c>
      <c r="S1390">
        <v>0.36940020943172164</v>
      </c>
      <c r="T1390">
        <v>0.41401699761871669</v>
      </c>
      <c r="U1390">
        <v>0</v>
      </c>
      <c r="V1390">
        <v>0.20208132238805929</v>
      </c>
      <c r="W1390">
        <v>0.21723407847532172</v>
      </c>
      <c r="X1390">
        <v>5.4274608842363091E-2</v>
      </c>
      <c r="Y1390">
        <v>9.4893812259686221E-3</v>
      </c>
    </row>
    <row r="1391" spans="1:25" x14ac:dyDescent="0.25">
      <c r="A1391" s="1083"/>
      <c r="B1391" s="1455">
        <v>1141</v>
      </c>
      <c r="C1391" s="1087">
        <v>1.0011473260586836</v>
      </c>
      <c r="D1391" s="1087">
        <v>0.99201206698539912</v>
      </c>
      <c r="E1391" s="1087">
        <v>1.0133842517126441</v>
      </c>
      <c r="F1391" s="1087">
        <v>0.98940926329801426</v>
      </c>
      <c r="G1391" s="1087">
        <v>0.99255091217499791</v>
      </c>
      <c r="H1391" s="1087">
        <v>1.0303773746807507</v>
      </c>
      <c r="I1391" s="1087">
        <v>1.0004016997628693</v>
      </c>
      <c r="K1391">
        <v>1.8777673644115809</v>
      </c>
      <c r="L1391">
        <v>0</v>
      </c>
      <c r="M1391">
        <v>3.6577891685678739E-3</v>
      </c>
      <c r="N1391">
        <v>0.36180477578890197</v>
      </c>
      <c r="O1391">
        <v>0.23832963716882707</v>
      </c>
      <c r="P1391">
        <v>1.3366351690038275E-2</v>
      </c>
      <c r="Q1391">
        <v>1.6096872083251916E-3</v>
      </c>
      <c r="R1391">
        <v>3.6516956414995401E-3</v>
      </c>
      <c r="S1391">
        <v>0.37220873956220279</v>
      </c>
      <c r="T1391">
        <v>0.39850952171576981</v>
      </c>
      <c r="U1391">
        <v>0</v>
      </c>
      <c r="V1391">
        <v>0.19922872437703226</v>
      </c>
      <c r="W1391">
        <v>0.22855173378177007</v>
      </c>
      <c r="X1391">
        <v>5.4225574890762546E-2</v>
      </c>
      <c r="Y1391">
        <v>9.93871175501705E-3</v>
      </c>
    </row>
    <row r="1392" spans="1:25" x14ac:dyDescent="0.25">
      <c r="A1392" s="1083"/>
      <c r="B1392" s="1455">
        <v>1142</v>
      </c>
      <c r="C1392" s="1087">
        <v>0.99935624416719404</v>
      </c>
      <c r="D1392" s="1087">
        <v>0.99162086105320391</v>
      </c>
      <c r="E1392" s="1087">
        <v>0.99748116327770753</v>
      </c>
      <c r="F1392" s="1087">
        <v>0.97003016308658963</v>
      </c>
      <c r="G1392" s="1087">
        <v>0.98292544319737751</v>
      </c>
      <c r="H1392" s="1087">
        <v>0.98879047789172103</v>
      </c>
      <c r="I1392" s="1087">
        <v>1.027455552287436</v>
      </c>
      <c r="K1392">
        <v>1.8366776202245974</v>
      </c>
      <c r="L1392">
        <v>0</v>
      </c>
      <c r="M1392">
        <v>3.6331999750954919E-3</v>
      </c>
      <c r="N1392">
        <v>0.34233071244652147</v>
      </c>
      <c r="O1392">
        <v>0.23601731575359464</v>
      </c>
      <c r="P1392">
        <v>1.3119141953520571E-2</v>
      </c>
      <c r="Q1392">
        <v>1.5858011762777096E-3</v>
      </c>
      <c r="R1392">
        <v>3.6268925134297584E-3</v>
      </c>
      <c r="S1392">
        <v>0.37504153347250863</v>
      </c>
      <c r="T1392">
        <v>0.39061026984266162</v>
      </c>
      <c r="U1392">
        <v>0</v>
      </c>
      <c r="V1392">
        <v>0.1976527480835244</v>
      </c>
      <c r="W1392">
        <v>0.21840066115435505</v>
      </c>
      <c r="X1392">
        <v>5.2054537986539209E-2</v>
      </c>
      <c r="Y1392">
        <v>9.871205816760072E-3</v>
      </c>
    </row>
    <row r="1393" spans="1:25" x14ac:dyDescent="0.25">
      <c r="A1393" s="1083"/>
      <c r="B1393" s="1455">
        <v>1143</v>
      </c>
      <c r="C1393" s="1087">
        <v>1.0313095272823052</v>
      </c>
      <c r="D1393" s="1087">
        <v>0.99536520819876817</v>
      </c>
      <c r="E1393" s="1087">
        <v>0.9825574317872432</v>
      </c>
      <c r="F1393" s="1087">
        <v>1.0405648855323135</v>
      </c>
      <c r="G1393" s="1087">
        <v>0.96879555117394789</v>
      </c>
      <c r="H1393" s="1087">
        <v>0.99355557308275311</v>
      </c>
      <c r="I1393" s="1087">
        <v>1.0186499653221461</v>
      </c>
      <c r="K1393">
        <v>1.8332847443202314</v>
      </c>
      <c r="L1393">
        <v>0</v>
      </c>
      <c r="M1393">
        <v>3.6384219243653167E-3</v>
      </c>
      <c r="N1393">
        <v>0.32755124532334134</v>
      </c>
      <c r="O1393">
        <v>0.23981707189337351</v>
      </c>
      <c r="P1393">
        <v>1.3185635377084184E-2</v>
      </c>
      <c r="Q1393">
        <v>1.5100217554106254E-3</v>
      </c>
      <c r="R1393">
        <v>3.6321302239443322E-3</v>
      </c>
      <c r="S1393">
        <v>0.3601816029956364</v>
      </c>
      <c r="T1393">
        <v>0.41891966349103171</v>
      </c>
      <c r="U1393">
        <v>0</v>
      </c>
      <c r="V1393">
        <v>0.20002069370844278</v>
      </c>
      <c r="W1393">
        <v>0.21094419577722989</v>
      </c>
      <c r="X1393">
        <v>5.1275444560931027E-2</v>
      </c>
      <c r="Y1393">
        <v>9.8854611381699372E-3</v>
      </c>
    </row>
    <row r="1394" spans="1:25" x14ac:dyDescent="0.25">
      <c r="A1394" s="1083"/>
      <c r="B1394" s="1455">
        <v>1144</v>
      </c>
      <c r="C1394" s="1087">
        <v>1.0237832117821637</v>
      </c>
      <c r="D1394" s="1087">
        <v>0.99661844690467694</v>
      </c>
      <c r="E1394" s="1087">
        <v>0.97910950852025425</v>
      </c>
      <c r="F1394" s="1087">
        <v>1.021864508658926</v>
      </c>
      <c r="G1394" s="1087">
        <v>0.99469971782576194</v>
      </c>
      <c r="H1394" s="1087">
        <v>0.98677990159665008</v>
      </c>
      <c r="I1394" s="1087">
        <v>1.0046159140484767</v>
      </c>
      <c r="K1394">
        <v>1.8175920439008351</v>
      </c>
      <c r="L1394">
        <v>0</v>
      </c>
      <c r="M1394">
        <v>3.6643417171547551E-3</v>
      </c>
      <c r="N1394">
        <v>0.32642319870836167</v>
      </c>
      <c r="O1394">
        <v>0.23844449921060357</v>
      </c>
      <c r="P1394">
        <v>1.2987198570363546E-2</v>
      </c>
      <c r="Q1394">
        <v>1.5147260929249714E-3</v>
      </c>
      <c r="R1394">
        <v>3.657962253274851E-3</v>
      </c>
      <c r="S1394">
        <v>0.35638253818673693</v>
      </c>
      <c r="T1394">
        <v>0.41137004904948171</v>
      </c>
      <c r="U1394">
        <v>0</v>
      </c>
      <c r="V1394">
        <v>0.1991588543008021</v>
      </c>
      <c r="W1394">
        <v>0.21067770431504704</v>
      </c>
      <c r="X1394">
        <v>5.0683887523912619E-2</v>
      </c>
      <c r="Y1394">
        <v>9.9557674064814274E-3</v>
      </c>
    </row>
    <row r="1395" spans="1:25" x14ac:dyDescent="0.25">
      <c r="A1395" s="1083"/>
      <c r="B1395" s="1455">
        <v>1145</v>
      </c>
      <c r="C1395" s="1087">
        <v>1.0323896344544288</v>
      </c>
      <c r="D1395" s="1087">
        <v>0.98626073461952279</v>
      </c>
      <c r="E1395" s="1087">
        <v>1.0004429678285525</v>
      </c>
      <c r="F1395" s="1087">
        <v>0.98971079880359669</v>
      </c>
      <c r="G1395" s="1087">
        <v>0.96010980116927758</v>
      </c>
      <c r="H1395" s="1087">
        <v>0.99859516896001665</v>
      </c>
      <c r="I1395" s="1087">
        <v>1.0291559912142021</v>
      </c>
      <c r="K1395">
        <v>1.8237960181851296</v>
      </c>
      <c r="L1395">
        <v>0</v>
      </c>
      <c r="M1395">
        <v>3.5409461194077381E-3</v>
      </c>
      <c r="N1395">
        <v>0.33667400545776582</v>
      </c>
      <c r="O1395">
        <v>0.23507968178117142</v>
      </c>
      <c r="P1395">
        <v>1.3121536146597949E-2</v>
      </c>
      <c r="Q1395">
        <v>1.5432574300117332E-3</v>
      </c>
      <c r="R1395">
        <v>3.5348641792160422E-3</v>
      </c>
      <c r="S1395">
        <v>0.36656806577990042</v>
      </c>
      <c r="T1395">
        <v>0.39855298659331967</v>
      </c>
      <c r="U1395">
        <v>0</v>
      </c>
      <c r="V1395">
        <v>0.19623453975007871</v>
      </c>
      <c r="W1395">
        <v>0.21439435014355102</v>
      </c>
      <c r="X1395">
        <v>5.2012942014759131E-2</v>
      </c>
      <c r="Y1395">
        <v>9.6207350281625626E-3</v>
      </c>
    </row>
    <row r="1396" spans="1:25" x14ac:dyDescent="0.25">
      <c r="A1396" s="1083"/>
      <c r="B1396" s="1455">
        <v>1146</v>
      </c>
      <c r="C1396" s="1087">
        <v>1.0013375456401197</v>
      </c>
      <c r="D1396" s="1087">
        <v>1.0291927390535363</v>
      </c>
      <c r="E1396" s="1087">
        <v>0.96846963322356983</v>
      </c>
      <c r="F1396" s="1087">
        <v>1.0035152003448611</v>
      </c>
      <c r="G1396" s="1087">
        <v>0.97093203507947812</v>
      </c>
      <c r="H1396" s="1087">
        <v>0.99851525888285397</v>
      </c>
      <c r="I1396" s="1087">
        <v>0.95951801571000273</v>
      </c>
      <c r="K1396">
        <v>1.7970185824215681</v>
      </c>
      <c r="L1396">
        <v>0</v>
      </c>
      <c r="M1396">
        <v>3.8078168474774497E-3</v>
      </c>
      <c r="N1396">
        <v>0.32835097095845939</v>
      </c>
      <c r="O1396">
        <v>0.23567315702462346</v>
      </c>
      <c r="P1396">
        <v>1.2602447392891233E-2</v>
      </c>
      <c r="Q1396">
        <v>1.5114132387604093E-3</v>
      </c>
      <c r="R1396">
        <v>3.8012366760481579E-3</v>
      </c>
      <c r="S1396">
        <v>0.34379365791954469</v>
      </c>
      <c r="T1396">
        <v>0.40391973243909501</v>
      </c>
      <c r="U1396">
        <v>0</v>
      </c>
      <c r="V1396">
        <v>0.19820503886399859</v>
      </c>
      <c r="W1396">
        <v>0.21336380496374655</v>
      </c>
      <c r="X1396">
        <v>4.9259226637006999E-2</v>
      </c>
      <c r="Y1396">
        <v>1.0345713154869596E-2</v>
      </c>
    </row>
    <row r="1397" spans="1:25" x14ac:dyDescent="0.25">
      <c r="A1397" s="1083"/>
      <c r="B1397" s="1455">
        <v>1147</v>
      </c>
      <c r="C1397" s="1087">
        <v>1.0339525162632801</v>
      </c>
      <c r="D1397" s="1087">
        <v>1.0085035551314838</v>
      </c>
      <c r="E1397" s="1087">
        <v>1.016157755862876</v>
      </c>
      <c r="F1397" s="1087">
        <v>0.97174920790524977</v>
      </c>
      <c r="G1397" s="1087">
        <v>0.98342858730526128</v>
      </c>
      <c r="H1397" s="1087">
        <v>1.0116878505408278</v>
      </c>
      <c r="I1397" s="1087">
        <v>0.96269214634485645</v>
      </c>
      <c r="K1397">
        <v>1.7898018934852677</v>
      </c>
      <c r="L1397">
        <v>0</v>
      </c>
      <c r="M1397">
        <v>3.4268338221278348E-3</v>
      </c>
      <c r="N1397">
        <v>0.34182622063164442</v>
      </c>
      <c r="O1397">
        <v>0.23084946763682002</v>
      </c>
      <c r="P1397">
        <v>1.2778790295820819E-2</v>
      </c>
      <c r="Q1397">
        <v>1.5529177710534366E-3</v>
      </c>
      <c r="R1397">
        <v>3.4210056493310941E-3</v>
      </c>
      <c r="S1397">
        <v>0.34053649403280145</v>
      </c>
      <c r="T1397">
        <v>0.39141298962301913</v>
      </c>
      <c r="U1397">
        <v>0</v>
      </c>
      <c r="V1397">
        <v>0.19347276902381205</v>
      </c>
      <c r="W1397">
        <v>0.21556154602376629</v>
      </c>
      <c r="X1397">
        <v>5.2505676976057646E-2</v>
      </c>
      <c r="Y1397">
        <v>9.3108496432700218E-3</v>
      </c>
    </row>
    <row r="1398" spans="1:25" x14ac:dyDescent="0.25">
      <c r="A1398" s="1083"/>
      <c r="B1398" s="1455">
        <v>1148</v>
      </c>
      <c r="C1398" s="1087">
        <v>1.0228254254965716</v>
      </c>
      <c r="D1398" s="1087">
        <v>1.0182882557656179</v>
      </c>
      <c r="E1398" s="1087">
        <v>0.98284005264113317</v>
      </c>
      <c r="F1398" s="1087">
        <v>0.99440995091824469</v>
      </c>
      <c r="G1398" s="1087">
        <v>1.0260406815716763</v>
      </c>
      <c r="H1398" s="1087">
        <v>1.0140101569922777</v>
      </c>
      <c r="I1398" s="1087">
        <v>0.99986553685962598</v>
      </c>
      <c r="K1398">
        <v>1.8073367176410369</v>
      </c>
      <c r="L1398">
        <v>0</v>
      </c>
      <c r="M1398">
        <v>3.6973612849085123E-3</v>
      </c>
      <c r="N1398">
        <v>0.33315487285342404</v>
      </c>
      <c r="O1398">
        <v>0.23333416853083702</v>
      </c>
      <c r="P1398">
        <v>1.2820773561428892E-2</v>
      </c>
      <c r="Q1398">
        <v>1.5092020095532769E-3</v>
      </c>
      <c r="R1398">
        <v>3.6910785337911133E-3</v>
      </c>
      <c r="S1398">
        <v>0.35565621418592508</v>
      </c>
      <c r="T1398">
        <v>0.4003398901216087</v>
      </c>
      <c r="U1398">
        <v>0</v>
      </c>
      <c r="V1398">
        <v>0.19582698748822427</v>
      </c>
      <c r="W1398">
        <v>0.21451457100029012</v>
      </c>
      <c r="X1398">
        <v>5.014042163559515E-2</v>
      </c>
      <c r="Y1398">
        <v>1.0045899005267759E-2</v>
      </c>
    </row>
    <row r="1399" spans="1:25" x14ac:dyDescent="0.25">
      <c r="A1399" s="1083"/>
      <c r="B1399" s="1455">
        <v>1149</v>
      </c>
      <c r="C1399" s="1087">
        <v>1.0156849455507206</v>
      </c>
      <c r="D1399" s="1087">
        <v>0.9828529316500052</v>
      </c>
      <c r="E1399" s="1087">
        <v>1.000723572177334</v>
      </c>
      <c r="F1399" s="1087">
        <v>0.98250441631351448</v>
      </c>
      <c r="G1399" s="1087">
        <v>0.96921162558744489</v>
      </c>
      <c r="H1399" s="1087">
        <v>0.96802243221222961</v>
      </c>
      <c r="I1399" s="1087">
        <v>1.0054983919326501</v>
      </c>
      <c r="K1399">
        <v>1.8092006146977828</v>
      </c>
      <c r="L1399">
        <v>0</v>
      </c>
      <c r="M1399">
        <v>3.4935704221150106E-3</v>
      </c>
      <c r="N1399">
        <v>0.332436295434062</v>
      </c>
      <c r="O1399">
        <v>0.23651190633290173</v>
      </c>
      <c r="P1399">
        <v>1.3001488615619059E-2</v>
      </c>
      <c r="Q1399">
        <v>1.5712818576261124E-3</v>
      </c>
      <c r="R1399">
        <v>3.4873834416370543E-3</v>
      </c>
      <c r="S1399">
        <v>0.3591960847847413</v>
      </c>
      <c r="T1399">
        <v>0.3956526734045504</v>
      </c>
      <c r="U1399">
        <v>0</v>
      </c>
      <c r="V1399">
        <v>0.19751256613852766</v>
      </c>
      <c r="W1399">
        <v>0.21165867542905376</v>
      </c>
      <c r="X1399">
        <v>5.2174321568683707E-2</v>
      </c>
      <c r="Y1399">
        <v>9.4915081124934911E-3</v>
      </c>
    </row>
    <row r="1400" spans="1:25" x14ac:dyDescent="0.25">
      <c r="A1400" s="1083"/>
      <c r="B1400" s="1455">
        <v>1150</v>
      </c>
      <c r="C1400" s="1087">
        <v>1.0257418260278748</v>
      </c>
      <c r="D1400" s="1087">
        <v>0.99350316704302344</v>
      </c>
      <c r="E1400" s="1087">
        <v>0.98252230530585516</v>
      </c>
      <c r="F1400" s="1087">
        <v>0.99638192841875384</v>
      </c>
      <c r="G1400" s="1087">
        <v>1.00228472755721</v>
      </c>
      <c r="H1400" s="1087">
        <v>0.99519107928731088</v>
      </c>
      <c r="I1400" s="1087">
        <v>1.0195061337266653</v>
      </c>
      <c r="K1400">
        <v>1.8149613685208617</v>
      </c>
      <c r="L1400">
        <v>0</v>
      </c>
      <c r="M1400">
        <v>3.6696197619238611E-3</v>
      </c>
      <c r="N1400">
        <v>0.33032571106504843</v>
      </c>
      <c r="O1400">
        <v>0.23564928393220208</v>
      </c>
      <c r="P1400">
        <v>1.2945381811082823E-2</v>
      </c>
      <c r="Q1400">
        <v>1.5192982801432164E-3</v>
      </c>
      <c r="R1400">
        <v>3.6632887169362129E-3</v>
      </c>
      <c r="S1400">
        <v>0.36318385066208336</v>
      </c>
      <c r="T1400">
        <v>0.4011318948618145</v>
      </c>
      <c r="U1400">
        <v>0</v>
      </c>
      <c r="V1400">
        <v>0.19698881228494852</v>
      </c>
      <c r="W1400">
        <v>0.21273569271235127</v>
      </c>
      <c r="X1400">
        <v>5.0517509671474919E-2</v>
      </c>
      <c r="Y1400">
        <v>9.9702642846993834E-3</v>
      </c>
    </row>
    <row r="1401" spans="1:25" x14ac:dyDescent="0.25">
      <c r="A1401" s="1083"/>
      <c r="B1401" s="1455">
        <v>1151</v>
      </c>
      <c r="C1401" s="1087">
        <v>1.0049263129899231</v>
      </c>
      <c r="D1401" s="1087">
        <v>1.0058803165343528</v>
      </c>
      <c r="E1401" s="1087">
        <v>1.0031626434064485</v>
      </c>
      <c r="F1401" s="1087">
        <v>0.97389151163765997</v>
      </c>
      <c r="G1401" s="1087">
        <v>1.0375347044485144</v>
      </c>
      <c r="H1401" s="1087">
        <v>0.99005521318766776</v>
      </c>
      <c r="I1401" s="1087">
        <v>1.0226505469867688</v>
      </c>
      <c r="K1401">
        <v>1.8250479344541777</v>
      </c>
      <c r="L1401">
        <v>0</v>
      </c>
      <c r="M1401">
        <v>3.5487309567640512E-3</v>
      </c>
      <c r="N1401">
        <v>0.34021921385780834</v>
      </c>
      <c r="O1401">
        <v>0.23452788042341363</v>
      </c>
      <c r="P1401">
        <v>1.3095488383349839E-2</v>
      </c>
      <c r="Q1401">
        <v>1.5775509333992525E-3</v>
      </c>
      <c r="R1401">
        <v>3.5425662419423993E-3</v>
      </c>
      <c r="S1401">
        <v>0.36860994249413453</v>
      </c>
      <c r="T1401">
        <v>0.39219868571614286</v>
      </c>
      <c r="U1401">
        <v>0</v>
      </c>
      <c r="V1401">
        <v>0.19669735705418245</v>
      </c>
      <c r="W1401">
        <v>0.2162845931856017</v>
      </c>
      <c r="X1401">
        <v>5.2201689617046472E-2</v>
      </c>
      <c r="Y1401">
        <v>9.6416975039194091E-3</v>
      </c>
    </row>
    <row r="1402" spans="1:25" x14ac:dyDescent="0.25">
      <c r="A1402" s="1083"/>
      <c r="B1402" s="1455">
        <v>1152</v>
      </c>
      <c r="C1402" s="1087">
        <v>1.0133670763773195</v>
      </c>
      <c r="D1402" s="1087">
        <v>0.9639613058272628</v>
      </c>
      <c r="E1402" s="1087">
        <v>0.96680352274146919</v>
      </c>
      <c r="F1402" s="1087">
        <v>1.0123798829737076</v>
      </c>
      <c r="G1402" s="1087">
        <v>1.0033836504065003</v>
      </c>
      <c r="H1402" s="1087">
        <v>0.99598095640654061</v>
      </c>
      <c r="I1402" s="1087">
        <v>1.0157862706016492</v>
      </c>
      <c r="K1402">
        <v>1.8509664049093917</v>
      </c>
      <c r="L1402">
        <v>0</v>
      </c>
      <c r="M1402">
        <v>3.9018615962080226E-3</v>
      </c>
      <c r="N1402">
        <v>0.33475401821011963</v>
      </c>
      <c r="O1402">
        <v>0.2417714956519216</v>
      </c>
      <c r="P1402">
        <v>1.3054443671093881E-2</v>
      </c>
      <c r="Q1402">
        <v>1.5303391203439621E-3</v>
      </c>
      <c r="R1402">
        <v>3.8951643198211899E-3</v>
      </c>
      <c r="S1402">
        <v>0.37245030844766303</v>
      </c>
      <c r="T1402">
        <v>0.40747782969432189</v>
      </c>
      <c r="U1402">
        <v>0</v>
      </c>
      <c r="V1402">
        <v>0.20116749529534203</v>
      </c>
      <c r="W1402">
        <v>0.21775670498737287</v>
      </c>
      <c r="X1402">
        <v>5.0409113869620617E-2</v>
      </c>
      <c r="Y1402">
        <v>1.0601353237980345E-2</v>
      </c>
    </row>
    <row r="1403" spans="1:25" x14ac:dyDescent="0.25">
      <c r="A1403" s="1083"/>
      <c r="B1403" s="1455">
        <v>1153</v>
      </c>
      <c r="C1403" s="1087">
        <v>0.9949779482801614</v>
      </c>
      <c r="D1403" s="1087">
        <v>0.99964119401130336</v>
      </c>
      <c r="E1403" s="1087">
        <v>1.0078505219090792</v>
      </c>
      <c r="F1403" s="1087">
        <v>1.0176775416878929</v>
      </c>
      <c r="G1403" s="1087">
        <v>0.99233225510140333</v>
      </c>
      <c r="H1403" s="1087">
        <v>1.0206109034950253</v>
      </c>
      <c r="I1403" s="1087">
        <v>0.965389677805361</v>
      </c>
      <c r="K1403">
        <v>1.8740394511999316</v>
      </c>
      <c r="L1403">
        <v>0</v>
      </c>
      <c r="M1403">
        <v>3.6720447035481106E-3</v>
      </c>
      <c r="N1403">
        <v>0.35713098283627515</v>
      </c>
      <c r="O1403">
        <v>0.24157763258714274</v>
      </c>
      <c r="P1403">
        <v>1.3310510446772859E-2</v>
      </c>
      <c r="Q1403">
        <v>1.6052707195736452E-3</v>
      </c>
      <c r="R1403">
        <v>3.6658624545176776E-3</v>
      </c>
      <c r="S1403">
        <v>0.35810306253842128</v>
      </c>
      <c r="T1403">
        <v>0.4098609049237476</v>
      </c>
      <c r="U1403">
        <v>0</v>
      </c>
      <c r="V1403">
        <v>0.20188842472429946</v>
      </c>
      <c r="W1403">
        <v>0.2263744674628535</v>
      </c>
      <c r="X1403">
        <v>5.4217108059912263E-2</v>
      </c>
      <c r="Y1403">
        <v>9.9772691499637675E-3</v>
      </c>
    </row>
    <row r="1404" spans="1:25" x14ac:dyDescent="0.25">
      <c r="A1404" s="1083"/>
      <c r="B1404" s="1455">
        <v>1154</v>
      </c>
      <c r="C1404" s="1087">
        <v>0.98978226378622836</v>
      </c>
      <c r="D1404" s="1087">
        <v>0.9928292210993378</v>
      </c>
      <c r="E1404" s="1087">
        <v>0.97845962536248177</v>
      </c>
      <c r="F1404" s="1087">
        <v>0.99589388634132292</v>
      </c>
      <c r="G1404" s="1087">
        <v>0.99195753048728752</v>
      </c>
      <c r="H1404" s="1087">
        <v>0.988221194102745</v>
      </c>
      <c r="I1404" s="1087">
        <v>1.0181391149963128</v>
      </c>
      <c r="K1404">
        <v>1.8497341663932096</v>
      </c>
      <c r="L1404">
        <v>0</v>
      </c>
      <c r="M1404">
        <v>3.8093769750418578E-3</v>
      </c>
      <c r="N1404">
        <v>0.33867100299982056</v>
      </c>
      <c r="O1404">
        <v>0.23990024769217955</v>
      </c>
      <c r="P1404">
        <v>1.3107588394704042E-2</v>
      </c>
      <c r="Q1404">
        <v>1.5680507566467933E-3</v>
      </c>
      <c r="R1404">
        <v>3.802759540460254E-3</v>
      </c>
      <c r="S1404">
        <v>0.37467549477848983</v>
      </c>
      <c r="T1404">
        <v>0.40091124341189666</v>
      </c>
      <c r="U1404">
        <v>0</v>
      </c>
      <c r="V1404">
        <v>0.20076627071565606</v>
      </c>
      <c r="W1404">
        <v>0.21867280174576467</v>
      </c>
      <c r="X1404">
        <v>5.1118225442845888E-2</v>
      </c>
      <c r="Y1404">
        <v>1.0349857889787203E-2</v>
      </c>
    </row>
    <row r="1405" spans="1:25" x14ac:dyDescent="0.25">
      <c r="A1405" s="1083"/>
      <c r="B1405" s="1455">
        <v>1155</v>
      </c>
      <c r="C1405" s="1087">
        <v>0.99295699275207772</v>
      </c>
      <c r="D1405" s="1087">
        <v>1.0072270567113977</v>
      </c>
      <c r="E1405" s="1087">
        <v>1.0105516300284381</v>
      </c>
      <c r="F1405" s="1087">
        <v>0.97622933615022933</v>
      </c>
      <c r="G1405" s="1087">
        <v>1.024055807114812</v>
      </c>
      <c r="H1405" s="1087">
        <v>1.0254466727793143</v>
      </c>
      <c r="I1405" s="1087">
        <v>1.0326072294802691</v>
      </c>
      <c r="K1405">
        <v>1.8754527872428646</v>
      </c>
      <c r="L1405">
        <v>0</v>
      </c>
      <c r="M1405">
        <v>3.6613899727842595E-3</v>
      </c>
      <c r="N1405">
        <v>0.35904234269791618</v>
      </c>
      <c r="O1405">
        <v>0.23620339721267705</v>
      </c>
      <c r="P1405">
        <v>1.340076310286078E-2</v>
      </c>
      <c r="Q1405">
        <v>1.6082815636083965E-3</v>
      </c>
      <c r="R1405">
        <v>3.6552479247397066E-3</v>
      </c>
      <c r="S1405">
        <v>0.38314642032035073</v>
      </c>
      <c r="T1405">
        <v>0.39318407689193419</v>
      </c>
      <c r="U1405">
        <v>0</v>
      </c>
      <c r="V1405">
        <v>0.19814557761668991</v>
      </c>
      <c r="W1405">
        <v>0.22720488616313933</v>
      </c>
      <c r="X1405">
        <v>5.3574803822745258E-2</v>
      </c>
      <c r="Y1405">
        <v>9.9483798989869286E-3</v>
      </c>
    </row>
    <row r="1406" spans="1:25" x14ac:dyDescent="0.25">
      <c r="A1406" s="1083"/>
      <c r="B1406" s="1455">
        <v>1156</v>
      </c>
      <c r="C1406" s="1087">
        <v>0.97044263547016241</v>
      </c>
      <c r="D1406" s="1087">
        <v>0.9889117236723608</v>
      </c>
      <c r="E1406" s="1087">
        <v>1.0111832461855155</v>
      </c>
      <c r="F1406" s="1087">
        <v>1.0093395018420561</v>
      </c>
      <c r="G1406" s="1087">
        <v>0.98036539033590875</v>
      </c>
      <c r="H1406" s="1087">
        <v>1.0401695360451924</v>
      </c>
      <c r="I1406" s="1087">
        <v>0.98128399330761129</v>
      </c>
      <c r="K1406">
        <v>1.9310134131748451</v>
      </c>
      <c r="L1406">
        <v>0</v>
      </c>
      <c r="M1406">
        <v>3.8331762731479758E-3</v>
      </c>
      <c r="N1406">
        <v>0.37662324273722281</v>
      </c>
      <c r="O1406">
        <v>0.24478890448912694</v>
      </c>
      <c r="P1406">
        <v>1.3621971284406073E-2</v>
      </c>
      <c r="Q1406">
        <v>1.6588276165241892E-3</v>
      </c>
      <c r="R1406">
        <v>3.8268536154766599E-3</v>
      </c>
      <c r="S1406">
        <v>0.37908747702937917</v>
      </c>
      <c r="T1406">
        <v>0.40652335015004504</v>
      </c>
      <c r="U1406">
        <v>0</v>
      </c>
      <c r="V1406">
        <v>0.20449094213090985</v>
      </c>
      <c r="W1406">
        <v>0.23823694776669083</v>
      </c>
      <c r="X1406">
        <v>5.557263860883719E-2</v>
      </c>
      <c r="Y1406">
        <v>1.041543401937217E-2</v>
      </c>
    </row>
    <row r="1407" spans="1:25" x14ac:dyDescent="0.25">
      <c r="A1407" s="1083"/>
      <c r="B1407" s="1455">
        <v>1157</v>
      </c>
      <c r="C1407" s="1087">
        <v>0.99239655405018823</v>
      </c>
      <c r="D1407" s="1087">
        <v>0.97808346148437042</v>
      </c>
      <c r="E1407" s="1087">
        <v>1.0150506423916432</v>
      </c>
      <c r="F1407" s="1087">
        <v>0.97581561989292998</v>
      </c>
      <c r="G1407" s="1087">
        <v>1.0176779743342805</v>
      </c>
      <c r="H1407" s="1087">
        <v>1.0341844567213077</v>
      </c>
      <c r="I1407" s="1087">
        <v>0.98333800209760613</v>
      </c>
      <c r="K1407">
        <v>1.8872826928812827</v>
      </c>
      <c r="L1407">
        <v>0</v>
      </c>
      <c r="M1407">
        <v>3.7186561331671183E-3</v>
      </c>
      <c r="N1407">
        <v>0.36970203766091025</v>
      </c>
      <c r="O1407">
        <v>0.23912984460879488</v>
      </c>
      <c r="P1407">
        <v>1.3320508634218487E-2</v>
      </c>
      <c r="Q1407">
        <v>1.635973175973041E-3</v>
      </c>
      <c r="R1407">
        <v>3.7124950896745925E-3</v>
      </c>
      <c r="S1407">
        <v>0.37266859966320121</v>
      </c>
      <c r="T1407">
        <v>0.39304429069029634</v>
      </c>
      <c r="U1407">
        <v>0</v>
      </c>
      <c r="V1407">
        <v>0.19972170294203659</v>
      </c>
      <c r="W1407">
        <v>0.23329997082740403</v>
      </c>
      <c r="X1407">
        <v>5.4661737911520167E-2</v>
      </c>
      <c r="Y1407">
        <v>1.0104187810416838E-2</v>
      </c>
    </row>
    <row r="1408" spans="1:25" x14ac:dyDescent="0.25">
      <c r="A1408" s="1083"/>
      <c r="B1408" s="1455">
        <v>1158</v>
      </c>
      <c r="C1408" s="1087">
        <v>1.0004050134082569</v>
      </c>
      <c r="D1408" s="1087">
        <v>1.0142738285886137</v>
      </c>
      <c r="E1408" s="1087">
        <v>1.0147028981428499</v>
      </c>
      <c r="F1408" s="1087">
        <v>0.99427497814154664</v>
      </c>
      <c r="G1408" s="1087">
        <v>1.0258633805711257</v>
      </c>
      <c r="H1408" s="1087">
        <v>0.97234470010219132</v>
      </c>
      <c r="I1408" s="1087">
        <v>1.0099793038689011</v>
      </c>
      <c r="K1408">
        <v>1.8258000088750994</v>
      </c>
      <c r="L1408">
        <v>0</v>
      </c>
      <c r="M1408">
        <v>3.4040106836002505E-3</v>
      </c>
      <c r="N1408">
        <v>0.33802339635250167</v>
      </c>
      <c r="O1408">
        <v>0.2368295622800502</v>
      </c>
      <c r="P1408">
        <v>1.3241779933022219E-2</v>
      </c>
      <c r="Q1408">
        <v>1.59887366200683E-3</v>
      </c>
      <c r="R1408">
        <v>3.3979828455171553E-3</v>
      </c>
      <c r="S1408">
        <v>0.36092919685853564</v>
      </c>
      <c r="T1408">
        <v>0.40047733385321582</v>
      </c>
      <c r="U1408">
        <v>0</v>
      </c>
      <c r="V1408">
        <v>0.19856982759827305</v>
      </c>
      <c r="W1408">
        <v>0.21335504464320235</v>
      </c>
      <c r="X1408">
        <v>5.3532832371620306E-2</v>
      </c>
      <c r="Y1408">
        <v>9.248189160753718E-3</v>
      </c>
    </row>
    <row r="1409" spans="1:25" x14ac:dyDescent="0.25">
      <c r="A1409" s="1083"/>
      <c r="B1409" s="1455">
        <v>1159</v>
      </c>
      <c r="C1409" s="1087">
        <v>1.0117152339213602</v>
      </c>
      <c r="D1409" s="1087">
        <v>0.99962794046286652</v>
      </c>
      <c r="E1409" s="1087">
        <v>1.0206524283331724</v>
      </c>
      <c r="F1409" s="1087">
        <v>1.0083347817142914</v>
      </c>
      <c r="G1409" s="1087">
        <v>1.0101430026332712</v>
      </c>
      <c r="H1409" s="1087">
        <v>0.99031191270649332</v>
      </c>
      <c r="I1409" s="1087">
        <v>1.0004712565936096</v>
      </c>
      <c r="K1409">
        <v>1.8448211706520021</v>
      </c>
      <c r="L1409">
        <v>0</v>
      </c>
      <c r="M1409">
        <v>3.413118585814833E-3</v>
      </c>
      <c r="N1409">
        <v>0.34514187831618681</v>
      </c>
      <c r="O1409">
        <v>0.23864122163944471</v>
      </c>
      <c r="P1409">
        <v>1.3372459147448961E-2</v>
      </c>
      <c r="Q1409">
        <v>1.6002460105706785E-3</v>
      </c>
      <c r="R1409">
        <v>3.4071960723554154E-3</v>
      </c>
      <c r="S1409">
        <v>0.35967477683577109</v>
      </c>
      <c r="T1409">
        <v>0.40617718936246594</v>
      </c>
      <c r="U1409">
        <v>0</v>
      </c>
      <c r="V1409">
        <v>0.1993757576218089</v>
      </c>
      <c r="W1409">
        <v>0.21705042768336422</v>
      </c>
      <c r="X1409">
        <v>5.4519872021328762E-2</v>
      </c>
      <c r="Y1409">
        <v>9.2732645270680522E-3</v>
      </c>
    </row>
    <row r="1410" spans="1:25" x14ac:dyDescent="0.25">
      <c r="A1410" s="1083"/>
      <c r="B1410" s="1455">
        <v>1160</v>
      </c>
      <c r="C1410" s="1087">
        <v>1.0446567619095317</v>
      </c>
      <c r="D1410" s="1087">
        <v>1.0058748419637511</v>
      </c>
      <c r="E1410" s="1087">
        <v>0.99710849524942979</v>
      </c>
      <c r="F1410" s="1087">
        <v>1.0212271759358957</v>
      </c>
      <c r="G1410" s="1087">
        <v>1.0079681966497236</v>
      </c>
      <c r="H1410" s="1087">
        <v>0.99119260151737121</v>
      </c>
      <c r="I1410" s="1087">
        <v>0.98359597759924577</v>
      </c>
      <c r="K1410">
        <v>1.7926025931284659</v>
      </c>
      <c r="L1410">
        <v>0</v>
      </c>
      <c r="M1410">
        <v>3.458431256048485E-3</v>
      </c>
      <c r="N1410">
        <v>0.32549302563048321</v>
      </c>
      <c r="O1410">
        <v>0.23521609686761968</v>
      </c>
      <c r="P1410">
        <v>1.2918971625782323E-2</v>
      </c>
      <c r="Q1410">
        <v>1.5077989177682946E-3</v>
      </c>
      <c r="R1410">
        <v>3.4524270866275126E-3</v>
      </c>
      <c r="S1410">
        <v>0.34108871353865466</v>
      </c>
      <c r="T1410">
        <v>0.4112239035141611</v>
      </c>
      <c r="U1410">
        <v>0</v>
      </c>
      <c r="V1410">
        <v>0.19656457743069231</v>
      </c>
      <c r="W1410">
        <v>0.20770698622715369</v>
      </c>
      <c r="X1410">
        <v>5.149215510805448E-2</v>
      </c>
      <c r="Y1410">
        <v>9.3963684375168548E-3</v>
      </c>
    </row>
    <row r="1411" spans="1:25" x14ac:dyDescent="0.25">
      <c r="A1411" s="1083"/>
      <c r="B1411" s="1455">
        <v>1161</v>
      </c>
      <c r="C1411" s="1087">
        <v>1.0119617990748599</v>
      </c>
      <c r="D1411" s="1087">
        <v>1.0193582046270673</v>
      </c>
      <c r="E1411" s="1087">
        <v>1.0012976662188522</v>
      </c>
      <c r="F1411" s="1087">
        <v>0.95498003820061272</v>
      </c>
      <c r="G1411" s="1087">
        <v>0.99777329490697797</v>
      </c>
      <c r="H1411" s="1087">
        <v>0.96849817582236064</v>
      </c>
      <c r="I1411" s="1087">
        <v>0.99273463953686103</v>
      </c>
      <c r="K1411">
        <v>1.7676420095817034</v>
      </c>
      <c r="L1411">
        <v>0</v>
      </c>
      <c r="M1411">
        <v>3.4356548039108288E-3</v>
      </c>
      <c r="N1411">
        <v>0.32749576652442441</v>
      </c>
      <c r="O1411">
        <v>0.2301466565991655</v>
      </c>
      <c r="P1411">
        <v>1.2662248696254872E-2</v>
      </c>
      <c r="Q1411">
        <v>1.5551748193880347E-3</v>
      </c>
      <c r="R1411">
        <v>3.4295421720196553E-3</v>
      </c>
      <c r="S1411">
        <v>0.34891397289034942</v>
      </c>
      <c r="T1411">
        <v>0.38457198262366799</v>
      </c>
      <c r="U1411">
        <v>0</v>
      </c>
      <c r="V1411">
        <v>0.19362934984814162</v>
      </c>
      <c r="W1411">
        <v>0.20843836803458982</v>
      </c>
      <c r="X1411">
        <v>5.0900518933649413E-2</v>
      </c>
      <c r="Y1411">
        <v>9.3340832439643383E-3</v>
      </c>
    </row>
    <row r="1412" spans="1:25" x14ac:dyDescent="0.25">
      <c r="A1412" s="1083"/>
      <c r="B1412" s="1455">
        <v>1162</v>
      </c>
      <c r="C1412" s="1087">
        <v>1.0184601559023767</v>
      </c>
      <c r="D1412" s="1087">
        <v>0.99500244319287501</v>
      </c>
      <c r="E1412" s="1087">
        <v>0.99123716386623262</v>
      </c>
      <c r="F1412" s="1087">
        <v>0.97393974585921805</v>
      </c>
      <c r="G1412" s="1087">
        <v>0.97607540826726824</v>
      </c>
      <c r="H1412" s="1087">
        <v>0.99292361716609634</v>
      </c>
      <c r="I1412" s="1087">
        <v>1.0334194391117912</v>
      </c>
      <c r="K1412">
        <v>1.8161800092639735</v>
      </c>
      <c r="L1412">
        <v>0</v>
      </c>
      <c r="M1412">
        <v>3.6195239430777885E-3</v>
      </c>
      <c r="N1412">
        <v>0.33460472213884729</v>
      </c>
      <c r="O1412">
        <v>0.2338382221982159</v>
      </c>
      <c r="P1412">
        <v>1.2987118845276625E-2</v>
      </c>
      <c r="Q1412">
        <v>1.5436030211933456E-3</v>
      </c>
      <c r="R1412">
        <v>3.6132638392254871E-3</v>
      </c>
      <c r="S1412">
        <v>0.37014831578322427</v>
      </c>
      <c r="T1412">
        <v>0.3921478755124721</v>
      </c>
      <c r="U1412">
        <v>0</v>
      </c>
      <c r="V1412">
        <v>0.1957868065391058</v>
      </c>
      <c r="W1412">
        <v>0.21430964391537033</v>
      </c>
      <c r="X1412">
        <v>5.0985848355850558E-2</v>
      </c>
      <c r="Y1412">
        <v>9.834113058267294E-3</v>
      </c>
    </row>
    <row r="1413" spans="1:25" x14ac:dyDescent="0.25">
      <c r="A1413" s="1083"/>
      <c r="B1413" s="1455">
        <v>1163</v>
      </c>
      <c r="C1413" s="1087">
        <v>1.0215422031864136</v>
      </c>
      <c r="D1413" s="1087">
        <v>0.9640316728177607</v>
      </c>
      <c r="E1413" s="1087">
        <v>1.0152924811072639</v>
      </c>
      <c r="F1413" s="1087">
        <v>0.98094401070764448</v>
      </c>
      <c r="G1413" s="1087">
        <v>0.99350508296527873</v>
      </c>
      <c r="H1413" s="1087">
        <v>1.0002706894530977</v>
      </c>
      <c r="I1413" s="1087">
        <v>1.0408994601464967</v>
      </c>
      <c r="K1413">
        <v>1.8604688656332935</v>
      </c>
      <c r="L1413">
        <v>0</v>
      </c>
      <c r="M1413">
        <v>3.5201753350874265E-3</v>
      </c>
      <c r="N1413">
        <v>0.35020911162991258</v>
      </c>
      <c r="O1413">
        <v>0.23772856549283494</v>
      </c>
      <c r="P1413">
        <v>1.3426276148467087E-2</v>
      </c>
      <c r="Q1413">
        <v>1.5989320278386161E-3</v>
      </c>
      <c r="R1413">
        <v>3.5141583115944931E-3</v>
      </c>
      <c r="S1413">
        <v>0.37995043189929723</v>
      </c>
      <c r="T1413">
        <v>0.39511138445272653</v>
      </c>
      <c r="U1413">
        <v>0</v>
      </c>
      <c r="V1413">
        <v>0.19786523534325337</v>
      </c>
      <c r="W1413">
        <v>0.220965972608063</v>
      </c>
      <c r="X1413">
        <v>5.4054592572208161E-2</v>
      </c>
      <c r="Y1413">
        <v>9.564380482184132E-3</v>
      </c>
    </row>
    <row r="1414" spans="1:25" x14ac:dyDescent="0.25">
      <c r="A1414" s="1083"/>
      <c r="B1414" s="1455">
        <v>1164</v>
      </c>
      <c r="C1414" s="1087">
        <v>0.9761710548992879</v>
      </c>
      <c r="D1414" s="1087">
        <v>0.96976694398712371</v>
      </c>
      <c r="E1414" s="1087">
        <v>0.9750533355738662</v>
      </c>
      <c r="F1414" s="1087">
        <v>0.98118746705171866</v>
      </c>
      <c r="G1414" s="1087">
        <v>0.98707227067309211</v>
      </c>
      <c r="H1414" s="1087">
        <v>1.004730332956461</v>
      </c>
      <c r="I1414" s="1087">
        <v>0.99855783417617427</v>
      </c>
      <c r="K1414">
        <v>1.8767988440899888</v>
      </c>
      <c r="L1414">
        <v>0</v>
      </c>
      <c r="M1414">
        <v>4.0035098344804723E-3</v>
      </c>
      <c r="N1414">
        <v>0.3522552120157077</v>
      </c>
      <c r="O1414">
        <v>0.24201316088468053</v>
      </c>
      <c r="P1414">
        <v>1.3090867588400534E-2</v>
      </c>
      <c r="Q1414">
        <v>1.5990471545977093E-3</v>
      </c>
      <c r="R1414">
        <v>3.9966895715457303E-3</v>
      </c>
      <c r="S1414">
        <v>0.38049194930616681</v>
      </c>
      <c r="T1414">
        <v>0.39497105358585305</v>
      </c>
      <c r="U1414">
        <v>0</v>
      </c>
      <c r="V1414">
        <v>0.20217478546212753</v>
      </c>
      <c r="W1414">
        <v>0.22793701249418083</v>
      </c>
      <c r="X1414">
        <v>5.1394904355821669E-2</v>
      </c>
      <c r="Y1414">
        <v>1.0877671505384301E-2</v>
      </c>
    </row>
    <row r="1415" spans="1:25" x14ac:dyDescent="0.25">
      <c r="A1415" s="1083"/>
      <c r="B1415" s="1455">
        <v>1165</v>
      </c>
      <c r="C1415" s="1087">
        <v>1.0227322379976866</v>
      </c>
      <c r="D1415" s="1087">
        <v>0.99721051327570498</v>
      </c>
      <c r="E1415" s="1087">
        <v>0.99547204957071656</v>
      </c>
      <c r="F1415" s="1087">
        <v>0.96280587251693772</v>
      </c>
      <c r="G1415" s="1087">
        <v>1.0202896733882554</v>
      </c>
      <c r="H1415" s="1087">
        <v>0.98219438852002339</v>
      </c>
      <c r="I1415" s="1087">
        <v>1.029086275040171</v>
      </c>
      <c r="K1415">
        <v>1.7952013027372615</v>
      </c>
      <c r="L1415">
        <v>0</v>
      </c>
      <c r="M1415">
        <v>3.5304029282041474E-3</v>
      </c>
      <c r="N1415">
        <v>0.33060678815488143</v>
      </c>
      <c r="O1415">
        <v>0.23186396338356235</v>
      </c>
      <c r="P1415">
        <v>1.2873258229156921E-2</v>
      </c>
      <c r="Q1415">
        <v>1.5427628828307571E-3</v>
      </c>
      <c r="R1415">
        <v>3.5242281641813876E-3</v>
      </c>
      <c r="S1415">
        <v>0.36468869622470707</v>
      </c>
      <c r="T1415">
        <v>0.38768951215808722</v>
      </c>
      <c r="U1415">
        <v>0</v>
      </c>
      <c r="V1415">
        <v>0.19429391221569708</v>
      </c>
      <c r="W1415">
        <v>0.21118666198395444</v>
      </c>
      <c r="X1415">
        <v>5.0870134967007097E-2</v>
      </c>
      <c r="Y1415">
        <v>9.5917873013996457E-3</v>
      </c>
    </row>
    <row r="1416" spans="1:25" x14ac:dyDescent="0.25">
      <c r="A1416" s="1083"/>
      <c r="B1416" s="1455">
        <v>1166</v>
      </c>
      <c r="C1416" s="1087">
        <v>1.0024999645626718</v>
      </c>
      <c r="D1416" s="1087">
        <v>0.99867477756366463</v>
      </c>
      <c r="E1416" s="1087">
        <v>1.0081146914158774</v>
      </c>
      <c r="F1416" s="1087">
        <v>1.0041440806014184</v>
      </c>
      <c r="G1416" s="1087">
        <v>0.98736511561679208</v>
      </c>
      <c r="H1416" s="1087">
        <v>1.0266507534761489</v>
      </c>
      <c r="I1416" s="1087">
        <v>1.0142039700830736</v>
      </c>
      <c r="K1416">
        <v>1.8800810281426272</v>
      </c>
      <c r="L1416">
        <v>0</v>
      </c>
      <c r="M1416">
        <v>3.6659479285444585E-3</v>
      </c>
      <c r="N1416">
        <v>0.35682902130241517</v>
      </c>
      <c r="O1416">
        <v>0.23917804016908115</v>
      </c>
      <c r="P1416">
        <v>1.3439851056092432E-2</v>
      </c>
      <c r="Q1416">
        <v>1.5942893567906429E-3</v>
      </c>
      <c r="R1416">
        <v>3.6598130122835028E-3</v>
      </c>
      <c r="S1416">
        <v>0.37469778610038618</v>
      </c>
      <c r="T1416">
        <v>0.4044120358610902</v>
      </c>
      <c r="U1416">
        <v>0</v>
      </c>
      <c r="V1416">
        <v>0.19997311846602983</v>
      </c>
      <c r="W1416">
        <v>0.22614595600137949</v>
      </c>
      <c r="X1416">
        <v>5.3856260183222135E-2</v>
      </c>
      <c r="Y1416">
        <v>9.9608045624004372E-3</v>
      </c>
    </row>
    <row r="1417" spans="1:25" x14ac:dyDescent="0.25">
      <c r="A1417" s="1083"/>
      <c r="B1417" s="1455">
        <v>1167</v>
      </c>
      <c r="C1417" s="1087">
        <v>1.025715599000707</v>
      </c>
      <c r="D1417" s="1087">
        <v>1.0121210250416401</v>
      </c>
      <c r="E1417" s="1087">
        <v>0.98867579184970655</v>
      </c>
      <c r="F1417" s="1087">
        <v>1.0125608203561909</v>
      </c>
      <c r="G1417" s="1087">
        <v>1.0010234241619802</v>
      </c>
      <c r="H1417" s="1087">
        <v>1.005407603175515</v>
      </c>
      <c r="I1417" s="1087">
        <v>1.0230096783780973</v>
      </c>
      <c r="K1417">
        <v>1.8245986721629393</v>
      </c>
      <c r="L1417">
        <v>0</v>
      </c>
      <c r="M1417">
        <v>3.6238085020422759E-3</v>
      </c>
      <c r="N1417">
        <v>0.33239622511184003</v>
      </c>
      <c r="O1417">
        <v>0.23574005968662221</v>
      </c>
      <c r="P1417">
        <v>1.3091806511369158E-2</v>
      </c>
      <c r="Q1417">
        <v>1.518091220105239E-3</v>
      </c>
      <c r="R1417">
        <v>3.6176025683459737E-3</v>
      </c>
      <c r="S1417">
        <v>0.36258200903504079</v>
      </c>
      <c r="T1417">
        <v>0.4076826939014645</v>
      </c>
      <c r="U1417">
        <v>0</v>
      </c>
      <c r="V1417">
        <v>0.19740677702583254</v>
      </c>
      <c r="W1417">
        <v>0.21323871435178979</v>
      </c>
      <c r="X1417">
        <v>5.110257960389835E-2</v>
      </c>
      <c r="Y1417">
        <v>9.8459216486715892E-3</v>
      </c>
    </row>
    <row r="1418" spans="1:25" x14ac:dyDescent="0.25">
      <c r="A1418" s="1083"/>
      <c r="B1418" s="1455">
        <v>1168</v>
      </c>
      <c r="C1418" s="1087">
        <v>1.0307270212415844</v>
      </c>
      <c r="D1418" s="1087">
        <v>1.013200719582436</v>
      </c>
      <c r="E1418" s="1087">
        <v>1.019573829310124</v>
      </c>
      <c r="F1418" s="1087">
        <v>1.0025047159862086</v>
      </c>
      <c r="G1418" s="1087">
        <v>0.97783197871449923</v>
      </c>
      <c r="H1418" s="1087">
        <v>1.0025687918841444</v>
      </c>
      <c r="I1418" s="1087">
        <v>0.98478548342685901</v>
      </c>
      <c r="K1418">
        <v>1.8126559106207663</v>
      </c>
      <c r="L1418">
        <v>0</v>
      </c>
      <c r="M1418">
        <v>3.3737570884702123E-3</v>
      </c>
      <c r="N1418">
        <v>0.34004809212124409</v>
      </c>
      <c r="O1418">
        <v>0.23434218392871209</v>
      </c>
      <c r="P1418">
        <v>1.3109281977244605E-2</v>
      </c>
      <c r="Q1418">
        <v>1.5605027615226575E-3</v>
      </c>
      <c r="R1418">
        <v>3.3679622809735287E-3</v>
      </c>
      <c r="S1418">
        <v>0.34698462480556802</v>
      </c>
      <c r="T1418">
        <v>0.40382207923391489</v>
      </c>
      <c r="U1418">
        <v>0</v>
      </c>
      <c r="V1418">
        <v>0.19617366656740209</v>
      </c>
      <c r="W1418">
        <v>0.21398908967569921</v>
      </c>
      <c r="X1418">
        <v>5.3465701276612064E-2</v>
      </c>
      <c r="Y1418">
        <v>9.1664830803424076E-3</v>
      </c>
    </row>
    <row r="1419" spans="1:25" x14ac:dyDescent="0.25">
      <c r="A1419" s="1083"/>
      <c r="B1419" s="1455">
        <v>1169</v>
      </c>
      <c r="C1419" s="1087">
        <v>1.0215359194263456</v>
      </c>
      <c r="D1419" s="1087">
        <v>0.99858614414069236</v>
      </c>
      <c r="E1419" s="1087">
        <v>0.96753190945388357</v>
      </c>
      <c r="F1419" s="1087">
        <v>1.0060639529011457</v>
      </c>
      <c r="G1419" s="1087">
        <v>0.98909836872745338</v>
      </c>
      <c r="H1419" s="1087">
        <v>1.0120827678719673</v>
      </c>
      <c r="I1419" s="1087">
        <v>0.98753946170557794</v>
      </c>
      <c r="K1419">
        <v>1.8152192039846036</v>
      </c>
      <c r="L1419">
        <v>0</v>
      </c>
      <c r="M1419">
        <v>3.8527259088904286E-3</v>
      </c>
      <c r="N1419">
        <v>0.33128201567091009</v>
      </c>
      <c r="O1419">
        <v>0.236544691531971</v>
      </c>
      <c r="P1419">
        <v>1.2752454900389452E-2</v>
      </c>
      <c r="Q1419">
        <v>1.4980052260592782E-3</v>
      </c>
      <c r="R1419">
        <v>3.8461850117508961E-3</v>
      </c>
      <c r="S1419">
        <v>0.35503790888572223</v>
      </c>
      <c r="T1419">
        <v>0.40494003397360956</v>
      </c>
      <c r="U1419">
        <v>0</v>
      </c>
      <c r="V1419">
        <v>0.19788781592829313</v>
      </c>
      <c r="W1419">
        <v>0.21539766114355791</v>
      </c>
      <c r="X1419">
        <v>4.9417109913791411E-2</v>
      </c>
      <c r="Y1419">
        <v>1.046804770743757E-2</v>
      </c>
    </row>
    <row r="1420" spans="1:25" x14ac:dyDescent="0.25">
      <c r="A1420" s="1083"/>
      <c r="B1420" s="1455">
        <v>1170</v>
      </c>
      <c r="C1420" s="1087">
        <v>1.0355866676422678</v>
      </c>
      <c r="D1420" s="1087">
        <v>1.0199442077728875</v>
      </c>
      <c r="E1420" s="1087">
        <v>0.9949943158279595</v>
      </c>
      <c r="F1420" s="1087">
        <v>0.97918179352054058</v>
      </c>
      <c r="G1420" s="1087">
        <v>0.9862330048818867</v>
      </c>
      <c r="H1420" s="1087">
        <v>1.0082250044614358</v>
      </c>
      <c r="I1420" s="1087">
        <v>0.98151009624940644</v>
      </c>
      <c r="K1420">
        <v>1.7778942583775703</v>
      </c>
      <c r="L1420">
        <v>0</v>
      </c>
      <c r="M1420">
        <v>3.5387624231800001E-3</v>
      </c>
      <c r="N1420">
        <v>0.33091979413959716</v>
      </c>
      <c r="O1420">
        <v>0.2301278885221181</v>
      </c>
      <c r="P1420">
        <v>1.2657873410488362E-2</v>
      </c>
      <c r="Q1420">
        <v>1.5091667261162454E-3</v>
      </c>
      <c r="R1420">
        <v>3.5327131371873013E-3</v>
      </c>
      <c r="S1420">
        <v>0.34365880004238225</v>
      </c>
      <c r="T1420">
        <v>0.39428071947912724</v>
      </c>
      <c r="U1420">
        <v>0</v>
      </c>
      <c r="V1420">
        <v>0.19322978821762607</v>
      </c>
      <c r="W1420">
        <v>0.21144994043365503</v>
      </c>
      <c r="X1420">
        <v>5.045145609160135E-2</v>
      </c>
      <c r="Y1420">
        <v>9.6148806008511407E-3</v>
      </c>
    </row>
    <row r="1421" spans="1:25" x14ac:dyDescent="0.25">
      <c r="A1421" s="1083"/>
      <c r="B1421" s="1455">
        <v>1171</v>
      </c>
      <c r="C1421" s="1087">
        <v>0.98606444941583238</v>
      </c>
      <c r="D1421" s="1087">
        <v>0.97892294519207657</v>
      </c>
      <c r="E1421" s="1087">
        <v>1.0306035660281065</v>
      </c>
      <c r="F1421" s="1087">
        <v>0.95800388400189718</v>
      </c>
      <c r="G1421" s="1087">
        <v>0.97218355333046036</v>
      </c>
      <c r="H1421" s="1087">
        <v>0.99298724577031117</v>
      </c>
      <c r="I1421" s="1087">
        <v>1.0149563362631948</v>
      </c>
      <c r="K1421">
        <v>1.8712736799364011</v>
      </c>
      <c r="L1421">
        <v>0</v>
      </c>
      <c r="M1421">
        <v>3.4780513897074211E-3</v>
      </c>
      <c r="N1421">
        <v>0.3625351915866506</v>
      </c>
      <c r="O1421">
        <v>0.23781434978930807</v>
      </c>
      <c r="P1421">
        <v>1.3454374415187334E-2</v>
      </c>
      <c r="Q1421">
        <v>1.6730943264638032E-3</v>
      </c>
      <c r="R1421">
        <v>3.4720476778450993E-3</v>
      </c>
      <c r="S1421">
        <v>0.37929260400965553</v>
      </c>
      <c r="T1421">
        <v>0.38596170835198257</v>
      </c>
      <c r="U1421">
        <v>0</v>
      </c>
      <c r="V1421">
        <v>0.19886516652060232</v>
      </c>
      <c r="W1421">
        <v>0.2266022616242559</v>
      </c>
      <c r="X1421">
        <v>5.5631163805271458E-2</v>
      </c>
      <c r="Y1421">
        <v>9.4497692188849694E-3</v>
      </c>
    </row>
    <row r="1422" spans="1:25" x14ac:dyDescent="0.25">
      <c r="A1422" s="1083"/>
      <c r="B1422" s="1455">
        <v>1172</v>
      </c>
      <c r="C1422" s="1087">
        <v>0.97402907720718679</v>
      </c>
      <c r="D1422" s="1087">
        <v>0.97496702532773005</v>
      </c>
      <c r="E1422" s="1087">
        <v>1.0077364227404515</v>
      </c>
      <c r="F1422" s="1087">
        <v>0.98277510291452053</v>
      </c>
      <c r="G1422" s="1087">
        <v>1.0155428874014034</v>
      </c>
      <c r="H1422" s="1087">
        <v>0.97177388739538384</v>
      </c>
      <c r="I1422" s="1087">
        <v>1.034892849690169</v>
      </c>
      <c r="K1422">
        <v>1.8830505662289032</v>
      </c>
      <c r="L1422">
        <v>0</v>
      </c>
      <c r="M1422">
        <v>3.6197819925161763E-3</v>
      </c>
      <c r="N1422">
        <v>0.35189775054846023</v>
      </c>
      <c r="O1422">
        <v>0.24242997174956182</v>
      </c>
      <c r="P1422">
        <v>1.3534912229768938E-2</v>
      </c>
      <c r="Q1422">
        <v>1.6560708570534646E-3</v>
      </c>
      <c r="R1422">
        <v>3.6134018379447058E-3</v>
      </c>
      <c r="S1422">
        <v>0.38800635228128749</v>
      </c>
      <c r="T1422">
        <v>0.39580356375558257</v>
      </c>
      <c r="U1422">
        <v>0</v>
      </c>
      <c r="V1422">
        <v>0.20247150857059912</v>
      </c>
      <c r="W1422">
        <v>0.22307309052545293</v>
      </c>
      <c r="X1422">
        <v>5.4349237220416541E-2</v>
      </c>
      <c r="Y1422">
        <v>9.8344886452897406E-3</v>
      </c>
    </row>
    <row r="1423" spans="1:25" x14ac:dyDescent="0.25">
      <c r="A1423" s="1083"/>
      <c r="B1423" s="1455">
        <v>1173</v>
      </c>
      <c r="C1423" s="1087">
        <v>0.95285496838413153</v>
      </c>
      <c r="D1423" s="1087">
        <v>0.96123405374478477</v>
      </c>
      <c r="E1423" s="1087">
        <v>0.99832073351068507</v>
      </c>
      <c r="F1423" s="1087">
        <v>0.99914698760961884</v>
      </c>
      <c r="G1423" s="1087">
        <v>1.0069901057328574</v>
      </c>
      <c r="H1423" s="1087">
        <v>0.97983335672275174</v>
      </c>
      <c r="I1423" s="1087">
        <v>1.0157207579699765</v>
      </c>
      <c r="K1423">
        <v>1.9250287892439304</v>
      </c>
      <c r="L1423">
        <v>0</v>
      </c>
      <c r="M1423">
        <v>3.832153978254562E-3</v>
      </c>
      <c r="N1423">
        <v>0.36199998784099147</v>
      </c>
      <c r="O1423">
        <v>0.2484045027524811</v>
      </c>
      <c r="P1423">
        <v>1.367090127953206E-2</v>
      </c>
      <c r="Q1423">
        <v>1.6855351697966517E-3</v>
      </c>
      <c r="R1423">
        <v>3.8254673196415662E-3</v>
      </c>
      <c r="S1423">
        <v>0.39380917293069612</v>
      </c>
      <c r="T1423">
        <v>0.40234006359575963</v>
      </c>
      <c r="U1423">
        <v>0</v>
      </c>
      <c r="V1423">
        <v>0.20703926212161886</v>
      </c>
      <c r="W1423">
        <v>0.23082798340828203</v>
      </c>
      <c r="X1423">
        <v>5.4846405824283496E-2</v>
      </c>
      <c r="Y1423">
        <v>1.0411660979101345E-2</v>
      </c>
    </row>
    <row r="1424" spans="1:25" x14ac:dyDescent="0.25">
      <c r="A1424" s="1083"/>
      <c r="B1424" s="1455">
        <v>1174</v>
      </c>
      <c r="C1424" s="1087">
        <v>0.98451157407531309</v>
      </c>
      <c r="D1424" s="1087">
        <v>1.0024214345252362</v>
      </c>
      <c r="E1424" s="1087">
        <v>0.98981978393629888</v>
      </c>
      <c r="F1424" s="1087">
        <v>1.0048477491888677</v>
      </c>
      <c r="G1424" s="1087">
        <v>1.0316453135027026</v>
      </c>
      <c r="H1424" s="1087">
        <v>1.0302403362498809</v>
      </c>
      <c r="I1424" s="1087">
        <v>0.99350272188745892</v>
      </c>
      <c r="K1424">
        <v>1.884750729961882</v>
      </c>
      <c r="L1424">
        <v>0</v>
      </c>
      <c r="M1424">
        <v>3.8810916707170311E-3</v>
      </c>
      <c r="N1424">
        <v>0.3572574389267425</v>
      </c>
      <c r="O1424">
        <v>0.24082276246908546</v>
      </c>
      <c r="P1424">
        <v>1.326586988433094E-2</v>
      </c>
      <c r="Q1424">
        <v>1.5896781619523757E-3</v>
      </c>
      <c r="R1424">
        <v>3.8746161969656022E-3</v>
      </c>
      <c r="S1424">
        <v>0.3734318242377318</v>
      </c>
      <c r="T1424">
        <v>0.40458412727593218</v>
      </c>
      <c r="U1424">
        <v>0</v>
      </c>
      <c r="V1424">
        <v>0.20167532280961956</v>
      </c>
      <c r="W1424">
        <v>0.22902257779124338</v>
      </c>
      <c r="X1424">
        <v>5.2562175857739417E-2</v>
      </c>
      <c r="Y1424">
        <v>1.0545428021254312E-2</v>
      </c>
    </row>
    <row r="1425" spans="1:25" x14ac:dyDescent="0.25">
      <c r="A1425" s="1083"/>
      <c r="B1425" s="1455">
        <v>1175</v>
      </c>
      <c r="C1425" s="1087">
        <v>1.0082555732436635</v>
      </c>
      <c r="D1425" s="1087">
        <v>1.0419151415052403</v>
      </c>
      <c r="E1425" s="1087">
        <v>0.95590296571155953</v>
      </c>
      <c r="F1425" s="1087">
        <v>1.0388648176186002</v>
      </c>
      <c r="G1425" s="1087">
        <v>1.0246906037283421</v>
      </c>
      <c r="H1425" s="1087">
        <v>1.0300807143868773</v>
      </c>
      <c r="I1425" s="1087">
        <v>1.0152393828909116</v>
      </c>
      <c r="K1425">
        <v>1.8388258093705645</v>
      </c>
      <c r="L1425">
        <v>0</v>
      </c>
      <c r="M1425">
        <v>3.9732983663295397E-3</v>
      </c>
      <c r="N1425">
        <v>0.32971117098887981</v>
      </c>
      <c r="O1425">
        <v>0.23732599844065549</v>
      </c>
      <c r="P1425">
        <v>1.2955911813284026E-2</v>
      </c>
      <c r="Q1425">
        <v>1.4734245981895258E-3</v>
      </c>
      <c r="R1425">
        <v>3.9666270904100713E-3</v>
      </c>
      <c r="S1425">
        <v>0.36420261549550065</v>
      </c>
      <c r="T1425">
        <v>0.41807119741035564</v>
      </c>
      <c r="U1425">
        <v>0</v>
      </c>
      <c r="V1425">
        <v>0.19964929890657707</v>
      </c>
      <c r="W1425">
        <v>0.21598570293961508</v>
      </c>
      <c r="X1425">
        <v>4.8661308711597115E-2</v>
      </c>
      <c r="Y1425">
        <v>1.0795851341827286E-2</v>
      </c>
    </row>
    <row r="1426" spans="1:25" x14ac:dyDescent="0.25">
      <c r="A1426" s="1083"/>
      <c r="B1426" s="1455">
        <v>1176</v>
      </c>
      <c r="C1426" s="1087">
        <v>1.0307859570711724</v>
      </c>
      <c r="D1426" s="1087">
        <v>1.0075138761662394</v>
      </c>
      <c r="E1426" s="1087">
        <v>0.95410303707069788</v>
      </c>
      <c r="F1426" s="1087">
        <v>1.0021667296191865</v>
      </c>
      <c r="G1426" s="1087">
        <v>1.0288106986980246</v>
      </c>
      <c r="H1426" s="1087">
        <v>0.98172202177759071</v>
      </c>
      <c r="I1426" s="1087">
        <v>1.007345708824904</v>
      </c>
      <c r="K1426">
        <v>1.7743038890366936</v>
      </c>
      <c r="L1426">
        <v>0</v>
      </c>
      <c r="M1426">
        <v>3.7874168499096978E-3</v>
      </c>
      <c r="N1426">
        <v>0.31253611573697471</v>
      </c>
      <c r="O1426">
        <v>0.23393564358958732</v>
      </c>
      <c r="P1426">
        <v>1.2529977352687911E-2</v>
      </c>
      <c r="Q1426">
        <v>1.4578401219900367E-3</v>
      </c>
      <c r="R1426">
        <v>3.7807789458439577E-3</v>
      </c>
      <c r="S1426">
        <v>0.35162399421314167</v>
      </c>
      <c r="T1426">
        <v>0.40329218601161604</v>
      </c>
      <c r="U1426">
        <v>0</v>
      </c>
      <c r="V1426">
        <v>0.19605363012617619</v>
      </c>
      <c r="W1426">
        <v>0.20497310531660931</v>
      </c>
      <c r="X1426">
        <v>4.7618000514830415E-2</v>
      </c>
      <c r="Y1426">
        <v>1.0290033957142713E-2</v>
      </c>
    </row>
    <row r="1427" spans="1:25" x14ac:dyDescent="0.25">
      <c r="A1427" s="1083"/>
      <c r="B1427" s="1455">
        <v>1177</v>
      </c>
      <c r="C1427" s="1087">
        <v>0.97568357050105003</v>
      </c>
      <c r="D1427" s="1087">
        <v>1.0008895533922253</v>
      </c>
      <c r="E1427" s="1087">
        <v>0.996449879163815</v>
      </c>
      <c r="F1427" s="1087">
        <v>1.0124611313509755</v>
      </c>
      <c r="G1427" s="1087">
        <v>1.0171827531408637</v>
      </c>
      <c r="H1427" s="1087">
        <v>1.0125121931423178</v>
      </c>
      <c r="I1427" s="1087">
        <v>1.0124085160145528</v>
      </c>
      <c r="K1427">
        <v>1.8991281165286764</v>
      </c>
      <c r="L1427">
        <v>0</v>
      </c>
      <c r="M1427">
        <v>3.8002437818069465E-3</v>
      </c>
      <c r="N1427">
        <v>0.35695855231026224</v>
      </c>
      <c r="O1427">
        <v>0.24307734548796733</v>
      </c>
      <c r="P1427">
        <v>1.3501974291758735E-2</v>
      </c>
      <c r="Q1427">
        <v>1.6164633879579371E-3</v>
      </c>
      <c r="R1427">
        <v>3.7937936962193696E-3</v>
      </c>
      <c r="S1427">
        <v>0.38105492906597865</v>
      </c>
      <c r="T1427">
        <v>0.40768999465209743</v>
      </c>
      <c r="U1427">
        <v>0</v>
      </c>
      <c r="V1427">
        <v>0.20343585947329509</v>
      </c>
      <c r="W1427">
        <v>0.22788007950257563</v>
      </c>
      <c r="X1427">
        <v>5.3593912625015276E-2</v>
      </c>
      <c r="Y1427">
        <v>1.0325455817353278E-2</v>
      </c>
    </row>
    <row r="1428" spans="1:25" x14ac:dyDescent="0.25">
      <c r="A1428" s="1083"/>
      <c r="B1428" s="1455">
        <v>1178</v>
      </c>
      <c r="C1428" s="1087">
        <v>1.0014541143950058</v>
      </c>
      <c r="D1428" s="1087">
        <v>0.99607773793422882</v>
      </c>
      <c r="E1428" s="1087">
        <v>0.96640778248516501</v>
      </c>
      <c r="F1428" s="1087">
        <v>1.0141504381384652</v>
      </c>
      <c r="G1428" s="1087">
        <v>0.97840012924433217</v>
      </c>
      <c r="H1428" s="1087">
        <v>1.0431514150515082</v>
      </c>
      <c r="I1428" s="1087">
        <v>0.98469036242019226</v>
      </c>
      <c r="K1428">
        <v>1.8672419719455271</v>
      </c>
      <c r="L1428">
        <v>0</v>
      </c>
      <c r="M1428">
        <v>4.0658400095443916E-3</v>
      </c>
      <c r="N1428">
        <v>0.34842468212677874</v>
      </c>
      <c r="O1428">
        <v>0.24013184778670577</v>
      </c>
      <c r="P1428">
        <v>1.2985159571327438E-2</v>
      </c>
      <c r="Q1428">
        <v>1.527719496049524E-3</v>
      </c>
      <c r="R1428">
        <v>4.0591459404859297E-3</v>
      </c>
      <c r="S1428">
        <v>0.36716906320201492</v>
      </c>
      <c r="T1428">
        <v>0.40818809638646625</v>
      </c>
      <c r="U1428">
        <v>0</v>
      </c>
      <c r="V1428">
        <v>0.20082899283601896</v>
      </c>
      <c r="W1428">
        <v>0.22670692142323784</v>
      </c>
      <c r="X1428">
        <v>5.0238526033081883E-2</v>
      </c>
      <c r="Y1428">
        <v>1.104765715290304E-2</v>
      </c>
    </row>
    <row r="1429" spans="1:25" x14ac:dyDescent="0.25">
      <c r="A1429" s="1083"/>
      <c r="B1429" s="1455">
        <v>1179</v>
      </c>
      <c r="C1429" s="1087">
        <v>1.0237822179438392</v>
      </c>
      <c r="D1429" s="1087">
        <v>1.0279040472348224</v>
      </c>
      <c r="E1429" s="1087">
        <v>1.0051983326415019</v>
      </c>
      <c r="F1429" s="1087">
        <v>1.0048010193586645</v>
      </c>
      <c r="G1429" s="1087">
        <v>1.0104963177017141</v>
      </c>
      <c r="H1429" s="1087">
        <v>0.99643094692595557</v>
      </c>
      <c r="I1429" s="1087">
        <v>0.98574147020916592</v>
      </c>
      <c r="K1429">
        <v>1.8003139855208437</v>
      </c>
      <c r="L1429">
        <v>0</v>
      </c>
      <c r="M1429">
        <v>3.4496041782732401E-3</v>
      </c>
      <c r="N1429">
        <v>0.3327779193448287</v>
      </c>
      <c r="O1429">
        <v>0.23377465127812613</v>
      </c>
      <c r="P1429">
        <v>1.2965490336515272E-2</v>
      </c>
      <c r="Q1429">
        <v>1.5384647517078277E-3</v>
      </c>
      <c r="R1429">
        <v>3.443630146816104E-3</v>
      </c>
      <c r="S1429">
        <v>0.34568263517393943</v>
      </c>
      <c r="T1429">
        <v>0.40465877410954204</v>
      </c>
      <c r="U1429">
        <v>0</v>
      </c>
      <c r="V1429">
        <v>0.19623139873743653</v>
      </c>
      <c r="W1429">
        <v>0.21128593335417722</v>
      </c>
      <c r="X1429">
        <v>5.2032266398765854E-2</v>
      </c>
      <c r="Y1429">
        <v>9.3724260672606238E-3</v>
      </c>
    </row>
    <row r="1430" spans="1:25" x14ac:dyDescent="0.25">
      <c r="A1430" s="1083"/>
      <c r="B1430" s="1455">
        <v>1180</v>
      </c>
      <c r="C1430" s="1087">
        <v>0.98794532186655204</v>
      </c>
      <c r="D1430" s="1087">
        <v>1.0302326939752322</v>
      </c>
      <c r="E1430" s="1087">
        <v>0.97036493419536185</v>
      </c>
      <c r="F1430" s="1087">
        <v>0.99692773748687713</v>
      </c>
      <c r="G1430" s="1087">
        <v>0.99904937967752683</v>
      </c>
      <c r="H1430" s="1087">
        <v>0.99938107575017465</v>
      </c>
      <c r="I1430" s="1087">
        <v>0.95609994612090865</v>
      </c>
      <c r="K1430">
        <v>1.8083620578016033</v>
      </c>
      <c r="L1430">
        <v>0</v>
      </c>
      <c r="M1430">
        <v>3.8462541301622485E-3</v>
      </c>
      <c r="N1430">
        <v>0.33359411839784425</v>
      </c>
      <c r="O1430">
        <v>0.23646741664377086</v>
      </c>
      <c r="P1430">
        <v>1.2642376442680816E-2</v>
      </c>
      <c r="Q1430">
        <v>1.5344279389451719E-3</v>
      </c>
      <c r="R1430">
        <v>3.8396131244246264E-3</v>
      </c>
      <c r="S1430">
        <v>0.34720931982442393</v>
      </c>
      <c r="T1430">
        <v>0.40127944184993525</v>
      </c>
      <c r="U1430">
        <v>0</v>
      </c>
      <c r="V1430">
        <v>0.19904842217820098</v>
      </c>
      <c r="W1430">
        <v>0.21650828136677994</v>
      </c>
      <c r="X1430">
        <v>4.9634732968203497E-2</v>
      </c>
      <c r="Y1430">
        <v>1.0450161196557537E-2</v>
      </c>
    </row>
    <row r="1431" spans="1:25" x14ac:dyDescent="0.25">
      <c r="A1431" s="1083"/>
      <c r="B1431" s="1455">
        <v>1181</v>
      </c>
      <c r="C1431" s="1087">
        <v>1.0076153529752272</v>
      </c>
      <c r="D1431" s="1087">
        <v>1.0084758614961626</v>
      </c>
      <c r="E1431" s="1087">
        <v>0.97761166165499436</v>
      </c>
      <c r="F1431" s="1087">
        <v>1.0270381500012449</v>
      </c>
      <c r="G1431" s="1087">
        <v>1.0277641360241603</v>
      </c>
      <c r="H1431" s="1087">
        <v>0.99853457351805253</v>
      </c>
      <c r="I1431" s="1087">
        <v>1.0254771357361543</v>
      </c>
      <c r="K1431">
        <v>1.8472025207651659</v>
      </c>
      <c r="L1431">
        <v>0</v>
      </c>
      <c r="M1431">
        <v>3.7550564642189516E-3</v>
      </c>
      <c r="N1431">
        <v>0.33298213380707564</v>
      </c>
      <c r="O1431">
        <v>0.23976786402475658</v>
      </c>
      <c r="P1431">
        <v>1.3194386221960522E-2</v>
      </c>
      <c r="Q1431">
        <v>1.5292965723550818E-3</v>
      </c>
      <c r="R1431">
        <v>3.7485855023773489E-3</v>
      </c>
      <c r="S1431">
        <v>0.36935468214025513</v>
      </c>
      <c r="T1431">
        <v>0.41344361617298481</v>
      </c>
      <c r="U1431">
        <v>0</v>
      </c>
      <c r="V1431">
        <v>0.20065641058300979</v>
      </c>
      <c r="W1431">
        <v>0.21511546396046063</v>
      </c>
      <c r="X1431">
        <v>5.096272422755696E-2</v>
      </c>
      <c r="Y1431">
        <v>1.0202414016592394E-2</v>
      </c>
    </row>
    <row r="1432" spans="1:25" x14ac:dyDescent="0.25">
      <c r="A1432" s="1083"/>
      <c r="B1432" s="1455">
        <v>1182</v>
      </c>
      <c r="C1432" s="1087">
        <v>1.0048645002915213</v>
      </c>
      <c r="D1432" s="1087">
        <v>0.96021235625048218</v>
      </c>
      <c r="E1432" s="1087">
        <v>0.9683568225880046</v>
      </c>
      <c r="F1432" s="1087">
        <v>1.0076479312619173</v>
      </c>
      <c r="G1432" s="1087">
        <v>1.0252276320676434</v>
      </c>
      <c r="H1432" s="1087">
        <v>0.97393337533177193</v>
      </c>
      <c r="I1432" s="1087">
        <v>0.96905382981017174</v>
      </c>
      <c r="K1432">
        <v>1.8272700606069425</v>
      </c>
      <c r="L1432">
        <v>0</v>
      </c>
      <c r="M1432">
        <v>3.8436055084019741E-3</v>
      </c>
      <c r="N1432">
        <v>0.33131397780445249</v>
      </c>
      <c r="O1432">
        <v>0.24264140024483977</v>
      </c>
      <c r="P1432">
        <v>1.2824065655115978E-2</v>
      </c>
      <c r="Q1432">
        <v>1.5482993060854406E-3</v>
      </c>
      <c r="R1432">
        <v>3.8368623760242507E-3</v>
      </c>
      <c r="S1432">
        <v>0.3551735244868941</v>
      </c>
      <c r="T1432">
        <v>0.40558250366164011</v>
      </c>
      <c r="U1432">
        <v>0</v>
      </c>
      <c r="V1432">
        <v>0.20187859806207234</v>
      </c>
      <c r="W1432">
        <v>0.21530472075118298</v>
      </c>
      <c r="X1432">
        <v>5.0567039200841345E-2</v>
      </c>
      <c r="Y1432">
        <v>1.044267456619568E-2</v>
      </c>
    </row>
    <row r="1433" spans="1:25" x14ac:dyDescent="0.25">
      <c r="A1433" s="1083"/>
      <c r="B1433" s="1455">
        <v>1183</v>
      </c>
      <c r="C1433" s="1087">
        <v>1.0319491668266489</v>
      </c>
      <c r="D1433" s="1087">
        <v>1.0336255097389135</v>
      </c>
      <c r="E1433" s="1087">
        <v>0.95916824642517073</v>
      </c>
      <c r="F1433" s="1087">
        <v>1.0209640168505769</v>
      </c>
      <c r="G1433" s="1087">
        <v>1.0398978098538607</v>
      </c>
      <c r="H1433" s="1087">
        <v>0.99839734289166504</v>
      </c>
      <c r="I1433" s="1087">
        <v>0.98811830553363966</v>
      </c>
      <c r="K1433">
        <v>1.7753202093120322</v>
      </c>
      <c r="L1433">
        <v>0</v>
      </c>
      <c r="M1433">
        <v>3.7537765175167151E-3</v>
      </c>
      <c r="N1433">
        <v>0.31460785442817202</v>
      </c>
      <c r="O1433">
        <v>0.23337893175789926</v>
      </c>
      <c r="P1433">
        <v>1.2560221100477722E-2</v>
      </c>
      <c r="Q1433">
        <v>1.449348115098788E-3</v>
      </c>
      <c r="R1433">
        <v>3.7472807880403291E-3</v>
      </c>
      <c r="S1433">
        <v>0.34249429084678168</v>
      </c>
      <c r="T1433">
        <v>0.41088693807838816</v>
      </c>
      <c r="U1433">
        <v>0</v>
      </c>
      <c r="V1433">
        <v>0.19614886596631692</v>
      </c>
      <c r="W1433">
        <v>0.20565815805150742</v>
      </c>
      <c r="X1433">
        <v>4.7943233682602011E-2</v>
      </c>
      <c r="Y1433">
        <v>1.0198863014265987E-2</v>
      </c>
    </row>
    <row r="1434" spans="1:25" x14ac:dyDescent="0.25">
      <c r="A1434" s="1083"/>
      <c r="B1434" s="1455">
        <v>1184</v>
      </c>
      <c r="C1434" s="1087">
        <v>0.99664093790556563</v>
      </c>
      <c r="D1434" s="1087">
        <v>0.9929995990572289</v>
      </c>
      <c r="E1434" s="1087">
        <v>1.002703526558236</v>
      </c>
      <c r="F1434" s="1087">
        <v>1.0213332727161615</v>
      </c>
      <c r="G1434" s="1087">
        <v>0.98476451823829325</v>
      </c>
      <c r="H1434" s="1087">
        <v>1.0003510824828525</v>
      </c>
      <c r="I1434" s="1087">
        <v>0.9553583922114548</v>
      </c>
      <c r="K1434">
        <v>1.8567555839676324</v>
      </c>
      <c r="L1434">
        <v>0</v>
      </c>
      <c r="M1434">
        <v>3.6443267070535154E-3</v>
      </c>
      <c r="N1434">
        <v>0.34890234041990409</v>
      </c>
      <c r="O1434">
        <v>0.2424014546084669</v>
      </c>
      <c r="P1434">
        <v>1.3195587219855771E-2</v>
      </c>
      <c r="Q1434">
        <v>1.5981061943411588E-3</v>
      </c>
      <c r="R1434">
        <v>3.6380727422667429E-3</v>
      </c>
      <c r="S1434">
        <v>0.35150611481600869</v>
      </c>
      <c r="T1434">
        <v>0.4113012482963937</v>
      </c>
      <c r="U1434">
        <v>0</v>
      </c>
      <c r="V1434">
        <v>0.20235081086224865</v>
      </c>
      <c r="W1434">
        <v>0.2218681387341743</v>
      </c>
      <c r="X1434">
        <v>5.3736402066933267E-2</v>
      </c>
      <c r="Y1434">
        <v>9.9016347140929023E-3</v>
      </c>
    </row>
    <row r="1435" spans="1:25" x14ac:dyDescent="0.25">
      <c r="A1435" s="1083"/>
      <c r="B1435" s="1455">
        <v>1185</v>
      </c>
      <c r="C1435" s="1087">
        <v>0.98482542405942031</v>
      </c>
      <c r="D1435" s="1087">
        <v>0.97945731504778266</v>
      </c>
      <c r="E1435" s="1087">
        <v>1.0289096970356528</v>
      </c>
      <c r="F1435" s="1087">
        <v>1.0370158635044093</v>
      </c>
      <c r="G1435" s="1087">
        <v>0.99545812480974816</v>
      </c>
      <c r="H1435" s="1087">
        <v>0.97227468331360656</v>
      </c>
      <c r="I1435" s="1087">
        <v>0.9793856195879882</v>
      </c>
      <c r="K1435">
        <v>1.8926494512455212</v>
      </c>
      <c r="L1435">
        <v>0</v>
      </c>
      <c r="M1435">
        <v>3.4225170682267024E-3</v>
      </c>
      <c r="N1435">
        <v>0.35489843032678287</v>
      </c>
      <c r="O1435">
        <v>0.24751738054789649</v>
      </c>
      <c r="P1435">
        <v>1.3747496537234703E-2</v>
      </c>
      <c r="Q1435">
        <v>1.6718592547569514E-3</v>
      </c>
      <c r="R1435">
        <v>3.4164861596379017E-3</v>
      </c>
      <c r="S1435">
        <v>0.36264528562129283</v>
      </c>
      <c r="T1435">
        <v>0.41778328110295199</v>
      </c>
      <c r="U1435">
        <v>0</v>
      </c>
      <c r="V1435">
        <v>0.20591308080194143</v>
      </c>
      <c r="W1435">
        <v>0.22205862855798003</v>
      </c>
      <c r="X1435">
        <v>5.712149032109811E-2</v>
      </c>
      <c r="Y1435">
        <v>9.2985490821745273E-3</v>
      </c>
    </row>
    <row r="1436" spans="1:25" x14ac:dyDescent="0.25">
      <c r="A1436" s="1083"/>
      <c r="B1436" s="1455">
        <v>1186</v>
      </c>
      <c r="C1436" s="1087">
        <v>0.97830938609384166</v>
      </c>
      <c r="D1436" s="1087">
        <v>1.0141983620600916</v>
      </c>
      <c r="E1436" s="1087">
        <v>1.0048617613573168</v>
      </c>
      <c r="F1436" s="1087">
        <v>1.0024703072101639</v>
      </c>
      <c r="G1436" s="1087">
        <v>1.0196005075083452</v>
      </c>
      <c r="H1436" s="1087">
        <v>1.0214289757347397</v>
      </c>
      <c r="I1436" s="1087">
        <v>1.0245643189040832</v>
      </c>
      <c r="K1436">
        <v>1.896454692141589</v>
      </c>
      <c r="L1436">
        <v>0</v>
      </c>
      <c r="M1436">
        <v>3.73145835402578E-3</v>
      </c>
      <c r="N1436">
        <v>0.35961519609773213</v>
      </c>
      <c r="O1436">
        <v>0.24036381275970142</v>
      </c>
      <c r="P1436">
        <v>1.3542214921285461E-2</v>
      </c>
      <c r="Q1436">
        <v>1.6180630055347334E-3</v>
      </c>
      <c r="R1436">
        <v>3.7251686534921081E-3</v>
      </c>
      <c r="S1436">
        <v>0.38357768928910335</v>
      </c>
      <c r="T1436">
        <v>0.40371808573019907</v>
      </c>
      <c r="U1436">
        <v>0</v>
      </c>
      <c r="V1436">
        <v>0.20162443381712197</v>
      </c>
      <c r="W1436">
        <v>0.22837318232843953</v>
      </c>
      <c r="X1436">
        <v>5.3889622819716834E-2</v>
      </c>
      <c r="Y1436">
        <v>1.0138681073288929E-2</v>
      </c>
    </row>
    <row r="1437" spans="1:25" x14ac:dyDescent="0.25">
      <c r="A1437" s="1083"/>
      <c r="B1437" s="1455">
        <v>1187</v>
      </c>
      <c r="C1437" s="1087">
        <v>1.0235896666298308</v>
      </c>
      <c r="D1437" s="1087">
        <v>0.97131438071160081</v>
      </c>
      <c r="E1437" s="1087">
        <v>1.031095755816515</v>
      </c>
      <c r="F1437" s="1087">
        <v>1.0135444081475407</v>
      </c>
      <c r="G1437" s="1087">
        <v>0.98658753842536273</v>
      </c>
      <c r="H1437" s="1087">
        <v>1.0122385358911679</v>
      </c>
      <c r="I1437" s="1087">
        <v>0.99160079910563048</v>
      </c>
      <c r="K1437">
        <v>1.8735064567890649</v>
      </c>
      <c r="L1437">
        <v>0</v>
      </c>
      <c r="M1437">
        <v>3.4280020392645147E-3</v>
      </c>
      <c r="N1437">
        <v>0.35786688726973703</v>
      </c>
      <c r="O1437">
        <v>0.24086294211326148</v>
      </c>
      <c r="P1437">
        <v>1.3549200346427969E-2</v>
      </c>
      <c r="Q1437">
        <v>1.617631125132625E-3</v>
      </c>
      <c r="R1437">
        <v>3.4222062123311549E-3</v>
      </c>
      <c r="S1437">
        <v>0.36205526435393937</v>
      </c>
      <c r="T1437">
        <v>0.40834102644346032</v>
      </c>
      <c r="U1437">
        <v>0</v>
      </c>
      <c r="V1437">
        <v>0.20017623701812667</v>
      </c>
      <c r="W1437">
        <v>0.2236171349846662</v>
      </c>
      <c r="X1437">
        <v>5.6111811781254115E-2</v>
      </c>
      <c r="Y1437">
        <v>9.3141171799907031E-3</v>
      </c>
    </row>
    <row r="1438" spans="1:25" x14ac:dyDescent="0.25">
      <c r="A1438" s="1083"/>
      <c r="B1438" s="1455">
        <v>1188</v>
      </c>
      <c r="C1438" s="1087">
        <v>1.0293958747888083</v>
      </c>
      <c r="D1438" s="1087">
        <v>0.99076364827962149</v>
      </c>
      <c r="E1438" s="1087">
        <v>1.0397475017150106</v>
      </c>
      <c r="F1438" s="1087">
        <v>1.0066567130020969</v>
      </c>
      <c r="G1438" s="1087">
        <v>0.98039089797143819</v>
      </c>
      <c r="H1438" s="1087">
        <v>1.0003079360418179</v>
      </c>
      <c r="I1438" s="1087">
        <v>0.9981136810719069</v>
      </c>
      <c r="K1438">
        <v>1.8464154540429347</v>
      </c>
      <c r="L1438">
        <v>0</v>
      </c>
      <c r="M1438">
        <v>3.2734703378448486E-3</v>
      </c>
      <c r="N1438">
        <v>0.3508446147739312</v>
      </c>
      <c r="O1438">
        <v>0.23750799602495323</v>
      </c>
      <c r="P1438">
        <v>1.3485298364342648E-2</v>
      </c>
      <c r="Q1438">
        <v>1.6103132692215922E-3</v>
      </c>
      <c r="R1438">
        <v>3.2678535609863063E-3</v>
      </c>
      <c r="S1438">
        <v>0.35637946648868329</v>
      </c>
      <c r="T1438">
        <v>0.4056201553058647</v>
      </c>
      <c r="U1438">
        <v>0</v>
      </c>
      <c r="V1438">
        <v>0.19797680750661326</v>
      </c>
      <c r="W1438">
        <v>0.21807813808482526</v>
      </c>
      <c r="X1438">
        <v>5.6024260855988321E-2</v>
      </c>
      <c r="Y1438">
        <v>8.8940201453678626E-3</v>
      </c>
    </row>
    <row r="1439" spans="1:25" x14ac:dyDescent="0.25">
      <c r="A1439" s="1083"/>
      <c r="B1439" s="1455">
        <v>1189</v>
      </c>
      <c r="C1439" s="1087">
        <v>0.98976684406055959</v>
      </c>
      <c r="D1439" s="1087">
        <v>0.96583533549439426</v>
      </c>
      <c r="E1439" s="1087">
        <v>0.99840256637012759</v>
      </c>
      <c r="F1439" s="1087">
        <v>1.0054784357914264</v>
      </c>
      <c r="G1439" s="1087">
        <v>1.010241705984658</v>
      </c>
      <c r="H1439" s="1087">
        <v>1.0443679126505367</v>
      </c>
      <c r="I1439" s="1087">
        <v>0.98676065296748927</v>
      </c>
      <c r="K1439">
        <v>1.9184545211760089</v>
      </c>
      <c r="L1439">
        <v>0</v>
      </c>
      <c r="M1439">
        <v>3.9230668661169961E-3</v>
      </c>
      <c r="N1439">
        <v>0.37072042051370724</v>
      </c>
      <c r="O1439">
        <v>0.24408046951955778</v>
      </c>
      <c r="P1439">
        <v>1.3456335384706433E-2</v>
      </c>
      <c r="Q1439">
        <v>1.6197203759014728E-3</v>
      </c>
      <c r="R1439">
        <v>3.9166429361634208E-3</v>
      </c>
      <c r="S1439">
        <v>0.3793026463149215</v>
      </c>
      <c r="T1439">
        <v>0.40489013164918886</v>
      </c>
      <c r="U1439">
        <v>0</v>
      </c>
      <c r="V1439">
        <v>0.20319242732204357</v>
      </c>
      <c r="W1439">
        <v>0.23637643438951239</v>
      </c>
      <c r="X1439">
        <v>5.4162548685183547E-2</v>
      </c>
      <c r="Y1439">
        <v>1.0659810951239922E-2</v>
      </c>
    </row>
    <row r="1440" spans="1:25" x14ac:dyDescent="0.25">
      <c r="A1440" s="1083"/>
      <c r="B1440" s="1455">
        <v>1190</v>
      </c>
      <c r="C1440" s="1087">
        <v>0.98308556289217741</v>
      </c>
      <c r="D1440" s="1087">
        <v>1.0192343511311108</v>
      </c>
      <c r="E1440" s="1087">
        <v>1.0049135222222492</v>
      </c>
      <c r="F1440" s="1087">
        <v>0.96925855170948161</v>
      </c>
      <c r="G1440" s="1087">
        <v>0.98346656285294232</v>
      </c>
      <c r="H1440" s="1087">
        <v>0.98080606222194977</v>
      </c>
      <c r="I1440" s="1087">
        <v>1.0252115074075574</v>
      </c>
      <c r="K1440">
        <v>1.8341833785077886</v>
      </c>
      <c r="L1440">
        <v>0</v>
      </c>
      <c r="M1440">
        <v>3.5554130181108348E-3</v>
      </c>
      <c r="N1440">
        <v>0.34267868930324391</v>
      </c>
      <c r="O1440">
        <v>0.23531946092971864</v>
      </c>
      <c r="P1440">
        <v>1.3168394686592482E-2</v>
      </c>
      <c r="Q1440">
        <v>1.607103195712903E-3</v>
      </c>
      <c r="R1440">
        <v>3.5491669258686195E-3</v>
      </c>
      <c r="S1440">
        <v>0.37328779672550649</v>
      </c>
      <c r="T1440">
        <v>0.39034324513447266</v>
      </c>
      <c r="U1440">
        <v>0</v>
      </c>
      <c r="V1440">
        <v>0.19795347331005392</v>
      </c>
      <c r="W1440">
        <v>0.21761066266129023</v>
      </c>
      <c r="X1440">
        <v>5.2561136263787521E-2</v>
      </c>
      <c r="Y1440">
        <v>9.6596623896517096E-3</v>
      </c>
    </row>
    <row r="1441" spans="1:25" x14ac:dyDescent="0.25">
      <c r="A1441" s="1083"/>
      <c r="B1441" s="1455">
        <v>1191</v>
      </c>
      <c r="C1441" s="1087">
        <v>1.037101728096355</v>
      </c>
      <c r="D1441" s="1087">
        <v>0.96408091935562701</v>
      </c>
      <c r="E1441" s="1087">
        <v>1.0485392842143995</v>
      </c>
      <c r="F1441" s="1087">
        <v>0.97289416052492161</v>
      </c>
      <c r="G1441" s="1087">
        <v>0.99917813417763601</v>
      </c>
      <c r="H1441" s="1087">
        <v>1.0177841427640657</v>
      </c>
      <c r="I1441" s="1087">
        <v>0.97755686462879277</v>
      </c>
      <c r="K1441">
        <v>1.8456934068449062</v>
      </c>
      <c r="L1441">
        <v>0</v>
      </c>
      <c r="M1441">
        <v>3.2949202622490569E-3</v>
      </c>
      <c r="N1441">
        <v>0.36272842060405741</v>
      </c>
      <c r="O1441">
        <v>0.235433017351041</v>
      </c>
      <c r="P1441">
        <v>1.3326815331353041E-2</v>
      </c>
      <c r="Q1441">
        <v>1.6307651871520334E-3</v>
      </c>
      <c r="R1441">
        <v>3.2893851296193432E-3</v>
      </c>
      <c r="S1441">
        <v>0.35489198279570539</v>
      </c>
      <c r="T1441">
        <v>0.39206935380760377</v>
      </c>
      <c r="U1441">
        <v>0</v>
      </c>
      <c r="V1441">
        <v>0.19577055532782112</v>
      </c>
      <c r="W1441">
        <v>0.22426974811397676</v>
      </c>
      <c r="X1441">
        <v>5.6625661481515148E-2</v>
      </c>
      <c r="Y1441">
        <v>8.952621977307295E-3</v>
      </c>
    </row>
    <row r="1442" spans="1:25" x14ac:dyDescent="0.25">
      <c r="A1442" s="1083"/>
      <c r="B1442" s="1455">
        <v>1192</v>
      </c>
      <c r="C1442" s="1087">
        <v>0.96713344165595183</v>
      </c>
      <c r="D1442" s="1087">
        <v>0.96218696405288495</v>
      </c>
      <c r="E1442" s="1087">
        <v>0.97099476060960277</v>
      </c>
      <c r="F1442" s="1087">
        <v>0.98595689516147955</v>
      </c>
      <c r="G1442" s="1087">
        <v>1.0208918249957544</v>
      </c>
      <c r="H1442" s="1087">
        <v>0.9768608351441852</v>
      </c>
      <c r="I1442" s="1087">
        <v>0.98419684235261451</v>
      </c>
      <c r="K1442">
        <v>1.8668644986904575</v>
      </c>
      <c r="L1442">
        <v>0</v>
      </c>
      <c r="M1442">
        <v>3.9778152525289127E-3</v>
      </c>
      <c r="N1442">
        <v>0.3456616269624887</v>
      </c>
      <c r="O1442">
        <v>0.24442714678419336</v>
      </c>
      <c r="P1442">
        <v>1.3024812864409376E-2</v>
      </c>
      <c r="Q1442">
        <v>1.6119786513029699E-3</v>
      </c>
      <c r="R1442">
        <v>3.9708522939955965E-3</v>
      </c>
      <c r="S1442">
        <v>0.37486382670425944</v>
      </c>
      <c r="T1442">
        <v>0.39686718424797435</v>
      </c>
      <c r="U1442">
        <v>0</v>
      </c>
      <c r="V1442">
        <v>0.20399478531095561</v>
      </c>
      <c r="W1442">
        <v>0.22425005855441552</v>
      </c>
      <c r="X1442">
        <v>5.1362690615839882E-2</v>
      </c>
      <c r="Y1442">
        <v>1.0807350953149098E-2</v>
      </c>
    </row>
    <row r="1443" spans="1:25" x14ac:dyDescent="0.25">
      <c r="A1443" s="1083"/>
      <c r="B1443" s="1455">
        <v>1193</v>
      </c>
      <c r="C1443" s="1087">
        <v>0.98625240608734244</v>
      </c>
      <c r="D1443" s="1087">
        <v>1.0085364836521482</v>
      </c>
      <c r="E1443" s="1087">
        <v>1.0160908761539398</v>
      </c>
      <c r="F1443" s="1087">
        <v>0.97778646506492162</v>
      </c>
      <c r="G1443" s="1087">
        <v>1.0075415475828067</v>
      </c>
      <c r="H1443" s="1087">
        <v>1.0045887026284674</v>
      </c>
      <c r="I1443" s="1087">
        <v>1.0237866334118499</v>
      </c>
      <c r="K1443">
        <v>1.867406028113717</v>
      </c>
      <c r="L1443">
        <v>0</v>
      </c>
      <c r="M1443">
        <v>3.5680219373223506E-3</v>
      </c>
      <c r="N1443">
        <v>0.35583292234393371</v>
      </c>
      <c r="O1443">
        <v>0.23715125929730921</v>
      </c>
      <c r="P1443">
        <v>1.3409644824602688E-2</v>
      </c>
      <c r="Q1443">
        <v>1.6278883414477772E-3</v>
      </c>
      <c r="R1443">
        <v>3.5619111266507061E-3</v>
      </c>
      <c r="S1443">
        <v>0.37833638494763094</v>
      </c>
      <c r="T1443">
        <v>0.3938443489104117</v>
      </c>
      <c r="U1443">
        <v>0</v>
      </c>
      <c r="V1443">
        <v>0.19897088385938513</v>
      </c>
      <c r="W1443">
        <v>0.22440367950887877</v>
      </c>
      <c r="X1443">
        <v>5.4140778987734534E-2</v>
      </c>
      <c r="Y1443">
        <v>9.6943479030558947E-3</v>
      </c>
    </row>
    <row r="1444" spans="1:25" x14ac:dyDescent="0.25">
      <c r="A1444" s="1083"/>
      <c r="B1444" s="1455">
        <v>1194</v>
      </c>
      <c r="C1444" s="1087">
        <v>1.0144213037321437</v>
      </c>
      <c r="D1444" s="1087">
        <v>1.0351518216326652</v>
      </c>
      <c r="E1444" s="1087">
        <v>1.0412768044229122</v>
      </c>
      <c r="F1444" s="1087">
        <v>0.99399087669702935</v>
      </c>
      <c r="G1444" s="1087">
        <v>0.9558711341787971</v>
      </c>
      <c r="H1444" s="1087">
        <v>1.0218519745222239</v>
      </c>
      <c r="I1444" s="1087">
        <v>0.99213712358006678</v>
      </c>
      <c r="K1444">
        <v>1.8408484052292058</v>
      </c>
      <c r="L1444">
        <v>0</v>
      </c>
      <c r="M1444">
        <v>3.3033248031635186E-3</v>
      </c>
      <c r="N1444">
        <v>0.35570480724764852</v>
      </c>
      <c r="O1444">
        <v>0.23347183272961783</v>
      </c>
      <c r="P1444">
        <v>1.337817168291894E-2</v>
      </c>
      <c r="Q1444">
        <v>1.6082515288266253E-3</v>
      </c>
      <c r="R1444">
        <v>3.2977417642529724E-3</v>
      </c>
      <c r="S1444">
        <v>0.35463326978533183</v>
      </c>
      <c r="T1444">
        <v>0.40052607921942646</v>
      </c>
      <c r="U1444">
        <v>0</v>
      </c>
      <c r="V1444">
        <v>0.19614380318105737</v>
      </c>
      <c r="W1444">
        <v>0.22089427451817142</v>
      </c>
      <c r="X1444">
        <v>5.551813239310209E-2</v>
      </c>
      <c r="Y1444">
        <v>8.9753659820161671E-3</v>
      </c>
    </row>
    <row r="1445" spans="1:25" x14ac:dyDescent="0.25">
      <c r="A1445" s="1083"/>
      <c r="B1445" s="1455">
        <v>1195</v>
      </c>
      <c r="C1445" s="1087">
        <v>1.0218449738149993</v>
      </c>
      <c r="D1445" s="1087">
        <v>1.003388215150026</v>
      </c>
      <c r="E1445" s="1087">
        <v>0.98894429170149611</v>
      </c>
      <c r="F1445" s="1087">
        <v>0.99171956046349974</v>
      </c>
      <c r="G1445" s="1087">
        <v>1.0138761357734298</v>
      </c>
      <c r="H1445" s="1087">
        <v>1.0294820564117</v>
      </c>
      <c r="I1445" s="1087">
        <v>0.99111210956978602</v>
      </c>
      <c r="K1445">
        <v>1.8284261118796321</v>
      </c>
      <c r="L1445">
        <v>0</v>
      </c>
      <c r="M1445">
        <v>3.7408500779381004E-3</v>
      </c>
      <c r="N1445">
        <v>0.34342803746126926</v>
      </c>
      <c r="O1445">
        <v>0.23468174940181538</v>
      </c>
      <c r="P1445">
        <v>1.2914510728964993E-2</v>
      </c>
      <c r="Q1445">
        <v>1.5295728725207951E-3</v>
      </c>
      <c r="R1445">
        <v>3.734602432799038E-3</v>
      </c>
      <c r="S1445">
        <v>0.35856753251228063</v>
      </c>
      <c r="T1445">
        <v>0.39929307402749042</v>
      </c>
      <c r="U1445">
        <v>0</v>
      </c>
      <c r="V1445">
        <v>0.19651252011257841</v>
      </c>
      <c r="W1445">
        <v>0.22027856797805623</v>
      </c>
      <c r="X1445">
        <v>5.1062437719074552E-2</v>
      </c>
      <c r="Y1445">
        <v>1.0164356710717875E-2</v>
      </c>
    </row>
    <row r="1446" spans="1:25" x14ac:dyDescent="0.25">
      <c r="A1446" s="1083"/>
      <c r="B1446" s="1455">
        <v>1196</v>
      </c>
      <c r="C1446" s="1087">
        <v>0.9951974885607775</v>
      </c>
      <c r="D1446" s="1087">
        <v>1.0187376719404755</v>
      </c>
      <c r="E1446" s="1087">
        <v>0.98059582742501039</v>
      </c>
      <c r="F1446" s="1087">
        <v>0.99422963889811855</v>
      </c>
      <c r="G1446" s="1087">
        <v>0.975391252896606</v>
      </c>
      <c r="H1446" s="1087">
        <v>1.0181410569933882</v>
      </c>
      <c r="I1446" s="1087">
        <v>0.97241747672091017</v>
      </c>
      <c r="K1446">
        <v>1.8312412275920973</v>
      </c>
      <c r="L1446">
        <v>0</v>
      </c>
      <c r="M1446">
        <v>3.8327466204411591E-3</v>
      </c>
      <c r="N1446">
        <v>0.34299607690847728</v>
      </c>
      <c r="O1446">
        <v>0.23652720055281784</v>
      </c>
      <c r="P1446">
        <v>1.2842772605727408E-2</v>
      </c>
      <c r="Q1446">
        <v>1.5470861965524263E-3</v>
      </c>
      <c r="R1446">
        <v>3.8262609726038566E-3</v>
      </c>
      <c r="S1446">
        <v>0.3561391956141633</v>
      </c>
      <c r="T1446">
        <v>0.40025395623403909</v>
      </c>
      <c r="U1446">
        <v>0</v>
      </c>
      <c r="V1446">
        <v>0.19868583012274749</v>
      </c>
      <c r="W1446">
        <v>0.22116541630669492</v>
      </c>
      <c r="X1446">
        <v>5.06763576578763E-2</v>
      </c>
      <c r="Y1446">
        <v>1.0413821040837068E-2</v>
      </c>
    </row>
    <row r="1447" spans="1:25" x14ac:dyDescent="0.25">
      <c r="A1447" s="1083"/>
      <c r="B1447" s="1455">
        <v>1197</v>
      </c>
      <c r="C1447" s="1087">
        <v>0.97123345454511456</v>
      </c>
      <c r="D1447" s="1087">
        <v>1.0053440640025502</v>
      </c>
      <c r="E1447" s="1087">
        <v>0.98430377015676074</v>
      </c>
      <c r="F1447" s="1087">
        <v>1.0297594727565087</v>
      </c>
      <c r="G1447" s="1087">
        <v>1.0388856957424366</v>
      </c>
      <c r="H1447" s="1087">
        <v>1.0167874595564772</v>
      </c>
      <c r="I1447" s="1087">
        <v>0.99724200850119449</v>
      </c>
      <c r="K1447">
        <v>1.9032438982902293</v>
      </c>
      <c r="L1447">
        <v>0</v>
      </c>
      <c r="M1447">
        <v>3.9207560147335747E-3</v>
      </c>
      <c r="N1447">
        <v>0.35487047050859166</v>
      </c>
      <c r="O1447">
        <v>0.24505859776596337</v>
      </c>
      <c r="P1447">
        <v>1.3437334662499949E-2</v>
      </c>
      <c r="Q1447">
        <v>1.6000399388942546E-3</v>
      </c>
      <c r="R1447">
        <v>3.9141254089200906E-3</v>
      </c>
      <c r="S1447">
        <v>0.37679626694624752</v>
      </c>
      <c r="T1447">
        <v>0.41458029302565136</v>
      </c>
      <c r="U1447">
        <v>0</v>
      </c>
      <c r="V1447">
        <v>0.20511516884488479</v>
      </c>
      <c r="W1447">
        <v>0.22828551268334557</v>
      </c>
      <c r="X1447">
        <v>5.2853885447976347E-2</v>
      </c>
      <c r="Y1447">
        <v>1.065295907198621E-2</v>
      </c>
    </row>
    <row r="1448" spans="1:25" x14ac:dyDescent="0.25">
      <c r="A1448" s="1083"/>
      <c r="B1448" s="1455">
        <v>1198</v>
      </c>
      <c r="C1448" s="1087">
        <v>1.0404383882635326</v>
      </c>
      <c r="D1448" s="1087">
        <v>0.98594830650980414</v>
      </c>
      <c r="E1448" s="1087">
        <v>0.97429874108083536</v>
      </c>
      <c r="F1448" s="1087">
        <v>1.0278093595088809</v>
      </c>
      <c r="G1448" s="1087">
        <v>0.95364139524162872</v>
      </c>
      <c r="H1448" s="1087">
        <v>1.0054034332555879</v>
      </c>
      <c r="I1448" s="1087">
        <v>0.98551182720926711</v>
      </c>
      <c r="K1448">
        <v>1.8138656226144425</v>
      </c>
      <c r="L1448">
        <v>0</v>
      </c>
      <c r="M1448">
        <v>3.7310793830279631E-3</v>
      </c>
      <c r="N1448">
        <v>0.32752757213601547</v>
      </c>
      <c r="O1448">
        <v>0.23815787549167847</v>
      </c>
      <c r="P1448">
        <v>1.2866425574945441E-2</v>
      </c>
      <c r="Q1448">
        <v>1.4891632082416476E-3</v>
      </c>
      <c r="R1448">
        <v>3.7247128408213382E-3</v>
      </c>
      <c r="S1448">
        <v>0.34921440493534361</v>
      </c>
      <c r="T1448">
        <v>0.41373379967696045</v>
      </c>
      <c r="U1448">
        <v>0</v>
      </c>
      <c r="V1448">
        <v>0.19848764913825179</v>
      </c>
      <c r="W1448">
        <v>0.21203814894254522</v>
      </c>
      <c r="X1448">
        <v>5.0219509551205799E-2</v>
      </c>
      <c r="Y1448">
        <v>1.0137440501457696E-2</v>
      </c>
    </row>
    <row r="1449" spans="1:25" x14ac:dyDescent="0.25">
      <c r="A1449" s="1083"/>
      <c r="B1449" s="1455">
        <v>1199</v>
      </c>
      <c r="C1449" s="1087">
        <v>1.0415090546680039</v>
      </c>
      <c r="D1449" s="1087">
        <v>0.98385122935659741</v>
      </c>
      <c r="E1449" s="1087">
        <v>0.97553191887102231</v>
      </c>
      <c r="F1449" s="1087">
        <v>1.0012833624620736</v>
      </c>
      <c r="G1449" s="1087">
        <v>0.98464576575983964</v>
      </c>
      <c r="H1449" s="1087">
        <v>1.0147141269173818</v>
      </c>
      <c r="I1449" s="1087">
        <v>0.9873510146043738</v>
      </c>
      <c r="K1449">
        <v>1.8056914241998001</v>
      </c>
      <c r="L1449">
        <v>0</v>
      </c>
      <c r="M1449">
        <v>3.7573831703248098E-3</v>
      </c>
      <c r="N1449">
        <v>0.33108797481724361</v>
      </c>
      <c r="O1449">
        <v>0.2352531086474389</v>
      </c>
      <c r="P1449">
        <v>1.273768831661796E-2</v>
      </c>
      <c r="Q1449">
        <v>1.4908833225216851E-3</v>
      </c>
      <c r="R1449">
        <v>3.7510337264930207E-3</v>
      </c>
      <c r="S1449">
        <v>0.35158123258478574</v>
      </c>
      <c r="T1449">
        <v>0.40306338596314534</v>
      </c>
      <c r="U1449">
        <v>0</v>
      </c>
      <c r="V1449">
        <v>0.1962752073331745</v>
      </c>
      <c r="W1449">
        <v>0.21417487458086601</v>
      </c>
      <c r="X1449">
        <v>4.9824340802260572E-2</v>
      </c>
      <c r="Y1449">
        <v>1.0209077275578389E-2</v>
      </c>
    </row>
    <row r="1450" spans="1:25" x14ac:dyDescent="0.25">
      <c r="A1450" s="1083"/>
      <c r="B1450" s="1455">
        <v>1200</v>
      </c>
      <c r="C1450" s="1087">
        <v>1.0067083614209371</v>
      </c>
      <c r="D1450" s="1087">
        <v>1.0070608064774786</v>
      </c>
      <c r="E1450" s="1087">
        <v>1.039634633983731</v>
      </c>
      <c r="F1450" s="1087">
        <v>0.9943034112202167</v>
      </c>
      <c r="G1450" s="1087">
        <v>0.98869158983741279</v>
      </c>
      <c r="H1450" s="1087">
        <v>1.0288150767707356</v>
      </c>
      <c r="I1450" s="1087">
        <v>0.99151102481349174</v>
      </c>
      <c r="K1450">
        <v>1.8739286619706834</v>
      </c>
      <c r="L1450">
        <v>0</v>
      </c>
      <c r="M1450">
        <v>3.4135555476997813E-3</v>
      </c>
      <c r="N1450">
        <v>0.36574914276423648</v>
      </c>
      <c r="O1450">
        <v>0.23713648925582334</v>
      </c>
      <c r="P1450">
        <v>1.3525402191314814E-2</v>
      </c>
      <c r="Q1450">
        <v>1.6357001371430397E-3</v>
      </c>
      <c r="R1450">
        <v>3.4078482235118373E-3</v>
      </c>
      <c r="S1450">
        <v>0.36384105438385911</v>
      </c>
      <c r="T1450">
        <v>0.40064184293634536</v>
      </c>
      <c r="U1450">
        <v>0</v>
      </c>
      <c r="V1450">
        <v>0.19842522001187449</v>
      </c>
      <c r="W1450">
        <v>0.22735806450264132</v>
      </c>
      <c r="X1450">
        <v>5.6346413644098384E-2</v>
      </c>
      <c r="Y1450">
        <v>9.2750394675342619E-3</v>
      </c>
    </row>
    <row r="1451" spans="1:25" x14ac:dyDescent="0.25">
      <c r="A1451" s="1083"/>
      <c r="B1451" s="1455">
        <v>1201</v>
      </c>
      <c r="C1451" s="1087">
        <v>1.0178327327898471</v>
      </c>
      <c r="D1451" s="1087">
        <v>1.000789303924067</v>
      </c>
      <c r="E1451" s="1087">
        <v>0.98950806883606734</v>
      </c>
      <c r="F1451" s="1087">
        <v>1.0020841430438894</v>
      </c>
      <c r="G1451" s="1087">
        <v>0.99269671765935119</v>
      </c>
      <c r="H1451" s="1087">
        <v>0.98247833585493094</v>
      </c>
      <c r="I1451" s="1087">
        <v>1.0016708709779703</v>
      </c>
      <c r="K1451">
        <v>1.8105100783662524</v>
      </c>
      <c r="L1451">
        <v>0</v>
      </c>
      <c r="M1451">
        <v>3.5850229048632622E-3</v>
      </c>
      <c r="N1451">
        <v>0.32966335726061924</v>
      </c>
      <c r="O1451">
        <v>0.23662032294575583</v>
      </c>
      <c r="P1451">
        <v>1.2960711170058328E-2</v>
      </c>
      <c r="Q1451">
        <v>1.5381251352021093E-3</v>
      </c>
      <c r="R1451">
        <v>3.5787513460222974E-3</v>
      </c>
      <c r="S1451">
        <v>0.35596113555226866</v>
      </c>
      <c r="T1451">
        <v>0.40346953159334326</v>
      </c>
      <c r="U1451">
        <v>0</v>
      </c>
      <c r="V1451">
        <v>0.19795099147112133</v>
      </c>
      <c r="W1451">
        <v>0.21137466983938419</v>
      </c>
      <c r="X1451">
        <v>5.1237323528530138E-2</v>
      </c>
      <c r="Y1451">
        <v>9.7401814288085344E-3</v>
      </c>
    </row>
    <row r="1452" spans="1:25" x14ac:dyDescent="0.25">
      <c r="A1452" s="1083"/>
      <c r="B1452" s="1455">
        <v>1202</v>
      </c>
      <c r="C1452" s="1087">
        <v>1.0281033405255249</v>
      </c>
      <c r="D1452" s="1087">
        <v>1.018105014688204</v>
      </c>
      <c r="E1452" s="1087">
        <v>1.0116046920710935</v>
      </c>
      <c r="F1452" s="1087">
        <v>1.0108026975844093</v>
      </c>
      <c r="G1452" s="1087">
        <v>1.0167478643259225</v>
      </c>
      <c r="H1452" s="1087">
        <v>1.0182676161133728</v>
      </c>
      <c r="I1452" s="1087">
        <v>0.98397031234369414</v>
      </c>
      <c r="K1452">
        <v>1.8245664520620386</v>
      </c>
      <c r="L1452">
        <v>0</v>
      </c>
      <c r="M1452">
        <v>3.4825101913328713E-3</v>
      </c>
      <c r="N1452">
        <v>0.34259428977082013</v>
      </c>
      <c r="O1452">
        <v>0.23499221319531738</v>
      </c>
      <c r="P1452">
        <v>1.311833080395346E-2</v>
      </c>
      <c r="Q1452">
        <v>1.5483681359682788E-3</v>
      </c>
      <c r="R1452">
        <v>3.4766162788177251E-3</v>
      </c>
      <c r="S1452">
        <v>0.34925264116274835</v>
      </c>
      <c r="T1452">
        <v>0.407115271406506</v>
      </c>
      <c r="U1452">
        <v>0</v>
      </c>
      <c r="V1452">
        <v>0.1968344115945484</v>
      </c>
      <c r="W1452">
        <v>0.21665500710082108</v>
      </c>
      <c r="X1452">
        <v>5.2999609359177566E-2</v>
      </c>
      <c r="Y1452">
        <v>9.4622034446935465E-3</v>
      </c>
    </row>
    <row r="1453" spans="1:25" x14ac:dyDescent="0.25">
      <c r="A1453" s="1083"/>
      <c r="B1453" s="1455">
        <v>1203</v>
      </c>
      <c r="C1453" s="1087">
        <v>0.99059115436583034</v>
      </c>
      <c r="D1453" s="1087">
        <v>1.024208613980895</v>
      </c>
      <c r="E1453" s="1087">
        <v>0.97918335993820638</v>
      </c>
      <c r="F1453" s="1087">
        <v>1.003964922845161</v>
      </c>
      <c r="G1453" s="1087">
        <v>1.0293758108432172</v>
      </c>
      <c r="H1453" s="1087">
        <v>1.0335062284359064</v>
      </c>
      <c r="I1453" s="1087">
        <v>1.0202281472485271</v>
      </c>
      <c r="K1453">
        <v>1.8680104169700773</v>
      </c>
      <c r="L1453">
        <v>0</v>
      </c>
      <c r="M1453">
        <v>3.908606706316718E-3</v>
      </c>
      <c r="N1453">
        <v>0.34828652361612966</v>
      </c>
      <c r="O1453">
        <v>0.23767253070959893</v>
      </c>
      <c r="P1453">
        <v>1.3176991230406108E-2</v>
      </c>
      <c r="Q1453">
        <v>1.5485969931602278E-3</v>
      </c>
      <c r="R1453">
        <v>3.9020860914481563E-3</v>
      </c>
      <c r="S1453">
        <v>0.37709303650584686</v>
      </c>
      <c r="T1453">
        <v>0.40416468938706873</v>
      </c>
      <c r="U1453">
        <v>0</v>
      </c>
      <c r="V1453">
        <v>0.19972564830671335</v>
      </c>
      <c r="W1453">
        <v>0.22477803683631525</v>
      </c>
      <c r="X1453">
        <v>5.0950691981121184E-2</v>
      </c>
      <c r="Y1453">
        <v>1.0620192018587542E-2</v>
      </c>
    </row>
    <row r="1454" spans="1:25" x14ac:dyDescent="0.25">
      <c r="A1454" s="1083"/>
      <c r="B1454" s="1455">
        <v>1204</v>
      </c>
      <c r="C1454" s="1087">
        <v>1.0453061087819107</v>
      </c>
      <c r="D1454" s="1087">
        <v>0.99014624861887401</v>
      </c>
      <c r="E1454" s="1087">
        <v>0.98828713028255133</v>
      </c>
      <c r="F1454" s="1087">
        <v>0.96867967734375493</v>
      </c>
      <c r="G1454" s="1087">
        <v>1.0097664787807057</v>
      </c>
      <c r="H1454" s="1087">
        <v>1.0075237956490499</v>
      </c>
      <c r="I1454" s="1087">
        <v>0.98566862413134648</v>
      </c>
      <c r="K1454">
        <v>1.7775776450179592</v>
      </c>
      <c r="L1454">
        <v>0</v>
      </c>
      <c r="M1454">
        <v>3.6094098812456373E-3</v>
      </c>
      <c r="N1454">
        <v>0.33068575919370574</v>
      </c>
      <c r="O1454">
        <v>0.2305871495069633</v>
      </c>
      <c r="P1454">
        <v>1.2581892097017995E-2</v>
      </c>
      <c r="Q1454">
        <v>1.50215117646864E-3</v>
      </c>
      <c r="R1454">
        <v>3.6032616741325839E-3</v>
      </c>
      <c r="S1454">
        <v>0.34738188758720723</v>
      </c>
      <c r="T1454">
        <v>0.39001276924252859</v>
      </c>
      <c r="U1454">
        <v>0</v>
      </c>
      <c r="V1454">
        <v>0.19285868754086971</v>
      </c>
      <c r="W1454">
        <v>0.21219338948847821</v>
      </c>
      <c r="X1454">
        <v>4.997321692973599E-2</v>
      </c>
      <c r="Y1454">
        <v>9.806890462097248E-3</v>
      </c>
    </row>
    <row r="1455" spans="1:25" x14ac:dyDescent="0.25">
      <c r="A1455" s="1083"/>
      <c r="B1455" s="1455">
        <v>1205</v>
      </c>
      <c r="C1455" s="1087">
        <v>1.0363088431733058</v>
      </c>
      <c r="D1455" s="1087">
        <v>0.98892791868399565</v>
      </c>
      <c r="E1455" s="1087">
        <v>0.99334594393825071</v>
      </c>
      <c r="F1455" s="1087">
        <v>1.0299578722470357</v>
      </c>
      <c r="G1455" s="1087">
        <v>0.99385883027267019</v>
      </c>
      <c r="H1455" s="1087">
        <v>1.001150738702876</v>
      </c>
      <c r="I1455" s="1087">
        <v>1.0254837961438348</v>
      </c>
      <c r="K1455">
        <v>1.8393530097040611</v>
      </c>
      <c r="L1455">
        <v>0</v>
      </c>
      <c r="M1455">
        <v>3.5820634882271535E-3</v>
      </c>
      <c r="N1455">
        <v>0.33328587937481147</v>
      </c>
      <c r="O1455">
        <v>0.23885395243583735</v>
      </c>
      <c r="P1455">
        <v>1.3270193335109419E-2</v>
      </c>
      <c r="Q1455">
        <v>1.5241722542879144E-3</v>
      </c>
      <c r="R1455">
        <v>3.5759226297584516E-3</v>
      </c>
      <c r="S1455">
        <v>0.36366536259408794</v>
      </c>
      <c r="T1455">
        <v>0.41471614634588039</v>
      </c>
      <c r="U1455">
        <v>0</v>
      </c>
      <c r="V1455">
        <v>0.19903958130003707</v>
      </c>
      <c r="W1455">
        <v>0.21318222957293775</v>
      </c>
      <c r="X1455">
        <v>5.208915075391643E-2</v>
      </c>
      <c r="Y1455">
        <v>9.7324825956244167E-3</v>
      </c>
    </row>
    <row r="1456" spans="1:25" x14ac:dyDescent="0.25">
      <c r="A1456" s="1083"/>
      <c r="B1456" s="1455">
        <v>1206</v>
      </c>
      <c r="C1456" s="1087">
        <v>0.9766203902119831</v>
      </c>
      <c r="D1456" s="1087">
        <v>0.99088925304996245</v>
      </c>
      <c r="E1456" s="1087">
        <v>0.98904369366352707</v>
      </c>
      <c r="F1456" s="1087">
        <v>0.98702581337406214</v>
      </c>
      <c r="G1456" s="1087">
        <v>1.0118331279011961</v>
      </c>
      <c r="H1456" s="1087">
        <v>0.95406384189801197</v>
      </c>
      <c r="I1456" s="1087">
        <v>1.0123704518943568</v>
      </c>
      <c r="K1456">
        <v>1.8384296761717545</v>
      </c>
      <c r="L1456">
        <v>0</v>
      </c>
      <c r="M1456">
        <v>3.6511058260699299E-3</v>
      </c>
      <c r="N1456">
        <v>0.33524755840720144</v>
      </c>
      <c r="O1456">
        <v>0.24077804161877345</v>
      </c>
      <c r="P1456">
        <v>1.3135582137034685E-2</v>
      </c>
      <c r="Q1456">
        <v>1.6086190700340102E-3</v>
      </c>
      <c r="R1456">
        <v>3.6445373446027693E-3</v>
      </c>
      <c r="S1456">
        <v>0.37163635590609612</v>
      </c>
      <c r="T1456">
        <v>0.39740383450226902</v>
      </c>
      <c r="U1456">
        <v>0</v>
      </c>
      <c r="V1456">
        <v>0.20159517101886484</v>
      </c>
      <c r="W1456">
        <v>0.21501805155595285</v>
      </c>
      <c r="X1456">
        <v>5.209380120639788E-2</v>
      </c>
      <c r="Y1456">
        <v>9.919229230595978E-3</v>
      </c>
    </row>
    <row r="1457" spans="1:25" x14ac:dyDescent="0.25">
      <c r="A1457" s="1083"/>
      <c r="B1457" s="1455">
        <v>1207</v>
      </c>
      <c r="C1457" s="1087">
        <v>1.0031836593907368</v>
      </c>
      <c r="D1457" s="1087">
        <v>1.0041568796036975</v>
      </c>
      <c r="E1457" s="1087">
        <v>1.0301414516804803</v>
      </c>
      <c r="F1457" s="1087">
        <v>1.0072249680821026</v>
      </c>
      <c r="G1457" s="1087">
        <v>0.98394353655140909</v>
      </c>
      <c r="H1457" s="1087">
        <v>0.98234320630650596</v>
      </c>
      <c r="I1457" s="1087">
        <v>0.99146789778491207</v>
      </c>
      <c r="K1457">
        <v>1.8469645634194443</v>
      </c>
      <c r="L1457">
        <v>0</v>
      </c>
      <c r="M1457">
        <v>3.3405058815159025E-3</v>
      </c>
      <c r="N1457">
        <v>0.34770008616052206</v>
      </c>
      <c r="O1457">
        <v>0.23922300257834769</v>
      </c>
      <c r="P1457">
        <v>1.3434855774246504E-2</v>
      </c>
      <c r="Q1457">
        <v>1.6270972763005962E-3</v>
      </c>
      <c r="R1457">
        <v>3.3346588435837193E-3</v>
      </c>
      <c r="S1457">
        <v>0.35725742524499271</v>
      </c>
      <c r="T1457">
        <v>0.40578907533734415</v>
      </c>
      <c r="U1457">
        <v>0</v>
      </c>
      <c r="V1457">
        <v>0.20000181604409767</v>
      </c>
      <c r="W1457">
        <v>0.21739094167251785</v>
      </c>
      <c r="X1457">
        <v>5.5470268266762865E-2</v>
      </c>
      <c r="Y1457">
        <v>9.075842102242531E-3</v>
      </c>
    </row>
    <row r="1458" spans="1:25" x14ac:dyDescent="0.25">
      <c r="A1458" s="1083"/>
      <c r="B1458" s="1455">
        <v>1208</v>
      </c>
      <c r="C1458" s="1087">
        <v>0.96563762591736169</v>
      </c>
      <c r="D1458" s="1087">
        <v>1.0004531013390607</v>
      </c>
      <c r="E1458" s="1087">
        <v>1.0138609238437348</v>
      </c>
      <c r="F1458" s="1087">
        <v>1.0064517138217179</v>
      </c>
      <c r="G1458" s="1087">
        <v>0.9959916569577919</v>
      </c>
      <c r="H1458" s="1087">
        <v>0.99878575179880646</v>
      </c>
      <c r="I1458" s="1087">
        <v>1.0106993565563851</v>
      </c>
      <c r="K1458">
        <v>1.9069718979714632</v>
      </c>
      <c r="L1458">
        <v>0</v>
      </c>
      <c r="M1458">
        <v>3.6558297993617987E-3</v>
      </c>
      <c r="N1458">
        <v>0.36211702068814305</v>
      </c>
      <c r="O1458">
        <v>0.24392697296329019</v>
      </c>
      <c r="P1458">
        <v>1.3669722281239555E-2</v>
      </c>
      <c r="Q1458">
        <v>1.664073249555891E-3</v>
      </c>
      <c r="R1458">
        <v>3.6495397176056301E-3</v>
      </c>
      <c r="S1458">
        <v>0.38205891579804929</v>
      </c>
      <c r="T1458">
        <v>0.40537673307044064</v>
      </c>
      <c r="U1458">
        <v>0</v>
      </c>
      <c r="V1458">
        <v>0.20417718782107222</v>
      </c>
      <c r="W1458">
        <v>0.22868155240535676</v>
      </c>
      <c r="X1458">
        <v>5.5373165735194158E-2</v>
      </c>
      <c r="Y1458">
        <v>9.93284404087795E-3</v>
      </c>
    </row>
    <row r="1459" spans="1:25" x14ac:dyDescent="0.25">
      <c r="A1459" s="1083"/>
      <c r="B1459" s="1455">
        <v>1209</v>
      </c>
      <c r="C1459" s="1087">
        <v>0.99224103444643541</v>
      </c>
      <c r="D1459" s="1087">
        <v>1.0220943126425386</v>
      </c>
      <c r="E1459" s="1087">
        <v>1.044907525226817</v>
      </c>
      <c r="F1459" s="1087">
        <v>1.0101489130085783</v>
      </c>
      <c r="G1459" s="1087">
        <v>0.99253303222415179</v>
      </c>
      <c r="H1459" s="1087">
        <v>1.0162482464274059</v>
      </c>
      <c r="I1459" s="1087">
        <v>1.0324697012888522</v>
      </c>
      <c r="K1459">
        <v>1.8999458002108511</v>
      </c>
      <c r="L1459">
        <v>0</v>
      </c>
      <c r="M1459">
        <v>3.3571063860537748E-3</v>
      </c>
      <c r="N1459">
        <v>0.3655087441167339</v>
      </c>
      <c r="O1459">
        <v>0.23934249019174245</v>
      </c>
      <c r="P1459">
        <v>1.3911020942827616E-2</v>
      </c>
      <c r="Q1459">
        <v>1.6588372721584911E-3</v>
      </c>
      <c r="R1459">
        <v>3.3514122155246209E-3</v>
      </c>
      <c r="S1459">
        <v>0.37897740504785532</v>
      </c>
      <c r="T1459">
        <v>0.40705980449361678</v>
      </c>
      <c r="U1459">
        <v>0</v>
      </c>
      <c r="V1459">
        <v>0.20058027951596288</v>
      </c>
      <c r="W1459">
        <v>0.22648452725652746</v>
      </c>
      <c r="X1459">
        <v>5.7306946286035935E-2</v>
      </c>
      <c r="Y1459">
        <v>9.1214392579180899E-3</v>
      </c>
    </row>
    <row r="1460" spans="1:25" x14ac:dyDescent="0.25">
      <c r="A1460" s="1083"/>
      <c r="B1460" s="1455">
        <v>1210</v>
      </c>
      <c r="C1460" s="1087">
        <v>0.98062279819928633</v>
      </c>
      <c r="D1460" s="1087">
        <v>1.0029514158771029</v>
      </c>
      <c r="E1460" s="1087">
        <v>1.0290373585469319</v>
      </c>
      <c r="F1460" s="1087">
        <v>0.96657721204759484</v>
      </c>
      <c r="G1460" s="1087">
        <v>0.96702077509114026</v>
      </c>
      <c r="H1460" s="1087">
        <v>0.99365468686728853</v>
      </c>
      <c r="I1460" s="1087">
        <v>0.98448077566885817</v>
      </c>
      <c r="K1460">
        <v>1.8549104475730704</v>
      </c>
      <c r="L1460">
        <v>0</v>
      </c>
      <c r="M1460">
        <v>3.4662648886743118E-3</v>
      </c>
      <c r="N1460">
        <v>0.35958605708427982</v>
      </c>
      <c r="O1460">
        <v>0.23719003139088535</v>
      </c>
      <c r="P1460">
        <v>1.3291451414646301E-2</v>
      </c>
      <c r="Q1460">
        <v>1.6634028084888785E-3</v>
      </c>
      <c r="R1460">
        <v>3.4602668626784634E-3</v>
      </c>
      <c r="S1460">
        <v>0.3651599077428429</v>
      </c>
      <c r="T1460">
        <v>0.3894063768395537</v>
      </c>
      <c r="U1460">
        <v>0</v>
      </c>
      <c r="V1460">
        <v>0.19896372836639006</v>
      </c>
      <c r="W1460">
        <v>0.22497409881904357</v>
      </c>
      <c r="X1460">
        <v>5.5263685409387336E-2</v>
      </c>
      <c r="Y1460">
        <v>9.4177057235460583E-3</v>
      </c>
    </row>
    <row r="1461" spans="1:25" x14ac:dyDescent="0.25">
      <c r="A1461" s="1083"/>
      <c r="B1461" s="1455">
        <v>1211</v>
      </c>
      <c r="C1461" s="1087">
        <v>1.0385954014533625</v>
      </c>
      <c r="D1461" s="1087">
        <v>1.0209198795607222</v>
      </c>
      <c r="E1461" s="1087">
        <v>0.98494186714102239</v>
      </c>
      <c r="F1461" s="1087">
        <v>0.97229762066592806</v>
      </c>
      <c r="G1461" s="1087">
        <v>0.97336467596767595</v>
      </c>
      <c r="H1461" s="1087">
        <v>0.98552917959696951</v>
      </c>
      <c r="I1461" s="1087">
        <v>0.99927790851379361</v>
      </c>
      <c r="K1461">
        <v>1.7541626328645645</v>
      </c>
      <c r="L1461">
        <v>0</v>
      </c>
      <c r="M1461">
        <v>3.5188429157376206E-3</v>
      </c>
      <c r="N1461">
        <v>0.31909602420474631</v>
      </c>
      <c r="O1461">
        <v>0.22876703773163048</v>
      </c>
      <c r="P1461">
        <v>1.252449630287163E-2</v>
      </c>
      <c r="Q1461">
        <v>1.488109675788842E-3</v>
      </c>
      <c r="R1461">
        <v>3.512688395745262E-3</v>
      </c>
      <c r="S1461">
        <v>0.34465975258306297</v>
      </c>
      <c r="T1461">
        <v>0.39144991771028192</v>
      </c>
      <c r="U1461">
        <v>0</v>
      </c>
      <c r="V1461">
        <v>0.1922408247648362</v>
      </c>
      <c r="W1461">
        <v>0.20518930101015487</v>
      </c>
      <c r="X1461">
        <v>4.9192943545384712E-2</v>
      </c>
      <c r="Y1461">
        <v>9.5603798558001538E-3</v>
      </c>
    </row>
    <row r="1462" spans="1:25" x14ac:dyDescent="0.25">
      <c r="A1462" s="1083"/>
      <c r="B1462" s="1455">
        <v>1212</v>
      </c>
      <c r="C1462" s="1087">
        <v>1.007850476718047</v>
      </c>
      <c r="D1462" s="1087">
        <v>0.98079960030293423</v>
      </c>
      <c r="E1462" s="1087">
        <v>1.013357723201304</v>
      </c>
      <c r="F1462" s="1087">
        <v>0.99710565623088954</v>
      </c>
      <c r="G1462" s="1087">
        <v>0.98044233892349275</v>
      </c>
      <c r="H1462" s="1087">
        <v>1.0016464146584145</v>
      </c>
      <c r="I1462" s="1087">
        <v>0.97436672458001872</v>
      </c>
      <c r="K1462">
        <v>1.8504597132069407</v>
      </c>
      <c r="L1462">
        <v>0</v>
      </c>
      <c r="M1462">
        <v>3.5541359660947506E-3</v>
      </c>
      <c r="N1462">
        <v>0.35150778412213046</v>
      </c>
      <c r="O1462">
        <v>0.23956902150937645</v>
      </c>
      <c r="P1462">
        <v>1.3210955161327021E-2</v>
      </c>
      <c r="Q1462">
        <v>1.6062230602144644E-3</v>
      </c>
      <c r="R1462">
        <v>3.5480550513201383E-3</v>
      </c>
      <c r="S1462">
        <v>0.35729569024507851</v>
      </c>
      <c r="T1462">
        <v>0.40160927619202885</v>
      </c>
      <c r="U1462">
        <v>0</v>
      </c>
      <c r="V1462">
        <v>0.1997860203487834</v>
      </c>
      <c r="W1462">
        <v>0.22205077773250967</v>
      </c>
      <c r="X1462">
        <v>5.4173409516607172E-2</v>
      </c>
      <c r="Y1462">
        <v>9.6566362336600892E-3</v>
      </c>
    </row>
    <row r="1463" spans="1:25" x14ac:dyDescent="0.25">
      <c r="A1463" s="1083"/>
      <c r="B1463" s="1455">
        <v>1213</v>
      </c>
      <c r="C1463" s="1087">
        <v>0.99026155292533857</v>
      </c>
      <c r="D1463" s="1087">
        <v>0.97201759808144794</v>
      </c>
      <c r="E1463" s="1087">
        <v>1.0004398441709133</v>
      </c>
      <c r="F1463" s="1087">
        <v>0.99335443527236067</v>
      </c>
      <c r="G1463" s="1087">
        <v>0.96239526571908529</v>
      </c>
      <c r="H1463" s="1087">
        <v>1.0272644782749214</v>
      </c>
      <c r="I1463" s="1087">
        <v>0.99491383410919865</v>
      </c>
      <c r="K1463">
        <v>1.8963150368736852</v>
      </c>
      <c r="L1463">
        <v>0</v>
      </c>
      <c r="M1463">
        <v>3.8274115085586203E-3</v>
      </c>
      <c r="N1463">
        <v>0.36392642594144226</v>
      </c>
      <c r="O1463">
        <v>0.24194054509062587</v>
      </c>
      <c r="P1463">
        <v>1.336926056206458E-2</v>
      </c>
      <c r="Q1463">
        <v>1.6182950104554046E-3</v>
      </c>
      <c r="R1463">
        <v>3.8210337851012897E-3</v>
      </c>
      <c r="S1463">
        <v>0.37774111919558279</v>
      </c>
      <c r="T1463">
        <v>0.40002024711533146</v>
      </c>
      <c r="U1463">
        <v>0</v>
      </c>
      <c r="V1463">
        <v>0.20174469059523945</v>
      </c>
      <c r="W1463">
        <v>0.23174917147152582</v>
      </c>
      <c r="X1463">
        <v>5.3812065255275869E-2</v>
      </c>
      <c r="Y1463">
        <v>1.0399594359596977E-2</v>
      </c>
    </row>
    <row r="1464" spans="1:25" x14ac:dyDescent="0.25">
      <c r="A1464" s="1083"/>
      <c r="B1464" s="1455">
        <v>1214</v>
      </c>
      <c r="C1464" s="1087">
        <v>1.0285882738913463</v>
      </c>
      <c r="D1464" s="1087">
        <v>0.97387024600567074</v>
      </c>
      <c r="E1464" s="1087">
        <v>1.0343863367329611</v>
      </c>
      <c r="F1464" s="1087">
        <v>1.0125425480698238</v>
      </c>
      <c r="G1464" s="1087">
        <v>0.96220439220276721</v>
      </c>
      <c r="H1464" s="1087">
        <v>0.99240581082749524</v>
      </c>
      <c r="I1464" s="1087">
        <v>1.0137600627823513</v>
      </c>
      <c r="K1464">
        <v>1.8597238108377407</v>
      </c>
      <c r="L1464">
        <v>0</v>
      </c>
      <c r="M1464">
        <v>3.3171383232305845E-3</v>
      </c>
      <c r="N1464">
        <v>0.34976773855038795</v>
      </c>
      <c r="O1464">
        <v>0.2399348846327031</v>
      </c>
      <c r="P1464">
        <v>1.3596595312297214E-2</v>
      </c>
      <c r="Q1464">
        <v>1.6136325935975373E-3</v>
      </c>
      <c r="R1464">
        <v>3.3114155663250219E-3</v>
      </c>
      <c r="S1464">
        <v>0.36424173588899922</v>
      </c>
      <c r="T1464">
        <v>0.40795804196431784</v>
      </c>
      <c r="U1464">
        <v>0</v>
      </c>
      <c r="V1464">
        <v>0.199449588791315</v>
      </c>
      <c r="W1464">
        <v>0.2181182618689482</v>
      </c>
      <c r="X1464">
        <v>5.6036472428392228E-2</v>
      </c>
      <c r="Y1464">
        <v>9.0125815636886448E-3</v>
      </c>
    </row>
    <row r="1465" spans="1:25" x14ac:dyDescent="0.25">
      <c r="A1465" s="1083"/>
      <c r="B1465" s="1455">
        <v>1215</v>
      </c>
      <c r="C1465" s="1087">
        <v>1.0364237615394847</v>
      </c>
      <c r="D1465" s="1087">
        <v>1.0331170821219997</v>
      </c>
      <c r="E1465" s="1087">
        <v>1.0138276433271267</v>
      </c>
      <c r="F1465" s="1087">
        <v>1.0002113967162001</v>
      </c>
      <c r="G1465" s="1087">
        <v>0.96909409412349123</v>
      </c>
      <c r="H1465" s="1087">
        <v>0.98106490481759279</v>
      </c>
      <c r="I1465" s="1087">
        <v>0.99531363457820343</v>
      </c>
      <c r="K1465">
        <v>1.776428213419631</v>
      </c>
      <c r="L1465">
        <v>0</v>
      </c>
      <c r="M1465">
        <v>3.2866121878516404E-3</v>
      </c>
      <c r="N1465">
        <v>0.32549925444273708</v>
      </c>
      <c r="O1465">
        <v>0.23139489472080477</v>
      </c>
      <c r="P1465">
        <v>1.2936543811140106E-2</v>
      </c>
      <c r="Q1465">
        <v>1.5305687530219919E-3</v>
      </c>
      <c r="R1465">
        <v>3.2808261454174087E-3</v>
      </c>
      <c r="S1465">
        <v>0.34125444068291994</v>
      </c>
      <c r="T1465">
        <v>0.40286306619007295</v>
      </c>
      <c r="U1465">
        <v>0</v>
      </c>
      <c r="V1465">
        <v>0.19433748903979353</v>
      </c>
      <c r="W1465">
        <v>0.20556119268971382</v>
      </c>
      <c r="X1465">
        <v>5.2127221888082012E-2</v>
      </c>
      <c r="Y1465">
        <v>8.9293272437780177E-3</v>
      </c>
    </row>
    <row r="1466" spans="1:25" x14ac:dyDescent="0.25">
      <c r="A1466" s="1083"/>
      <c r="B1466" s="1455">
        <v>1216</v>
      </c>
      <c r="C1466" s="1087">
        <v>1.003809498213017</v>
      </c>
      <c r="D1466" s="1087">
        <v>0.98631314661734348</v>
      </c>
      <c r="E1466" s="1087">
        <v>0.97923642205328287</v>
      </c>
      <c r="F1466" s="1087">
        <v>0.99318921489443468</v>
      </c>
      <c r="G1466" s="1087">
        <v>0.96150269050805837</v>
      </c>
      <c r="H1466" s="1087">
        <v>0.97458302137001318</v>
      </c>
      <c r="I1466" s="1087">
        <v>1.0248342679344018</v>
      </c>
      <c r="K1466">
        <v>1.8280975998769162</v>
      </c>
      <c r="L1466">
        <v>0</v>
      </c>
      <c r="M1466">
        <v>3.7115835826295085E-3</v>
      </c>
      <c r="N1466">
        <v>0.33075356601864259</v>
      </c>
      <c r="O1466">
        <v>0.23853834154805587</v>
      </c>
      <c r="P1466">
        <v>1.3028546662001962E-2</v>
      </c>
      <c r="Q1466">
        <v>1.5515144303175023E-3</v>
      </c>
      <c r="R1466">
        <v>3.7050517634651084E-3</v>
      </c>
      <c r="S1466">
        <v>0.37069346105484674</v>
      </c>
      <c r="T1466">
        <v>0.39982704295416754</v>
      </c>
      <c r="U1466">
        <v>0</v>
      </c>
      <c r="V1466">
        <v>0.19937262875499798</v>
      </c>
      <c r="W1466">
        <v>0.2134553834255489</v>
      </c>
      <c r="X1466">
        <v>5.0799717317332987E-2</v>
      </c>
      <c r="Y1466">
        <v>1.0083929530166447E-2</v>
      </c>
    </row>
    <row r="1467" spans="1:25" x14ac:dyDescent="0.25">
      <c r="A1467" s="1083"/>
      <c r="B1467" s="1455">
        <v>1217</v>
      </c>
      <c r="C1467" s="1087">
        <v>0.95657813858269425</v>
      </c>
      <c r="D1467" s="1087">
        <v>1.0153721937013471</v>
      </c>
      <c r="E1467" s="1087">
        <v>0.9744156147492119</v>
      </c>
      <c r="F1467" s="1087">
        <v>0.96458872647321658</v>
      </c>
      <c r="G1467" s="1087">
        <v>0.99633075324363263</v>
      </c>
      <c r="H1467" s="1087">
        <v>0.96550060835314777</v>
      </c>
      <c r="I1467" s="1087">
        <v>1.037200122195066</v>
      </c>
      <c r="K1467">
        <v>1.842439241163806</v>
      </c>
      <c r="L1467">
        <v>0</v>
      </c>
      <c r="M1467">
        <v>3.8350822410081714E-3</v>
      </c>
      <c r="N1467">
        <v>0.33675141753400872</v>
      </c>
      <c r="O1467">
        <v>0.23791607732234538</v>
      </c>
      <c r="P1467">
        <v>1.3040026041314903E-2</v>
      </c>
      <c r="Q1467">
        <v>1.6009750956460104E-3</v>
      </c>
      <c r="R1467">
        <v>3.8282401682540545E-3</v>
      </c>
      <c r="S1467">
        <v>0.38553710062022811</v>
      </c>
      <c r="T1467">
        <v>0.38828567215889898</v>
      </c>
      <c r="U1467">
        <v>0</v>
      </c>
      <c r="V1467">
        <v>0.20049054974901825</v>
      </c>
      <c r="W1467">
        <v>0.2179933456836223</v>
      </c>
      <c r="X1467">
        <v>5.0411711272523904E-2</v>
      </c>
      <c r="Y1467">
        <v>1.0419207758955237E-2</v>
      </c>
    </row>
    <row r="1468" spans="1:25" x14ac:dyDescent="0.25">
      <c r="A1468" s="1083"/>
      <c r="B1468" s="1455">
        <v>1218</v>
      </c>
      <c r="C1468" s="1087">
        <v>1.0029166388706792</v>
      </c>
      <c r="D1468" s="1087">
        <v>0.98687295280126008</v>
      </c>
      <c r="E1468" s="1087">
        <v>1.0067837464720877</v>
      </c>
      <c r="F1468" s="1087">
        <v>0.99186718686736064</v>
      </c>
      <c r="G1468" s="1087">
        <v>1.023138152772157</v>
      </c>
      <c r="H1468" s="1087">
        <v>1.0086110274671798</v>
      </c>
      <c r="I1468" s="1087">
        <v>0.98382634917153333</v>
      </c>
      <c r="K1468">
        <v>1.8539765895272073</v>
      </c>
      <c r="L1468">
        <v>0</v>
      </c>
      <c r="M1468">
        <v>3.6330438834463103E-3</v>
      </c>
      <c r="N1468">
        <v>0.35218408870793988</v>
      </c>
      <c r="O1468">
        <v>0.23882897294088201</v>
      </c>
      <c r="P1468">
        <v>1.3184383809956622E-2</v>
      </c>
      <c r="Q1468">
        <v>1.5989623906412672E-3</v>
      </c>
      <c r="R1468">
        <v>3.6268654689588765E-3</v>
      </c>
      <c r="S1468">
        <v>0.36247160657269151</v>
      </c>
      <c r="T1468">
        <v>0.39945956138359318</v>
      </c>
      <c r="U1468">
        <v>0</v>
      </c>
      <c r="V1468">
        <v>0.19948880970864658</v>
      </c>
      <c r="W1468">
        <v>0.22338681353765313</v>
      </c>
      <c r="X1468">
        <v>5.3508436679065817E-2</v>
      </c>
      <c r="Y1468">
        <v>9.8711322106255425E-3</v>
      </c>
    </row>
    <row r="1469" spans="1:25" x14ac:dyDescent="0.25">
      <c r="A1469" s="1083"/>
      <c r="B1469" s="1455">
        <v>1219</v>
      </c>
      <c r="C1469" s="1087">
        <v>1.0101006349584869</v>
      </c>
      <c r="D1469" s="1087">
        <v>1.0095512386293131</v>
      </c>
      <c r="E1469" s="1087">
        <v>0.96332237041757751</v>
      </c>
      <c r="F1469" s="1087">
        <v>1.0033887410813243</v>
      </c>
      <c r="G1469" s="1087">
        <v>0.98413178414348002</v>
      </c>
      <c r="H1469" s="1087">
        <v>0.95699976000245612</v>
      </c>
      <c r="I1469" s="1087">
        <v>0.98422372068625097</v>
      </c>
      <c r="K1469">
        <v>1.7754202344695751</v>
      </c>
      <c r="L1469">
        <v>0</v>
      </c>
      <c r="M1469">
        <v>3.694248518090533E-3</v>
      </c>
      <c r="N1469">
        <v>0.31355882030248955</v>
      </c>
      <c r="O1469">
        <v>0.23644979319031001</v>
      </c>
      <c r="P1469">
        <v>1.2581276588549043E-2</v>
      </c>
      <c r="Q1469">
        <v>1.5014879004350353E-3</v>
      </c>
      <c r="R1469">
        <v>3.6876057651391721E-3</v>
      </c>
      <c r="S1469">
        <v>0.34598176986018264</v>
      </c>
      <c r="T1469">
        <v>0.40383831255522989</v>
      </c>
      <c r="U1469">
        <v>0</v>
      </c>
      <c r="V1469">
        <v>0.19825391055138408</v>
      </c>
      <c r="W1469">
        <v>0.20442530442306703</v>
      </c>
      <c r="X1469">
        <v>4.8799754577081716E-2</v>
      </c>
      <c r="Y1469">
        <v>1.0036447273795056E-2</v>
      </c>
    </row>
    <row r="1470" spans="1:25" x14ac:dyDescent="0.25">
      <c r="A1470" s="1083"/>
      <c r="B1470" s="1455">
        <v>1220</v>
      </c>
      <c r="C1470" s="1087">
        <v>0.99316624144217491</v>
      </c>
      <c r="D1470" s="1087">
        <v>1.0086680941371715</v>
      </c>
      <c r="E1470" s="1087">
        <v>0.99285066182946968</v>
      </c>
      <c r="F1470" s="1087">
        <v>0.98305308675235303</v>
      </c>
      <c r="G1470" s="1087">
        <v>1.0030896009426913</v>
      </c>
      <c r="H1470" s="1087">
        <v>1.0269772315209427</v>
      </c>
      <c r="I1470" s="1087">
        <v>1.0154332567926234</v>
      </c>
      <c r="K1470">
        <v>1.8631974804086997</v>
      </c>
      <c r="L1470">
        <v>0</v>
      </c>
      <c r="M1470">
        <v>3.7984759183448766E-3</v>
      </c>
      <c r="N1470">
        <v>0.35290129224784295</v>
      </c>
      <c r="O1470">
        <v>0.23660809738275149</v>
      </c>
      <c r="P1470">
        <v>1.317603717878703E-2</v>
      </c>
      <c r="Q1470">
        <v>1.5770222643283968E-3</v>
      </c>
      <c r="R1470">
        <v>3.7921123253039516E-3</v>
      </c>
      <c r="S1470">
        <v>0.37647639394397769</v>
      </c>
      <c r="T1470">
        <v>0.39582683450295714</v>
      </c>
      <c r="U1470">
        <v>0</v>
      </c>
      <c r="V1470">
        <v>0.19853942633509619</v>
      </c>
      <c r="W1470">
        <v>0.22579921778237716</v>
      </c>
      <c r="X1470">
        <v>5.1978642683638873E-2</v>
      </c>
      <c r="Y1470">
        <v>1.0320879679985283E-2</v>
      </c>
    </row>
    <row r="1471" spans="1:25" x14ac:dyDescent="0.25">
      <c r="A1471" s="1083"/>
      <c r="B1471" s="1455">
        <v>1221</v>
      </c>
      <c r="C1471" s="1087">
        <v>1.0103157107772256</v>
      </c>
      <c r="D1471" s="1087">
        <v>0.97645130773022859</v>
      </c>
      <c r="E1471" s="1087">
        <v>0.99162040445441524</v>
      </c>
      <c r="F1471" s="1087">
        <v>0.9781805530925276</v>
      </c>
      <c r="G1471" s="1087">
        <v>0.97763868195312231</v>
      </c>
      <c r="H1471" s="1087">
        <v>0.99059414795087253</v>
      </c>
      <c r="I1471" s="1087">
        <v>1.020545101915904</v>
      </c>
      <c r="K1471">
        <v>1.8350209971937002</v>
      </c>
      <c r="L1471">
        <v>0</v>
      </c>
      <c r="M1471">
        <v>3.6742927661484823E-3</v>
      </c>
      <c r="N1471">
        <v>0.34006567068764426</v>
      </c>
      <c r="O1471">
        <v>0.23712377055503009</v>
      </c>
      <c r="P1471">
        <v>1.3067734569888778E-2</v>
      </c>
      <c r="Q1471">
        <v>1.5684479869944156E-3</v>
      </c>
      <c r="R1471">
        <v>3.667939487562197E-3</v>
      </c>
      <c r="S1471">
        <v>0.37191450968935424</v>
      </c>
      <c r="T1471">
        <v>0.39385765505522369</v>
      </c>
      <c r="U1471">
        <v>0</v>
      </c>
      <c r="V1471">
        <v>0.19798034763123645</v>
      </c>
      <c r="W1471">
        <v>0.21775481814263634</v>
      </c>
      <c r="X1471">
        <v>5.171147400506048E-2</v>
      </c>
      <c r="Y1471">
        <v>9.9829221492171907E-3</v>
      </c>
    </row>
    <row r="1472" spans="1:25" x14ac:dyDescent="0.25">
      <c r="A1472" s="1083"/>
      <c r="B1472" s="1455">
        <v>1222</v>
      </c>
      <c r="C1472" s="1087">
        <v>1.0002840303851974</v>
      </c>
      <c r="D1472" s="1087">
        <v>1.019056154666371</v>
      </c>
      <c r="E1472" s="1087">
        <v>0.99415618247701121</v>
      </c>
      <c r="F1472" s="1087">
        <v>0.99997463929964514</v>
      </c>
      <c r="G1472" s="1087">
        <v>1.0295675719450466</v>
      </c>
      <c r="H1472" s="1087">
        <v>1.0026062776386517</v>
      </c>
      <c r="I1472" s="1087">
        <v>0.9894257131574975</v>
      </c>
      <c r="K1472">
        <v>1.8306624146864439</v>
      </c>
      <c r="L1472">
        <v>0</v>
      </c>
      <c r="M1472">
        <v>3.651794905501991E-3</v>
      </c>
      <c r="N1472">
        <v>0.34061401707857236</v>
      </c>
      <c r="O1472">
        <v>0.23674365762199132</v>
      </c>
      <c r="P1472">
        <v>1.303065954315338E-2</v>
      </c>
      <c r="Q1472">
        <v>1.5615744707809837E-3</v>
      </c>
      <c r="R1472">
        <v>3.6455192010093288E-3</v>
      </c>
      <c r="S1472">
        <v>0.35785127180156601</v>
      </c>
      <c r="T1472">
        <v>0.40264817988974488</v>
      </c>
      <c r="U1472">
        <v>0</v>
      </c>
      <c r="V1472">
        <v>0.19869483811997601</v>
      </c>
      <c r="W1472">
        <v>0.21775879356689873</v>
      </c>
      <c r="X1472">
        <v>5.1843796778184917E-2</v>
      </c>
      <c r="Y1472">
        <v>9.9219015200657564E-3</v>
      </c>
    </row>
    <row r="1473" spans="1:25" x14ac:dyDescent="0.25">
      <c r="A1473" s="1083"/>
      <c r="B1473" s="1455">
        <v>1223</v>
      </c>
      <c r="C1473" s="1087">
        <v>1.014817194231119</v>
      </c>
      <c r="D1473" s="1087">
        <v>1.0225008909745126</v>
      </c>
      <c r="E1473" s="1087">
        <v>1.0349410445322478</v>
      </c>
      <c r="F1473" s="1087">
        <v>0.97957698411875549</v>
      </c>
      <c r="G1473" s="1087">
        <v>1.0224394250584878</v>
      </c>
      <c r="H1473" s="1087">
        <v>1.0414241184859145</v>
      </c>
      <c r="I1473" s="1087">
        <v>1.0203090740621095</v>
      </c>
      <c r="K1473">
        <v>1.8616588167784405</v>
      </c>
      <c r="L1473">
        <v>0</v>
      </c>
      <c r="M1473">
        <v>3.4325818842099454E-3</v>
      </c>
      <c r="N1473">
        <v>0.36257745997322127</v>
      </c>
      <c r="O1473">
        <v>0.23289025611011385</v>
      </c>
      <c r="P1473">
        <v>1.3448667008757067E-2</v>
      </c>
      <c r="Q1473">
        <v>1.6048909829365588E-3</v>
      </c>
      <c r="R1473">
        <v>3.4268999184796653E-3</v>
      </c>
      <c r="S1473">
        <v>0.37052141544249589</v>
      </c>
      <c r="T1473">
        <v>0.39467943678476386</v>
      </c>
      <c r="U1473">
        <v>0</v>
      </c>
      <c r="V1473">
        <v>0.1954898687965983</v>
      </c>
      <c r="W1473">
        <v>0.22603017214177781</v>
      </c>
      <c r="X1473">
        <v>5.5095439602658731E-2</v>
      </c>
      <c r="Y1473">
        <v>9.3268919008471281E-3</v>
      </c>
    </row>
    <row r="1474" spans="1:25" x14ac:dyDescent="0.25">
      <c r="A1474" s="1083"/>
      <c r="B1474" s="1455">
        <v>1224</v>
      </c>
      <c r="C1474" s="1087">
        <v>0.98533410670418786</v>
      </c>
      <c r="D1474" s="1087">
        <v>1.0033152684884501</v>
      </c>
      <c r="E1474" s="1087">
        <v>1.0184001114524908</v>
      </c>
      <c r="F1474" s="1087">
        <v>0.99962667682116002</v>
      </c>
      <c r="G1474" s="1087">
        <v>1.0000645223108475</v>
      </c>
      <c r="H1474" s="1087">
        <v>1.002277126910972</v>
      </c>
      <c r="I1474" s="1087">
        <v>0.99761125664668138</v>
      </c>
      <c r="K1474">
        <v>1.875861724997665</v>
      </c>
      <c r="L1474">
        <v>0</v>
      </c>
      <c r="M1474">
        <v>3.5564846212859809E-3</v>
      </c>
      <c r="N1474">
        <v>0.35718653646828413</v>
      </c>
      <c r="O1474">
        <v>0.24042649736740576</v>
      </c>
      <c r="P1474">
        <v>1.3466196890700737E-2</v>
      </c>
      <c r="Q1474">
        <v>1.6367789848097912E-3</v>
      </c>
      <c r="R1474">
        <v>3.5503843641720525E-3</v>
      </c>
      <c r="S1474">
        <v>0.36968294326051881</v>
      </c>
      <c r="T1474">
        <v>0.40265556322281049</v>
      </c>
      <c r="U1474">
        <v>0</v>
      </c>
      <c r="V1474">
        <v>0.20125875139408575</v>
      </c>
      <c r="W1474">
        <v>0.22493672072948889</v>
      </c>
      <c r="X1474">
        <v>5.4954861081287151E-2</v>
      </c>
      <c r="Y1474">
        <v>9.6629758553852235E-3</v>
      </c>
    </row>
    <row r="1475" spans="1:25" x14ac:dyDescent="0.25">
      <c r="A1475" s="1083"/>
      <c r="B1475" s="1455">
        <v>1225</v>
      </c>
      <c r="C1475" s="1087">
        <v>1.0221969763590086</v>
      </c>
      <c r="D1475" s="1087">
        <v>1.0003414577413661</v>
      </c>
      <c r="E1475" s="1087">
        <v>1.0088455378148267</v>
      </c>
      <c r="F1475" s="1087">
        <v>0.97340219664141669</v>
      </c>
      <c r="G1475" s="1087">
        <v>1.0006860329511891</v>
      </c>
      <c r="H1475" s="1087">
        <v>0.9539130457794589</v>
      </c>
      <c r="I1475" s="1087">
        <v>0.96319839066241475</v>
      </c>
      <c r="K1475">
        <v>1.762726082170567</v>
      </c>
      <c r="L1475">
        <v>0</v>
      </c>
      <c r="M1475">
        <v>3.3323892761565736E-3</v>
      </c>
      <c r="N1475">
        <v>0.3250437931495116</v>
      </c>
      <c r="O1475">
        <v>0.2330706679604127</v>
      </c>
      <c r="P1475">
        <v>1.2683087993486058E-2</v>
      </c>
      <c r="Q1475">
        <v>1.5637379821957804E-3</v>
      </c>
      <c r="R1475">
        <v>3.3263855811350765E-3</v>
      </c>
      <c r="S1475">
        <v>0.33623943087141911</v>
      </c>
      <c r="T1475">
        <v>0.39203529257646991</v>
      </c>
      <c r="U1475">
        <v>0</v>
      </c>
      <c r="V1475">
        <v>0.19518168275709882</v>
      </c>
      <c r="W1475">
        <v>0.2059081203351619</v>
      </c>
      <c r="X1475">
        <v>5.1952947230694151E-2</v>
      </c>
      <c r="Y1475">
        <v>9.0533250091375597E-3</v>
      </c>
    </row>
    <row r="1476" spans="1:25" x14ac:dyDescent="0.25">
      <c r="A1476" s="1083"/>
      <c r="B1476" s="1455">
        <v>1226</v>
      </c>
      <c r="C1476" s="1087">
        <v>1.0279446050188499</v>
      </c>
      <c r="D1476" s="1087">
        <v>1.0336060178921942</v>
      </c>
      <c r="E1476" s="1087">
        <v>1.0416727227195599</v>
      </c>
      <c r="F1476" s="1087">
        <v>1.0120586645040694</v>
      </c>
      <c r="G1476" s="1087">
        <v>1.0170452593355357</v>
      </c>
      <c r="H1476" s="1087">
        <v>1.0047686373882629</v>
      </c>
      <c r="I1476" s="1087">
        <v>0.9989530209032681</v>
      </c>
      <c r="K1476">
        <v>1.8268247311769525</v>
      </c>
      <c r="L1476">
        <v>0</v>
      </c>
      <c r="M1476">
        <v>3.2041901405501887E-3</v>
      </c>
      <c r="N1476">
        <v>0.34543573490898488</v>
      </c>
      <c r="O1476">
        <v>0.23404718098186375</v>
      </c>
      <c r="P1476">
        <v>1.3416709911485131E-2</v>
      </c>
      <c r="Q1476">
        <v>1.5886988712604819E-3</v>
      </c>
      <c r="R1476">
        <v>3.1986817469288257E-3</v>
      </c>
      <c r="S1476">
        <v>0.34964259687427579</v>
      </c>
      <c r="T1476">
        <v>0.40780894576476667</v>
      </c>
      <c r="U1476">
        <v>0</v>
      </c>
      <c r="V1476">
        <v>0.19632200336239675</v>
      </c>
      <c r="W1476">
        <v>0.21446569595890905</v>
      </c>
      <c r="X1476">
        <v>5.5396915666643544E-2</v>
      </c>
      <c r="Y1476">
        <v>8.70575726998578E-3</v>
      </c>
    </row>
    <row r="1477" spans="1:25" x14ac:dyDescent="0.25">
      <c r="A1477" s="1083"/>
      <c r="B1477" s="1455">
        <v>1227</v>
      </c>
      <c r="C1477" s="1087">
        <v>1.0138668929462189</v>
      </c>
      <c r="D1477" s="1087">
        <v>1.0313346494521656</v>
      </c>
      <c r="E1477" s="1087">
        <v>1.0122425512768713</v>
      </c>
      <c r="F1477" s="1087">
        <v>0.98329684511423132</v>
      </c>
      <c r="G1477" s="1087">
        <v>1.0172582238900756</v>
      </c>
      <c r="H1477" s="1087">
        <v>1.007958416495135</v>
      </c>
      <c r="I1477" s="1087">
        <v>0.9902741514614869</v>
      </c>
      <c r="K1477">
        <v>1.810145093882493</v>
      </c>
      <c r="L1477">
        <v>0</v>
      </c>
      <c r="M1477">
        <v>3.4677551157069149E-3</v>
      </c>
      <c r="N1477">
        <v>0.34180003869490644</v>
      </c>
      <c r="O1477">
        <v>0.23227043561296953</v>
      </c>
      <c r="P1477">
        <v>1.2991165367333734E-2</v>
      </c>
      <c r="Q1477">
        <v>1.5630778702909888E-3</v>
      </c>
      <c r="R1477">
        <v>3.4618169953094086E-3</v>
      </c>
      <c r="S1477">
        <v>0.35215321268540178</v>
      </c>
      <c r="T1477">
        <v>0.39604072749649993</v>
      </c>
      <c r="U1477">
        <v>0</v>
      </c>
      <c r="V1477">
        <v>0.19532267536944614</v>
      </c>
      <c r="W1477">
        <v>0.21606736404941268</v>
      </c>
      <c r="X1477">
        <v>5.2520410183060605E-2</v>
      </c>
      <c r="Y1477">
        <v>9.4219246735664092E-3</v>
      </c>
    </row>
    <row r="1478" spans="1:25" x14ac:dyDescent="0.25">
      <c r="A1478" s="1083"/>
      <c r="B1478" s="1455">
        <v>1228</v>
      </c>
      <c r="C1478" s="1087">
        <v>0.96784240150664669</v>
      </c>
      <c r="D1478" s="1087">
        <v>0.96680525903366688</v>
      </c>
      <c r="E1478" s="1087">
        <v>0.97320294501490334</v>
      </c>
      <c r="F1478" s="1087">
        <v>1.0340249787961446</v>
      </c>
      <c r="G1478" s="1087">
        <v>1.0066022688525953</v>
      </c>
      <c r="H1478" s="1087">
        <v>0.96748976191717251</v>
      </c>
      <c r="I1478" s="1087">
        <v>1.0195155862918928</v>
      </c>
      <c r="K1478">
        <v>1.901443692327792</v>
      </c>
      <c r="L1478">
        <v>0</v>
      </c>
      <c r="M1478">
        <v>3.9110397344583013E-3</v>
      </c>
      <c r="N1478">
        <v>0.34215575723009894</v>
      </c>
      <c r="O1478">
        <v>0.24983155798556861</v>
      </c>
      <c r="P1478">
        <v>1.3498094479772365E-2</v>
      </c>
      <c r="Q1478">
        <v>1.6115582918494373E-3</v>
      </c>
      <c r="R1478">
        <v>3.9041263485466841E-3</v>
      </c>
      <c r="S1478">
        <v>0.38530381234497951</v>
      </c>
      <c r="T1478">
        <v>0.41622909618805609</v>
      </c>
      <c r="U1478">
        <v>0</v>
      </c>
      <c r="V1478">
        <v>0.20794351494430249</v>
      </c>
      <c r="W1478">
        <v>0.22166304261826186</v>
      </c>
      <c r="X1478">
        <v>5.2588426704974121E-2</v>
      </c>
      <c r="Y1478">
        <v>1.0625744925839163E-2</v>
      </c>
    </row>
    <row r="1479" spans="1:25" x14ac:dyDescent="0.25">
      <c r="A1479" s="1083"/>
      <c r="B1479" s="1455">
        <v>1229</v>
      </c>
      <c r="C1479" s="1087">
        <v>1.0023382527220572</v>
      </c>
      <c r="D1479" s="1087">
        <v>0.96609369322790295</v>
      </c>
      <c r="E1479" s="1087">
        <v>0.98113312893291993</v>
      </c>
      <c r="F1479" s="1087">
        <v>0.97642668299201352</v>
      </c>
      <c r="G1479" s="1087">
        <v>1.0084111311984931</v>
      </c>
      <c r="H1479" s="1087">
        <v>0.97890420231594888</v>
      </c>
      <c r="I1479" s="1087">
        <v>1.0166248372262661</v>
      </c>
      <c r="K1479">
        <v>1.8344198889661523</v>
      </c>
      <c r="L1479">
        <v>0</v>
      </c>
      <c r="M1479">
        <v>3.7601919221734261E-3</v>
      </c>
      <c r="N1479">
        <v>0.33703744061825575</v>
      </c>
      <c r="O1479">
        <v>0.2387288920983589</v>
      </c>
      <c r="P1479">
        <v>1.2989129885349541E-2</v>
      </c>
      <c r="Q1479">
        <v>1.5699211949876213E-3</v>
      </c>
      <c r="R1479">
        <v>3.7536215540072888E-3</v>
      </c>
      <c r="S1479">
        <v>0.37332043197610831</v>
      </c>
      <c r="T1479">
        <v>0.39309003128302977</v>
      </c>
      <c r="U1479">
        <v>0</v>
      </c>
      <c r="V1479">
        <v>0.19915622317012446</v>
      </c>
      <c r="W1479">
        <v>0.21724925386251093</v>
      </c>
      <c r="X1479">
        <v>5.106901475659692E-2</v>
      </c>
      <c r="Y1479">
        <v>1.0216120488995114E-2</v>
      </c>
    </row>
    <row r="1480" spans="1:25" x14ac:dyDescent="0.25">
      <c r="A1480" s="1083"/>
      <c r="B1480" s="1455">
        <v>1230</v>
      </c>
      <c r="C1480" s="1087">
        <v>0.99412709870757821</v>
      </c>
      <c r="D1480" s="1087">
        <v>1.0219548313571691</v>
      </c>
      <c r="E1480" s="1087">
        <v>0.98686151516411913</v>
      </c>
      <c r="F1480" s="1087">
        <v>1.0348159377571438</v>
      </c>
      <c r="G1480" s="1087">
        <v>0.98588077232635563</v>
      </c>
      <c r="H1480" s="1087">
        <v>1.0088775941834602</v>
      </c>
      <c r="I1480" s="1087">
        <v>1.0137449248609882</v>
      </c>
      <c r="K1480">
        <v>1.8676474095442415</v>
      </c>
      <c r="L1480">
        <v>0</v>
      </c>
      <c r="M1480">
        <v>3.7465092919703497E-3</v>
      </c>
      <c r="N1480">
        <v>0.34175321756986388</v>
      </c>
      <c r="O1480">
        <v>0.24108724683250954</v>
      </c>
      <c r="P1480">
        <v>1.3349955098609369E-2</v>
      </c>
      <c r="Q1480">
        <v>1.5572497887003714E-3</v>
      </c>
      <c r="R1480">
        <v>3.7401072118449538E-3</v>
      </c>
      <c r="S1480">
        <v>0.36937024987864092</v>
      </c>
      <c r="T1480">
        <v>0.41663189311374832</v>
      </c>
      <c r="U1480">
        <v>0</v>
      </c>
      <c r="V1480">
        <v>0.20210054122771856</v>
      </c>
      <c r="W1480">
        <v>0.21949238533771756</v>
      </c>
      <c r="X1480">
        <v>5.2131733872225076E-2</v>
      </c>
      <c r="Y1480">
        <v>1.0179338904630937E-2</v>
      </c>
    </row>
    <row r="1481" spans="1:25" x14ac:dyDescent="0.25">
      <c r="A1481" s="1083"/>
      <c r="B1481" s="1455">
        <v>1231</v>
      </c>
      <c r="C1481" s="1087">
        <v>0.98516744538362433</v>
      </c>
      <c r="D1481" s="1087">
        <v>1.0174711187317753</v>
      </c>
      <c r="E1481" s="1087">
        <v>0.97231768674694052</v>
      </c>
      <c r="F1481" s="1087">
        <v>1.0049823484817679</v>
      </c>
      <c r="G1481" s="1087">
        <v>0.96118449046866394</v>
      </c>
      <c r="H1481" s="1087">
        <v>0.98605800530387655</v>
      </c>
      <c r="I1481" s="1087">
        <v>1.0147941802828873</v>
      </c>
      <c r="K1481">
        <v>1.8380369149803881</v>
      </c>
      <c r="L1481">
        <v>0</v>
      </c>
      <c r="M1481">
        <v>3.8162313459995907E-3</v>
      </c>
      <c r="N1481">
        <v>0.33296590432741613</v>
      </c>
      <c r="O1481">
        <v>0.23901853973485418</v>
      </c>
      <c r="P1481">
        <v>1.3027257815566793E-2</v>
      </c>
      <c r="Q1481">
        <v>1.5497151253619291E-3</v>
      </c>
      <c r="R1481">
        <v>3.8095648875315388E-3</v>
      </c>
      <c r="S1481">
        <v>0.36967534059962615</v>
      </c>
      <c r="T1481">
        <v>0.40453319680343247</v>
      </c>
      <c r="U1481">
        <v>0</v>
      </c>
      <c r="V1481">
        <v>0.2007154857854016</v>
      </c>
      <c r="W1481">
        <v>0.21583129288103262</v>
      </c>
      <c r="X1481">
        <v>5.0358468565028645E-2</v>
      </c>
      <c r="Y1481">
        <v>1.0368379801133186E-2</v>
      </c>
    </row>
    <row r="1482" spans="1:25" x14ac:dyDescent="0.25">
      <c r="A1482" s="1083"/>
      <c r="B1482" s="1455">
        <v>1232</v>
      </c>
      <c r="C1482" s="1087">
        <v>0.9944327321761901</v>
      </c>
      <c r="D1482" s="1087">
        <v>1.0379402425406301</v>
      </c>
      <c r="E1482" s="1087">
        <v>0.9895019832261337</v>
      </c>
      <c r="F1482" s="1087">
        <v>1.0240632614117164</v>
      </c>
      <c r="G1482" s="1087">
        <v>0.99950339355115347</v>
      </c>
      <c r="H1482" s="1087">
        <v>1.0172655530577128</v>
      </c>
      <c r="I1482" s="1087">
        <v>1.0128368237685066</v>
      </c>
      <c r="K1482">
        <v>1.857191663426885</v>
      </c>
      <c r="L1482">
        <v>0</v>
      </c>
      <c r="M1482">
        <v>3.7246962681368252E-3</v>
      </c>
      <c r="N1482">
        <v>0.3425182208257368</v>
      </c>
      <c r="O1482">
        <v>0.23829109520569733</v>
      </c>
      <c r="P1482">
        <v>1.3266677013536293E-2</v>
      </c>
      <c r="Q1482">
        <v>1.5515220852686164E-3</v>
      </c>
      <c r="R1482">
        <v>3.7183699646390661E-3</v>
      </c>
      <c r="S1482">
        <v>0.36732327573252205</v>
      </c>
      <c r="T1482">
        <v>0.41231895516586292</v>
      </c>
      <c r="U1482">
        <v>0</v>
      </c>
      <c r="V1482">
        <v>0.20034483031206896</v>
      </c>
      <c r="W1482">
        <v>0.21961783657782541</v>
      </c>
      <c r="X1482">
        <v>5.1845399528443727E-2</v>
      </c>
      <c r="Y1482">
        <v>1.0120177283418123E-2</v>
      </c>
    </row>
    <row r="1483" spans="1:25" x14ac:dyDescent="0.25">
      <c r="A1483" s="1083"/>
      <c r="B1483" s="1455">
        <v>1233</v>
      </c>
      <c r="C1483" s="1087">
        <v>1.0319144661112989</v>
      </c>
      <c r="D1483" s="1087">
        <v>1.0077321015485508</v>
      </c>
      <c r="E1483" s="1087">
        <v>0.99713167357766808</v>
      </c>
      <c r="F1483" s="1087">
        <v>1.0039216317485353</v>
      </c>
      <c r="G1483" s="1087">
        <v>1.0191586569544557</v>
      </c>
      <c r="H1483" s="1087">
        <v>1.0072188126949444</v>
      </c>
      <c r="I1483" s="1087">
        <v>0.99130285011102848</v>
      </c>
      <c r="K1483">
        <v>1.809519532483062</v>
      </c>
      <c r="L1483">
        <v>0</v>
      </c>
      <c r="M1483">
        <v>3.5552052090626544E-3</v>
      </c>
      <c r="N1483">
        <v>0.33463395719132555</v>
      </c>
      <c r="O1483">
        <v>0.23458759214053271</v>
      </c>
      <c r="P1483">
        <v>1.2949079106498335E-2</v>
      </c>
      <c r="Q1483">
        <v>1.525329359616699E-3</v>
      </c>
      <c r="R1483">
        <v>3.5491316701695952E-3</v>
      </c>
      <c r="S1483">
        <v>0.35048823904008758</v>
      </c>
      <c r="T1483">
        <v>0.40425551302171658</v>
      </c>
      <c r="U1483">
        <v>0</v>
      </c>
      <c r="V1483">
        <v>0.19632638852401732</v>
      </c>
      <c r="W1483">
        <v>0.21353699305714638</v>
      </c>
      <c r="X1483">
        <v>5.1562948145752976E-2</v>
      </c>
      <c r="Y1483">
        <v>9.6595664352610005E-3</v>
      </c>
    </row>
    <row r="1484" spans="1:25" x14ac:dyDescent="0.25">
      <c r="A1484" s="1083"/>
      <c r="B1484" s="1455">
        <v>1234</v>
      </c>
      <c r="C1484" s="1087">
        <v>1.01391357327586</v>
      </c>
      <c r="D1484" s="1087">
        <v>1.0054910489100237</v>
      </c>
      <c r="E1484" s="1087">
        <v>0.98879851901115301</v>
      </c>
      <c r="F1484" s="1087">
        <v>1.019100246147095</v>
      </c>
      <c r="G1484" s="1087">
        <v>1.0441995818016034</v>
      </c>
      <c r="H1484" s="1087">
        <v>1.0005601281482621</v>
      </c>
      <c r="I1484" s="1087">
        <v>1.0283682442589854</v>
      </c>
      <c r="K1484">
        <v>1.8454669258151077</v>
      </c>
      <c r="L1484">
        <v>0</v>
      </c>
      <c r="M1484">
        <v>3.6608439910650607E-3</v>
      </c>
      <c r="N1484">
        <v>0.33591703590490951</v>
      </c>
      <c r="O1484">
        <v>0.23856036138338663</v>
      </c>
      <c r="P1484">
        <v>1.3247171778146874E-2</v>
      </c>
      <c r="Q1484">
        <v>1.5400070678187217E-3</v>
      </c>
      <c r="R1484">
        <v>3.6545508710097369E-3</v>
      </c>
      <c r="S1484">
        <v>0.36920267192989076</v>
      </c>
      <c r="T1484">
        <v>0.41031638447085295</v>
      </c>
      <c r="U1484">
        <v>0</v>
      </c>
      <c r="V1484">
        <v>0.19954511238126396</v>
      </c>
      <c r="W1484">
        <v>0.21548071864877671</v>
      </c>
      <c r="X1484">
        <v>5.1717272621598531E-2</v>
      </c>
      <c r="Y1484">
        <v>9.9464827485176502E-3</v>
      </c>
    </row>
    <row r="1485" spans="1:25" x14ac:dyDescent="0.25">
      <c r="A1485" s="1083"/>
      <c r="B1485" s="1455">
        <v>1235</v>
      </c>
      <c r="C1485" s="1087">
        <v>1.013699312438056</v>
      </c>
      <c r="D1485" s="1087">
        <v>0.97513226940424458</v>
      </c>
      <c r="E1485" s="1087">
        <v>1.0096270991613119</v>
      </c>
      <c r="F1485" s="1087">
        <v>0.99673802847861803</v>
      </c>
      <c r="G1485" s="1087">
        <v>1.0205711276877218</v>
      </c>
      <c r="H1485" s="1087">
        <v>0.96542867502990681</v>
      </c>
      <c r="I1485" s="1087">
        <v>0.99254756725095938</v>
      </c>
      <c r="K1485">
        <v>1.8240325414048948</v>
      </c>
      <c r="L1485">
        <v>0</v>
      </c>
      <c r="M1485">
        <v>3.4427448200006292E-3</v>
      </c>
      <c r="N1485">
        <v>0.33661872075748145</v>
      </c>
      <c r="O1485">
        <v>0.23934580973700423</v>
      </c>
      <c r="P1485">
        <v>1.3155833728782295E-2</v>
      </c>
      <c r="Q1485">
        <v>1.594348605471887E-3</v>
      </c>
      <c r="R1485">
        <v>3.436638456572856E-3</v>
      </c>
      <c r="S1485">
        <v>0.35646281107817546</v>
      </c>
      <c r="T1485">
        <v>0.40143849130019948</v>
      </c>
      <c r="U1485">
        <v>0</v>
      </c>
      <c r="V1485">
        <v>0.19942124017105683</v>
      </c>
      <c r="W1485">
        <v>0.21313719529428854</v>
      </c>
      <c r="X1485">
        <v>5.3510800104631648E-2</v>
      </c>
      <c r="Y1485">
        <v>9.3533969912285748E-3</v>
      </c>
    </row>
    <row r="1486" spans="1:25" x14ac:dyDescent="0.25">
      <c r="A1486" s="1083"/>
      <c r="B1486" s="1455">
        <v>1236</v>
      </c>
      <c r="C1486" s="1087">
        <v>0.99691291872801957</v>
      </c>
      <c r="D1486" s="1087">
        <v>1.0132108798574992</v>
      </c>
      <c r="E1486" s="1087">
        <v>1.004545857110944</v>
      </c>
      <c r="F1486" s="1087">
        <v>0.96029353811030416</v>
      </c>
      <c r="G1486" s="1087">
        <v>0.95804877165510827</v>
      </c>
      <c r="H1486" s="1087">
        <v>0.9898847296251545</v>
      </c>
      <c r="I1486" s="1087">
        <v>1.0142199263692318</v>
      </c>
      <c r="K1486">
        <v>1.8184543381492646</v>
      </c>
      <c r="L1486">
        <v>0</v>
      </c>
      <c r="M1486">
        <v>3.5524118901132601E-3</v>
      </c>
      <c r="N1486">
        <v>0.34201160883419485</v>
      </c>
      <c r="O1486">
        <v>0.23315820747833488</v>
      </c>
      <c r="P1486">
        <v>1.3002536054441396E-2</v>
      </c>
      <c r="Q1486">
        <v>1.5879536123616783E-3</v>
      </c>
      <c r="R1486">
        <v>3.5462331627416533E-3</v>
      </c>
      <c r="S1486">
        <v>0.36700966783847483</v>
      </c>
      <c r="T1486">
        <v>0.38673067656416837</v>
      </c>
      <c r="U1486">
        <v>0</v>
      </c>
      <c r="V1486">
        <v>0.19599226598287728</v>
      </c>
      <c r="W1486">
        <v>0.21723676968041181</v>
      </c>
      <c r="X1486">
        <v>5.2079153177834403E-2</v>
      </c>
      <c r="Y1486">
        <v>9.6516776535348625E-3</v>
      </c>
    </row>
    <row r="1487" spans="1:25" x14ac:dyDescent="0.25">
      <c r="A1487" s="1083"/>
      <c r="B1487" s="1455">
        <v>1237</v>
      </c>
      <c r="C1487" s="1087">
        <v>1.0008747032395748</v>
      </c>
      <c r="D1487" s="1087">
        <v>0.9999280814793603</v>
      </c>
      <c r="E1487" s="1087">
        <v>1.0475309267875723</v>
      </c>
      <c r="F1487" s="1087">
        <v>0.98659342889642998</v>
      </c>
      <c r="G1487" s="1087">
        <v>1.0370911202231357</v>
      </c>
      <c r="H1487" s="1087">
        <v>0.99919835007487245</v>
      </c>
      <c r="I1487" s="1087">
        <v>0.96690837595677481</v>
      </c>
      <c r="K1487">
        <v>1.8533360131550334</v>
      </c>
      <c r="L1487">
        <v>0</v>
      </c>
      <c r="M1487">
        <v>3.2934710752454584E-3</v>
      </c>
      <c r="N1487">
        <v>0.36144434334546399</v>
      </c>
      <c r="O1487">
        <v>0.23773628523162951</v>
      </c>
      <c r="P1487">
        <v>1.3413721848643152E-2</v>
      </c>
      <c r="Q1487">
        <v>1.6635493740010015E-3</v>
      </c>
      <c r="R1487">
        <v>3.2878069885124042E-3</v>
      </c>
      <c r="S1487">
        <v>0.35317931370648575</v>
      </c>
      <c r="T1487">
        <v>0.39758383258127411</v>
      </c>
      <c r="U1487">
        <v>0</v>
      </c>
      <c r="V1487">
        <v>0.19880099260171905</v>
      </c>
      <c r="W1487">
        <v>0.2236116943085166</v>
      </c>
      <c r="X1487">
        <v>5.6959617446584294E-2</v>
      </c>
      <c r="Y1487">
        <v>8.9483267974482857E-3</v>
      </c>
    </row>
    <row r="1488" spans="1:25" x14ac:dyDescent="0.25">
      <c r="A1488" s="1083"/>
      <c r="B1488" s="1455">
        <v>1238</v>
      </c>
      <c r="C1488" s="1087">
        <v>0.98515624102685062</v>
      </c>
      <c r="D1488" s="1087">
        <v>0.97347651637389088</v>
      </c>
      <c r="E1488" s="1087">
        <v>0.98827598024730134</v>
      </c>
      <c r="F1488" s="1087">
        <v>0.96647457053083685</v>
      </c>
      <c r="G1488" s="1087">
        <v>0.96078599478294535</v>
      </c>
      <c r="H1488" s="1087">
        <v>0.97330261998624967</v>
      </c>
      <c r="I1488" s="1087">
        <v>0.99494757024541691</v>
      </c>
      <c r="K1488">
        <v>1.8347805303058424</v>
      </c>
      <c r="L1488">
        <v>0</v>
      </c>
      <c r="M1488">
        <v>3.7327202750979918E-3</v>
      </c>
      <c r="N1488">
        <v>0.34195225812232705</v>
      </c>
      <c r="O1488">
        <v>0.2389052462968351</v>
      </c>
      <c r="P1488">
        <v>1.2957744878228147E-2</v>
      </c>
      <c r="Q1488">
        <v>1.6047093135057068E-3</v>
      </c>
      <c r="R1488">
        <v>3.7261520761589393E-3</v>
      </c>
      <c r="S1488">
        <v>0.36916908950887251</v>
      </c>
      <c r="T1488">
        <v>0.38912487765782122</v>
      </c>
      <c r="U1488">
        <v>0</v>
      </c>
      <c r="V1488">
        <v>0.19975333953114877</v>
      </c>
      <c r="W1488">
        <v>0.21942438303158332</v>
      </c>
      <c r="X1488">
        <v>5.1754092538856523E-2</v>
      </c>
      <c r="Y1488">
        <v>1.0141357625602844E-2</v>
      </c>
    </row>
    <row r="1489" spans="1:25" x14ac:dyDescent="0.25">
      <c r="A1489" s="1083"/>
      <c r="B1489" s="1455">
        <v>1239</v>
      </c>
      <c r="C1489" s="1087">
        <v>1.0032058576444578</v>
      </c>
      <c r="D1489" s="1087">
        <v>1.0026723634171295</v>
      </c>
      <c r="E1489" s="1087">
        <v>0.99598842109337771</v>
      </c>
      <c r="F1489" s="1087">
        <v>0.99074655916088372</v>
      </c>
      <c r="G1489" s="1087">
        <v>1.0145973135279223</v>
      </c>
      <c r="H1489" s="1087">
        <v>1.0197627315325239</v>
      </c>
      <c r="I1489" s="1087">
        <v>1.0235619765563728</v>
      </c>
      <c r="K1489">
        <v>1.8592340016843347</v>
      </c>
      <c r="L1489">
        <v>0</v>
      </c>
      <c r="M1489">
        <v>3.7221407898657458E-3</v>
      </c>
      <c r="N1489">
        <v>0.34913420153008595</v>
      </c>
      <c r="O1489">
        <v>0.23694500279336966</v>
      </c>
      <c r="P1489">
        <v>1.3236958352441893E-2</v>
      </c>
      <c r="Q1489">
        <v>1.5702242536605876E-3</v>
      </c>
      <c r="R1489">
        <v>3.7158662056238916E-3</v>
      </c>
      <c r="S1489">
        <v>0.37563695048405271</v>
      </c>
      <c r="T1489">
        <v>0.39894337644736566</v>
      </c>
      <c r="U1489">
        <v>0</v>
      </c>
      <c r="V1489">
        <v>0.19846157729268341</v>
      </c>
      <c r="W1489">
        <v>0.22294952025140191</v>
      </c>
      <c r="X1489">
        <v>5.224910198677065E-2</v>
      </c>
      <c r="Y1489">
        <v>1.0113362876742757E-2</v>
      </c>
    </row>
    <row r="1490" spans="1:25" x14ac:dyDescent="0.25">
      <c r="A1490" s="1083"/>
      <c r="B1490" s="1455">
        <v>1240</v>
      </c>
      <c r="C1490" s="1087">
        <v>1.0039365247033523</v>
      </c>
      <c r="D1490" s="1087">
        <v>1.0016659841928319</v>
      </c>
      <c r="E1490" s="1087">
        <v>0.98779278158370443</v>
      </c>
      <c r="F1490" s="1087">
        <v>0.99353885607376202</v>
      </c>
      <c r="G1490" s="1087">
        <v>1.0142775090117222</v>
      </c>
      <c r="H1490" s="1087">
        <v>1.0040346275549159</v>
      </c>
      <c r="I1490" s="1087">
        <v>0.97298042774293247</v>
      </c>
      <c r="K1490">
        <v>1.825506373661375</v>
      </c>
      <c r="L1490">
        <v>0</v>
      </c>
      <c r="M1490">
        <v>3.7259190002865224E-3</v>
      </c>
      <c r="N1490">
        <v>0.34084210584653057</v>
      </c>
      <c r="O1490">
        <v>0.23716914969414643</v>
      </c>
      <c r="P1490">
        <v>1.2882129889097507E-2</v>
      </c>
      <c r="Q1490">
        <v>1.556005943137011E-3</v>
      </c>
      <c r="R1490">
        <v>3.7195405580925807E-3</v>
      </c>
      <c r="S1490">
        <v>0.35415941356568864</v>
      </c>
      <c r="T1490">
        <v>0.40001869718207878</v>
      </c>
      <c r="U1490">
        <v>0</v>
      </c>
      <c r="V1490">
        <v>0.19862857624524802</v>
      </c>
      <c r="W1490">
        <v>0.21877865913277594</v>
      </c>
      <c r="X1490">
        <v>5.135465135195412E-2</v>
      </c>
      <c r="Y1490">
        <v>1.0123363252912559E-2</v>
      </c>
    </row>
    <row r="1491" spans="1:25" x14ac:dyDescent="0.25">
      <c r="A1491" s="1083"/>
      <c r="B1491" s="1455">
        <v>1241</v>
      </c>
      <c r="C1491" s="1087">
        <v>1.0000758304872612</v>
      </c>
      <c r="D1491" s="1087">
        <v>0.9996978414909492</v>
      </c>
      <c r="E1491" s="1087">
        <v>0.9802490445919918</v>
      </c>
      <c r="F1491" s="1087">
        <v>1.0120707150847672</v>
      </c>
      <c r="G1491" s="1087">
        <v>0.99723300677099624</v>
      </c>
      <c r="H1491" s="1087">
        <v>1.0009195300075568</v>
      </c>
      <c r="I1491" s="1087">
        <v>0.98108830459939</v>
      </c>
      <c r="K1491">
        <v>1.8397115515135807</v>
      </c>
      <c r="L1491">
        <v>0</v>
      </c>
      <c r="M1491">
        <v>3.7905757366619307E-3</v>
      </c>
      <c r="N1491">
        <v>0.33885450470255435</v>
      </c>
      <c r="O1491">
        <v>0.23989530296588299</v>
      </c>
      <c r="P1491">
        <v>1.2991117644184969E-2</v>
      </c>
      <c r="Q1491">
        <v>1.5506228418118793E-3</v>
      </c>
      <c r="R1491">
        <v>3.7840682353957934E-3</v>
      </c>
      <c r="S1491">
        <v>0.3582416844411308</v>
      </c>
      <c r="T1491">
        <v>0.40743426601087784</v>
      </c>
      <c r="U1491">
        <v>0</v>
      </c>
      <c r="V1491">
        <v>0.20068986562393903</v>
      </c>
      <c r="W1491">
        <v>0.21854296412612514</v>
      </c>
      <c r="X1491">
        <v>5.1218744339348546E-2</v>
      </c>
      <c r="Y1491">
        <v>1.0298986318988804E-2</v>
      </c>
    </row>
    <row r="1492" spans="1:25" x14ac:dyDescent="0.25">
      <c r="A1492" s="1083"/>
      <c r="B1492" s="1455">
        <v>1242</v>
      </c>
      <c r="C1492" s="1087">
        <v>0.99532574674545649</v>
      </c>
      <c r="D1492" s="1087">
        <v>1.0140630912186364</v>
      </c>
      <c r="E1492" s="1087">
        <v>1.0340166204973364</v>
      </c>
      <c r="F1492" s="1087">
        <v>0.98497029285667426</v>
      </c>
      <c r="G1492" s="1087">
        <v>0.98437593932398093</v>
      </c>
      <c r="H1492" s="1087">
        <v>0.99504821803503651</v>
      </c>
      <c r="I1492" s="1087">
        <v>1.002888832355046</v>
      </c>
      <c r="K1492">
        <v>1.8518096578444629</v>
      </c>
      <c r="L1492">
        <v>0</v>
      </c>
      <c r="M1492">
        <v>3.3655630681805201E-3</v>
      </c>
      <c r="N1492">
        <v>0.35447278386386732</v>
      </c>
      <c r="O1492">
        <v>0.23664088330739691</v>
      </c>
      <c r="P1492">
        <v>1.3428558530853556E-2</v>
      </c>
      <c r="Q1492">
        <v>1.6401641925970615E-3</v>
      </c>
      <c r="R1492">
        <v>3.3597395391833E-3</v>
      </c>
      <c r="S1492">
        <v>0.36460975093786485</v>
      </c>
      <c r="T1492">
        <v>0.39684679465919093</v>
      </c>
      <c r="U1492">
        <v>0</v>
      </c>
      <c r="V1492">
        <v>0.19843968004148277</v>
      </c>
      <c r="W1492">
        <v>0.22110214835166467</v>
      </c>
      <c r="X1492">
        <v>5.5490614000724463E-2</v>
      </c>
      <c r="Y1492">
        <v>9.1441034878155074E-3</v>
      </c>
    </row>
    <row r="1493" spans="1:25" x14ac:dyDescent="0.25">
      <c r="A1493" s="1083"/>
      <c r="B1493" s="1455">
        <v>1243</v>
      </c>
      <c r="C1493" s="1087">
        <v>0.99865772552694776</v>
      </c>
      <c r="D1493" s="1087">
        <v>0.99813589850706397</v>
      </c>
      <c r="E1493" s="1087">
        <v>1.0239504763824614</v>
      </c>
      <c r="F1493" s="1087">
        <v>1.0307629030136098</v>
      </c>
      <c r="G1493" s="1087">
        <v>0.97932183286080665</v>
      </c>
      <c r="H1493" s="1087">
        <v>0.97574210959187624</v>
      </c>
      <c r="I1493" s="1087">
        <v>1.0115913762772113</v>
      </c>
      <c r="K1493">
        <v>1.8703175055969989</v>
      </c>
      <c r="L1493">
        <v>0</v>
      </c>
      <c r="M1493">
        <v>3.3866498497111025E-3</v>
      </c>
      <c r="N1493">
        <v>0.34591499101186163</v>
      </c>
      <c r="O1493">
        <v>0.24302929850668076</v>
      </c>
      <c r="P1493">
        <v>1.3666883532292258E-2</v>
      </c>
      <c r="Q1493">
        <v>1.627783602087735E-3</v>
      </c>
      <c r="R1493">
        <v>3.3806868168560272E-3</v>
      </c>
      <c r="S1493">
        <v>0.3660905568643939</v>
      </c>
      <c r="T1493">
        <v>0.41523260061483397</v>
      </c>
      <c r="U1493">
        <v>0</v>
      </c>
      <c r="V1493">
        <v>0.20278166318167906</v>
      </c>
      <c r="W1493">
        <v>0.21709622471233772</v>
      </c>
      <c r="X1493">
        <v>5.5682351531312298E-2</v>
      </c>
      <c r="Y1493">
        <v>9.2011150723724441E-3</v>
      </c>
    </row>
    <row r="1494" spans="1:25" x14ac:dyDescent="0.25">
      <c r="A1494" s="1083"/>
      <c r="B1494" s="1455">
        <v>1244</v>
      </c>
      <c r="C1494" s="1087">
        <v>0.97290644036875895</v>
      </c>
      <c r="D1494" s="1087">
        <v>0.99690117159825964</v>
      </c>
      <c r="E1494" s="1087">
        <v>1.0245657738437179</v>
      </c>
      <c r="F1494" s="1087">
        <v>1.0047588042757509</v>
      </c>
      <c r="G1494" s="1087">
        <v>1.0110355849709485</v>
      </c>
      <c r="H1494" s="1087">
        <v>1.0044847730966466</v>
      </c>
      <c r="I1494" s="1087">
        <v>0.96800221879241399</v>
      </c>
      <c r="K1494">
        <v>1.8933888939822614</v>
      </c>
      <c r="L1494">
        <v>0</v>
      </c>
      <c r="M1494">
        <v>3.5767928235656285E-3</v>
      </c>
      <c r="N1494">
        <v>0.36604038331813477</v>
      </c>
      <c r="O1494">
        <v>0.24331980323132735</v>
      </c>
      <c r="P1494">
        <v>1.3522642583708177E-2</v>
      </c>
      <c r="Q1494">
        <v>1.6727787052009629E-3</v>
      </c>
      <c r="R1494">
        <v>3.5706766589849409E-3</v>
      </c>
      <c r="S1494">
        <v>0.36505339905834527</v>
      </c>
      <c r="T1494">
        <v>0.40476091725989533</v>
      </c>
      <c r="U1494">
        <v>0</v>
      </c>
      <c r="V1494">
        <v>0.2034658553760989</v>
      </c>
      <c r="W1494">
        <v>0.2296402093855297</v>
      </c>
      <c r="X1494">
        <v>5.6200816436090061E-2</v>
      </c>
      <c r="Y1494">
        <v>9.7182047925127198E-3</v>
      </c>
    </row>
    <row r="1495" spans="1:25" x14ac:dyDescent="0.25">
      <c r="A1495" s="1083"/>
      <c r="B1495" s="1455">
        <v>1245</v>
      </c>
      <c r="C1495" s="1087">
        <v>1.0203748095444025</v>
      </c>
      <c r="D1495" s="1087">
        <v>0.99130758058085811</v>
      </c>
      <c r="E1495" s="1087">
        <v>1.005401059050711</v>
      </c>
      <c r="F1495" s="1087">
        <v>1.0339093621466724</v>
      </c>
      <c r="G1495" s="1087">
        <v>0.97256711115469108</v>
      </c>
      <c r="H1495" s="1087">
        <v>0.99259382953853337</v>
      </c>
      <c r="I1495" s="1087">
        <v>0.97924599002033785</v>
      </c>
      <c r="K1495">
        <v>1.8420155833937635</v>
      </c>
      <c r="L1495">
        <v>0</v>
      </c>
      <c r="M1495">
        <v>3.5149372106117838E-3</v>
      </c>
      <c r="N1495">
        <v>0.33929104330903725</v>
      </c>
      <c r="O1495">
        <v>0.24114839976209762</v>
      </c>
      <c r="P1495">
        <v>1.3264246962309439E-2</v>
      </c>
      <c r="Q1495">
        <v>1.5664863810112705E-3</v>
      </c>
      <c r="R1495">
        <v>3.5088582017815599E-3</v>
      </c>
      <c r="S1495">
        <v>0.35088019315637986</v>
      </c>
      <c r="T1495">
        <v>0.41638271445203784</v>
      </c>
      <c r="U1495">
        <v>0</v>
      </c>
      <c r="V1495">
        <v>0.20097620129328903</v>
      </c>
      <c r="W1495">
        <v>0.21539404139479387</v>
      </c>
      <c r="X1495">
        <v>5.3568380361181819E-2</v>
      </c>
      <c r="Y1495">
        <v>9.5499553304540571E-3</v>
      </c>
    </row>
    <row r="1496" spans="1:25" x14ac:dyDescent="0.25">
      <c r="A1496" s="1083"/>
      <c r="B1496" s="1455">
        <v>1246</v>
      </c>
      <c r="C1496" s="1087">
        <v>1.0092114895834681</v>
      </c>
      <c r="D1496" s="1087">
        <v>1.0295779343765084</v>
      </c>
      <c r="E1496" s="1087">
        <v>0.95660607936580699</v>
      </c>
      <c r="F1496" s="1087">
        <v>1.0044359598977783</v>
      </c>
      <c r="G1496" s="1087">
        <v>0.98046629399965257</v>
      </c>
      <c r="H1496" s="1087">
        <v>0.99526726407098876</v>
      </c>
      <c r="I1496" s="1087">
        <v>0.97305353161256858</v>
      </c>
      <c r="K1496">
        <v>1.7845058386014043</v>
      </c>
      <c r="L1496">
        <v>0</v>
      </c>
      <c r="M1496">
        <v>3.8566576769059643E-3</v>
      </c>
      <c r="N1496">
        <v>0.3207041115429376</v>
      </c>
      <c r="O1496">
        <v>0.23462516086882615</v>
      </c>
      <c r="P1496">
        <v>1.2498329311418671E-2</v>
      </c>
      <c r="Q1496">
        <v>1.4801934516046637E-3</v>
      </c>
      <c r="R1496">
        <v>3.8499704451665142E-3</v>
      </c>
      <c r="S1496">
        <v>0.34515109720925519</v>
      </c>
      <c r="T1496">
        <v>0.40422010731434016</v>
      </c>
      <c r="U1496">
        <v>0</v>
      </c>
      <c r="V1496">
        <v>0.19735566927862488</v>
      </c>
      <c r="W1496">
        <v>0.20999002222968918</v>
      </c>
      <c r="X1496">
        <v>4.800948421712075E-2</v>
      </c>
      <c r="Y1496">
        <v>1.0478350409327094E-2</v>
      </c>
    </row>
    <row r="1497" spans="1:25" x14ac:dyDescent="0.25">
      <c r="A1497" s="1083"/>
      <c r="B1497" s="1455">
        <v>1247</v>
      </c>
      <c r="C1497" s="1087">
        <v>1.0119872281492213</v>
      </c>
      <c r="D1497" s="1087">
        <v>1.0293611851007931</v>
      </c>
      <c r="E1497" s="1087">
        <v>1.0320781488379671</v>
      </c>
      <c r="F1497" s="1087">
        <v>0.99679746886349307</v>
      </c>
      <c r="G1497" s="1087">
        <v>1.0262616773374551</v>
      </c>
      <c r="H1497" s="1087">
        <v>0.97495627759713632</v>
      </c>
      <c r="I1497" s="1087">
        <v>0.99823326825865899</v>
      </c>
      <c r="K1497">
        <v>1.8108132803659267</v>
      </c>
      <c r="L1497">
        <v>0</v>
      </c>
      <c r="M1497">
        <v>3.2295467844809917E-3</v>
      </c>
      <c r="N1497">
        <v>0.33813222177646501</v>
      </c>
      <c r="O1497">
        <v>0.23451056794288483</v>
      </c>
      <c r="P1497">
        <v>1.3255946547274832E-2</v>
      </c>
      <c r="Q1497">
        <v>1.600274416347712E-3</v>
      </c>
      <c r="R1497">
        <v>3.2238306014575968E-3</v>
      </c>
      <c r="S1497">
        <v>0.35041294068223211</v>
      </c>
      <c r="T1497">
        <v>0.40160001342226487</v>
      </c>
      <c r="U1497">
        <v>0</v>
      </c>
      <c r="V1497">
        <v>0.19687746252080648</v>
      </c>
      <c r="W1497">
        <v>0.21115908817599732</v>
      </c>
      <c r="X1497">
        <v>5.4496276902979167E-2</v>
      </c>
      <c r="Y1497">
        <v>8.7742041616954251E-3</v>
      </c>
    </row>
    <row r="1498" spans="1:25" x14ac:dyDescent="0.25">
      <c r="A1498" s="1083"/>
      <c r="B1498" s="1455">
        <v>1248</v>
      </c>
      <c r="C1498" s="1087">
        <v>1.0057332795482357</v>
      </c>
      <c r="D1498" s="1087">
        <v>1.0052763815661681</v>
      </c>
      <c r="E1498" s="1087">
        <v>1.0353088569779543</v>
      </c>
      <c r="F1498" s="1087">
        <v>1.0261830727818746</v>
      </c>
      <c r="G1498" s="1087">
        <v>0.99534959976050352</v>
      </c>
      <c r="H1498" s="1087">
        <v>1.0229975253040329</v>
      </c>
      <c r="I1498" s="1087">
        <v>1.0079635083297325</v>
      </c>
      <c r="K1498">
        <v>1.8956295898411322</v>
      </c>
      <c r="L1498">
        <v>0</v>
      </c>
      <c r="M1498">
        <v>3.4308377676488884E-3</v>
      </c>
      <c r="N1498">
        <v>0.36278976760334108</v>
      </c>
      <c r="O1498">
        <v>0.2410614010536215</v>
      </c>
      <c r="P1498">
        <v>1.3781976732088934E-2</v>
      </c>
      <c r="Q1498">
        <v>1.6310564230456559E-3</v>
      </c>
      <c r="R1498">
        <v>3.4250697526367222E-3</v>
      </c>
      <c r="S1498">
        <v>0.36947441325813601</v>
      </c>
      <c r="T1498">
        <v>0.41345974725722145</v>
      </c>
      <c r="U1498">
        <v>0</v>
      </c>
      <c r="V1498">
        <v>0.20130660429828881</v>
      </c>
      <c r="W1498">
        <v>0.22611190359310568</v>
      </c>
      <c r="X1498">
        <v>5.6696576844558463E-2</v>
      </c>
      <c r="Y1498">
        <v>9.3219107927366446E-3</v>
      </c>
    </row>
    <row r="1499" spans="1:25" x14ac:dyDescent="0.25">
      <c r="A1499" s="1083"/>
      <c r="B1499" s="1455">
        <v>1249</v>
      </c>
      <c r="C1499" s="1087">
        <v>0.99516552561628235</v>
      </c>
      <c r="D1499" s="1087">
        <v>1.0032667922848275</v>
      </c>
      <c r="E1499" s="1087">
        <v>0.99831852555930578</v>
      </c>
      <c r="F1499" s="1087">
        <v>0.97674262203780426</v>
      </c>
      <c r="G1499" s="1087">
        <v>0.99107736326327933</v>
      </c>
      <c r="H1499" s="1087">
        <v>0.99276402381231788</v>
      </c>
      <c r="I1499" s="1087">
        <v>1.0033381925657998</v>
      </c>
      <c r="K1499">
        <v>1.8326398785638778</v>
      </c>
      <c r="L1499">
        <v>0</v>
      </c>
      <c r="M1499">
        <v>3.6342038003720975E-3</v>
      </c>
      <c r="N1499">
        <v>0.34330303824724434</v>
      </c>
      <c r="O1499">
        <v>0.23621248387807531</v>
      </c>
      <c r="P1499">
        <v>1.3049127296004177E-2</v>
      </c>
      <c r="Q1499">
        <v>1.5864754660649503E-3</v>
      </c>
      <c r="R1499">
        <v>3.6279100766286394E-3</v>
      </c>
      <c r="S1499">
        <v>0.36615959903523465</v>
      </c>
      <c r="T1499">
        <v>0.39331818090860671</v>
      </c>
      <c r="U1499">
        <v>0</v>
      </c>
      <c r="V1499">
        <v>0.19808796205088647</v>
      </c>
      <c r="W1499">
        <v>0.21890624348008439</v>
      </c>
      <c r="X1499">
        <v>5.2149086637070831E-2</v>
      </c>
      <c r="Y1499">
        <v>9.8739752883478128E-3</v>
      </c>
    </row>
    <row r="1500" spans="1:25" x14ac:dyDescent="0.25">
      <c r="A1500" s="1083"/>
      <c r="B1500" s="1455">
        <v>1250</v>
      </c>
      <c r="C1500" s="1087">
        <v>1.0016717835720881</v>
      </c>
      <c r="D1500" s="1087">
        <v>1.0166716160121518</v>
      </c>
      <c r="E1500" s="1087">
        <v>0.9913084039385146</v>
      </c>
      <c r="F1500" s="1087">
        <v>0.98095367199167904</v>
      </c>
      <c r="G1500" s="1087">
        <v>1.0110347453534572</v>
      </c>
      <c r="H1500" s="1087">
        <v>1.0029058877778601</v>
      </c>
      <c r="I1500" s="1087">
        <v>1.0106104414283386</v>
      </c>
      <c r="K1500">
        <v>1.8250291788673825</v>
      </c>
      <c r="L1500">
        <v>0</v>
      </c>
      <c r="M1500">
        <v>3.6738370980693288E-3</v>
      </c>
      <c r="N1500">
        <v>0.33970368626009934</v>
      </c>
      <c r="O1500">
        <v>0.23454470170124039</v>
      </c>
      <c r="P1500">
        <v>1.2979946617276349E-2</v>
      </c>
      <c r="Q1500">
        <v>1.5561258586920157E-3</v>
      </c>
      <c r="R1500">
        <v>3.6675276071414225E-3</v>
      </c>
      <c r="S1500">
        <v>0.36550509560514149</v>
      </c>
      <c r="T1500">
        <v>0.39497238911360016</v>
      </c>
      <c r="U1500">
        <v>0</v>
      </c>
      <c r="V1500">
        <v>0.19702590506438361</v>
      </c>
      <c r="W1500">
        <v>0.21756571066781083</v>
      </c>
      <c r="X1500">
        <v>5.1200126323578433E-2</v>
      </c>
      <c r="Y1500">
        <v>9.9818011464881812E-3</v>
      </c>
    </row>
    <row r="1501" spans="1:25" x14ac:dyDescent="0.25">
      <c r="A1501" s="1083"/>
      <c r="B1501" s="1455">
        <v>1251</v>
      </c>
      <c r="C1501" s="1087">
        <v>0.96706630809175653</v>
      </c>
      <c r="D1501" s="1087">
        <v>1.0123543010348892</v>
      </c>
      <c r="E1501" s="1087">
        <v>0.99552310393422905</v>
      </c>
      <c r="F1501" s="1087">
        <v>1.0072459812923944</v>
      </c>
      <c r="G1501" s="1087">
        <v>1.0107508558801814</v>
      </c>
      <c r="H1501" s="1087">
        <v>0.99965737832458135</v>
      </c>
      <c r="I1501" s="1087">
        <v>1.0203734277386318</v>
      </c>
      <c r="K1501">
        <v>1.8911378372846683</v>
      </c>
      <c r="L1501">
        <v>0</v>
      </c>
      <c r="M1501">
        <v>3.7693917955942363E-3</v>
      </c>
      <c r="N1501">
        <v>0.35305168513070978</v>
      </c>
      <c r="O1501">
        <v>0.24239039510824756</v>
      </c>
      <c r="P1501">
        <v>1.3483548383691372E-2</v>
      </c>
      <c r="Q1501">
        <v>1.6218484965652396E-3</v>
      </c>
      <c r="R1501">
        <v>3.7629015301179443E-3</v>
      </c>
      <c r="S1501">
        <v>0.38258913109954112</v>
      </c>
      <c r="T1501">
        <v>0.40558435848131819</v>
      </c>
      <c r="U1501">
        <v>0</v>
      </c>
      <c r="V1501">
        <v>0.20334007195211692</v>
      </c>
      <c r="W1501">
        <v>0.2255169073209557</v>
      </c>
      <c r="X1501">
        <v>5.3325004052174114E-2</v>
      </c>
      <c r="Y1501">
        <v>1.0241377524825018E-2</v>
      </c>
    </row>
    <row r="1502" spans="1:25" x14ac:dyDescent="0.25">
      <c r="A1502" s="1083"/>
      <c r="B1502" s="1455">
        <v>1252</v>
      </c>
      <c r="C1502" s="1087">
        <v>1.0260121363305563</v>
      </c>
      <c r="D1502" s="1087">
        <v>1.000061223054874</v>
      </c>
      <c r="E1502" s="1087">
        <v>1.0268946444052709</v>
      </c>
      <c r="F1502" s="1087">
        <v>0.99415103247288938</v>
      </c>
      <c r="G1502" s="1087">
        <v>1.021838730844624</v>
      </c>
      <c r="H1502" s="1087">
        <v>1.0270548365939223</v>
      </c>
      <c r="I1502" s="1087">
        <v>0.98838845669355757</v>
      </c>
      <c r="K1502">
        <v>1.8456872700825042</v>
      </c>
      <c r="L1502">
        <v>0</v>
      </c>
      <c r="M1502">
        <v>3.4450366864281928E-3</v>
      </c>
      <c r="N1502">
        <v>0.35507962676131982</v>
      </c>
      <c r="O1502">
        <v>0.23534063871754773</v>
      </c>
      <c r="P1502">
        <v>1.3276881511554555E-2</v>
      </c>
      <c r="Q1502">
        <v>1.5880743388648161E-3</v>
      </c>
      <c r="R1502">
        <v>3.4392720640963538E-3</v>
      </c>
      <c r="S1502">
        <v>0.35678253701813967</v>
      </c>
      <c r="T1502">
        <v>0.40050192272185586</v>
      </c>
      <c r="U1502">
        <v>0</v>
      </c>
      <c r="V1502">
        <v>0.19668805397554315</v>
      </c>
      <c r="W1502">
        <v>0.22244610657044067</v>
      </c>
      <c r="X1502">
        <v>5.4628628286828324E-2</v>
      </c>
      <c r="Y1502">
        <v>9.3605648027390506E-3</v>
      </c>
    </row>
    <row r="1503" spans="1:25" x14ac:dyDescent="0.25">
      <c r="A1503" s="1083"/>
      <c r="B1503" s="1455">
        <v>1253</v>
      </c>
      <c r="C1503" s="1087">
        <v>1.0048690070870274</v>
      </c>
      <c r="D1503" s="1087">
        <v>0.98034718222717965</v>
      </c>
      <c r="E1503" s="1087">
        <v>1.0298465689793304</v>
      </c>
      <c r="F1503" s="1087">
        <v>0.98255225170182081</v>
      </c>
      <c r="G1503" s="1087">
        <v>1.0290844081407919</v>
      </c>
      <c r="H1503" s="1087">
        <v>0.98172334415089979</v>
      </c>
      <c r="I1503" s="1087">
        <v>1.0168167498990637</v>
      </c>
      <c r="K1503">
        <v>1.854477039067876</v>
      </c>
      <c r="L1503">
        <v>0</v>
      </c>
      <c r="M1503">
        <v>3.3781271702703736E-3</v>
      </c>
      <c r="N1503">
        <v>0.35130199868457113</v>
      </c>
      <c r="O1503">
        <v>0.23845725249006092</v>
      </c>
      <c r="P1503">
        <v>1.3464100302469296E-2</v>
      </c>
      <c r="Q1503">
        <v>1.6395278879625594E-3</v>
      </c>
      <c r="R1503">
        <v>3.372230066832016E-3</v>
      </c>
      <c r="S1503">
        <v>0.37054535750620071</v>
      </c>
      <c r="T1503">
        <v>0.39584718114534079</v>
      </c>
      <c r="U1503">
        <v>0</v>
      </c>
      <c r="V1503">
        <v>0.19895621994099383</v>
      </c>
      <c r="W1503">
        <v>0.21968252204242622</v>
      </c>
      <c r="X1503">
        <v>5.5410677584713665E-2</v>
      </c>
      <c r="Y1503">
        <v>9.1780985865739777E-3</v>
      </c>
    </row>
    <row r="1504" spans="1:25" x14ac:dyDescent="0.25">
      <c r="A1504" s="1083"/>
      <c r="B1504" s="1455">
        <v>1254</v>
      </c>
      <c r="C1504" s="1087">
        <v>1.0253478560170035</v>
      </c>
      <c r="D1504" s="1087">
        <v>1.0097138999904582</v>
      </c>
      <c r="E1504" s="1087">
        <v>1.0373974205623686</v>
      </c>
      <c r="F1504" s="1087">
        <v>1.0402565892038995</v>
      </c>
      <c r="G1504" s="1087">
        <v>0.97242590248224881</v>
      </c>
      <c r="H1504" s="1087">
        <v>1.0293714713858253</v>
      </c>
      <c r="I1504" s="1087">
        <v>0.98399899271452529</v>
      </c>
      <c r="K1504">
        <v>1.8744569613134665</v>
      </c>
      <c r="L1504">
        <v>0</v>
      </c>
      <c r="M1504">
        <v>3.3621463005171935E-3</v>
      </c>
      <c r="N1504">
        <v>0.35779636971115025</v>
      </c>
      <c r="O1504">
        <v>0.23981376484411232</v>
      </c>
      <c r="P1504">
        <v>1.3649058722941408E-2</v>
      </c>
      <c r="Q1504">
        <v>1.6005308975936654E-3</v>
      </c>
      <c r="R1504">
        <v>3.3565227953337886E-3</v>
      </c>
      <c r="S1504">
        <v>0.3539782233866996</v>
      </c>
      <c r="T1504">
        <v>0.41914360956839852</v>
      </c>
      <c r="U1504">
        <v>0</v>
      </c>
      <c r="V1504">
        <v>0.20016045911806518</v>
      </c>
      <c r="W1504">
        <v>0.22271670999265339</v>
      </c>
      <c r="X1504">
        <v>5.6468510005577496E-2</v>
      </c>
      <c r="Y1504">
        <v>9.1353485714564617E-3</v>
      </c>
    </row>
    <row r="1505" spans="1:25" x14ac:dyDescent="0.25">
      <c r="A1505" s="1083"/>
      <c r="B1505" s="1455">
        <v>1255</v>
      </c>
      <c r="C1505" s="1087">
        <v>1.0126527241860688</v>
      </c>
      <c r="D1505" s="1087">
        <v>0.95660067246427227</v>
      </c>
      <c r="E1505" s="1087">
        <v>1.0061344789080902</v>
      </c>
      <c r="F1505" s="1087">
        <v>0.97930308158755119</v>
      </c>
      <c r="G1505" s="1087">
        <v>0.97498121109351832</v>
      </c>
      <c r="H1505" s="1087">
        <v>1.0276578483163119</v>
      </c>
      <c r="I1505" s="1087">
        <v>1.0244228692530517</v>
      </c>
      <c r="K1505">
        <v>1.8856335429230275</v>
      </c>
      <c r="L1505">
        <v>0</v>
      </c>
      <c r="M1505">
        <v>3.7326456057642822E-3</v>
      </c>
      <c r="N1505">
        <v>0.36113744029593409</v>
      </c>
      <c r="O1505">
        <v>0.23918484614109364</v>
      </c>
      <c r="P1505">
        <v>1.3395139172787153E-2</v>
      </c>
      <c r="Q1505">
        <v>1.602342354585524E-3</v>
      </c>
      <c r="R1505">
        <v>3.7264416179698364E-3</v>
      </c>
      <c r="S1505">
        <v>0.38386831149259343</v>
      </c>
      <c r="T1505">
        <v>0.39439568710353073</v>
      </c>
      <c r="U1505">
        <v>0</v>
      </c>
      <c r="V1505">
        <v>0.19899186401692681</v>
      </c>
      <c r="W1505">
        <v>0.2291583294569943</v>
      </c>
      <c r="X1505">
        <v>5.3763641213408604E-2</v>
      </c>
      <c r="Y1505">
        <v>1.0142145662964678E-2</v>
      </c>
    </row>
    <row r="1506" spans="1:25" x14ac:dyDescent="0.25">
      <c r="A1506" s="1083"/>
      <c r="B1506" s="1455">
        <v>1256</v>
      </c>
      <c r="C1506" s="1087">
        <v>0.99948709179513551</v>
      </c>
      <c r="D1506" s="1087">
        <v>0.99043685051216535</v>
      </c>
      <c r="E1506" s="1087">
        <v>0.97383859951465812</v>
      </c>
      <c r="F1506" s="1087">
        <v>0.99653881408353084</v>
      </c>
      <c r="G1506" s="1087">
        <v>1.0147628910517676</v>
      </c>
      <c r="H1506" s="1087">
        <v>0.99696478174472103</v>
      </c>
      <c r="I1506" s="1087">
        <v>0.99332027131108713</v>
      </c>
      <c r="K1506">
        <v>1.834956271787056</v>
      </c>
      <c r="L1506">
        <v>0</v>
      </c>
      <c r="M1506">
        <v>3.8467968804314868E-3</v>
      </c>
      <c r="N1506">
        <v>0.33720586841043848</v>
      </c>
      <c r="O1506">
        <v>0.23896894882025341</v>
      </c>
      <c r="P1506">
        <v>1.2909963452826386E-2</v>
      </c>
      <c r="Q1506">
        <v>1.5465949672696566E-3</v>
      </c>
      <c r="R1506">
        <v>3.8401753126544036E-3</v>
      </c>
      <c r="S1506">
        <v>0.36400865579587366</v>
      </c>
      <c r="T1506">
        <v>0.40114344556473891</v>
      </c>
      <c r="U1506">
        <v>0</v>
      </c>
      <c r="V1506">
        <v>0.19987234204967036</v>
      </c>
      <c r="W1506">
        <v>0.21836779664205541</v>
      </c>
      <c r="X1506">
        <v>5.0487586364113185E-2</v>
      </c>
      <c r="Y1506">
        <v>1.0451691287593694E-2</v>
      </c>
    </row>
    <row r="1507" spans="1:25" x14ac:dyDescent="0.25">
      <c r="A1507" s="1083"/>
      <c r="B1507" s="1455">
        <v>1257</v>
      </c>
      <c r="C1507" s="1087">
        <v>1.0332944302268019</v>
      </c>
      <c r="D1507" s="1087">
        <v>1.0006918507950864</v>
      </c>
      <c r="E1507" s="1087">
        <v>0.98655006052615735</v>
      </c>
      <c r="F1507" s="1087">
        <v>1.0210020918179235</v>
      </c>
      <c r="G1507" s="1087">
        <v>0.98737243197026592</v>
      </c>
      <c r="H1507" s="1087">
        <v>1.0382230636352907</v>
      </c>
      <c r="I1507" s="1087">
        <v>0.99057466719997023</v>
      </c>
      <c r="K1507">
        <v>1.8401197895867489</v>
      </c>
      <c r="L1507">
        <v>0</v>
      </c>
      <c r="M1507">
        <v>3.7535318537579576E-3</v>
      </c>
      <c r="N1507">
        <v>0.34208635452091402</v>
      </c>
      <c r="O1507">
        <v>0.23690708343540423</v>
      </c>
      <c r="P1507">
        <v>1.3039696554649791E-2</v>
      </c>
      <c r="Q1507">
        <v>1.5103705570325161E-3</v>
      </c>
      <c r="R1507">
        <v>3.7473164754358024E-3</v>
      </c>
      <c r="S1507">
        <v>0.35637360900396037</v>
      </c>
      <c r="T1507">
        <v>0.41106833011572036</v>
      </c>
      <c r="U1507">
        <v>0</v>
      </c>
      <c r="V1507">
        <v>0.19792462955191167</v>
      </c>
      <c r="W1507">
        <v>0.21974953421998383</v>
      </c>
      <c r="X1507">
        <v>5.1267436861900446E-2</v>
      </c>
      <c r="Y1507">
        <v>1.0198960143592117E-2</v>
      </c>
    </row>
    <row r="1508" spans="1:25" x14ac:dyDescent="0.25">
      <c r="A1508" s="1083"/>
      <c r="B1508" s="1455">
        <v>1258</v>
      </c>
      <c r="C1508" s="1087">
        <v>0.99612784600191318</v>
      </c>
      <c r="D1508" s="1087">
        <v>0.97823914588868821</v>
      </c>
      <c r="E1508" s="1087">
        <v>0.99244414870334008</v>
      </c>
      <c r="F1508" s="1087">
        <v>1.0184874981173937</v>
      </c>
      <c r="G1508" s="1087">
        <v>1.0029688881007579</v>
      </c>
      <c r="H1508" s="1087">
        <v>1.0375062411682916</v>
      </c>
      <c r="I1508" s="1087">
        <v>0.98719202000364836</v>
      </c>
      <c r="K1508">
        <v>1.9009571252273993</v>
      </c>
      <c r="L1508">
        <v>0</v>
      </c>
      <c r="M1508">
        <v>3.8932776984883081E-3</v>
      </c>
      <c r="N1508">
        <v>0.36126902142814499</v>
      </c>
      <c r="O1508">
        <v>0.2434966156417053</v>
      </c>
      <c r="P1508">
        <v>1.3378801987987013E-2</v>
      </c>
      <c r="Q1508">
        <v>1.591025538192805E-3</v>
      </c>
      <c r="R1508">
        <v>3.8868494703864502E-3</v>
      </c>
      <c r="S1508">
        <v>0.37308206692027307</v>
      </c>
      <c r="T1508">
        <v>0.41009202309394327</v>
      </c>
      <c r="U1508">
        <v>0</v>
      </c>
      <c r="V1508">
        <v>0.20291149678075859</v>
      </c>
      <c r="W1508">
        <v>0.23121224449248648</v>
      </c>
      <c r="X1508">
        <v>5.3351534613199317E-2</v>
      </c>
      <c r="Y1508">
        <v>1.057872295880836E-2</v>
      </c>
    </row>
    <row r="1509" spans="1:25" x14ac:dyDescent="0.25">
      <c r="A1509" s="1083"/>
      <c r="B1509" s="1455">
        <v>1259</v>
      </c>
      <c r="C1509" s="1087">
        <v>1.0314223839284409</v>
      </c>
      <c r="D1509" s="1087">
        <v>0.98153872139526588</v>
      </c>
      <c r="E1509" s="1087">
        <v>1.0346926018565703</v>
      </c>
      <c r="F1509" s="1087">
        <v>0.97712438078898889</v>
      </c>
      <c r="G1509" s="1087">
        <v>0.99970212574622197</v>
      </c>
      <c r="H1509" s="1087">
        <v>1.0034952787406717</v>
      </c>
      <c r="I1509" s="1087">
        <v>0.99695536100516635</v>
      </c>
      <c r="K1509">
        <v>1.8309881736204756</v>
      </c>
      <c r="L1509">
        <v>0</v>
      </c>
      <c r="M1509">
        <v>3.3286669901608753E-3</v>
      </c>
      <c r="N1509">
        <v>0.35131675173451782</v>
      </c>
      <c r="O1509">
        <v>0.23465922907206702</v>
      </c>
      <c r="P1509">
        <v>1.3254952108318075E-2</v>
      </c>
      <c r="Q1509">
        <v>1.604672364737071E-3</v>
      </c>
      <c r="R1509">
        <v>3.3229814168556004E-3</v>
      </c>
      <c r="S1509">
        <v>0.35763234204260624</v>
      </c>
      <c r="T1509">
        <v>0.39368975661648259</v>
      </c>
      <c r="U1509">
        <v>0</v>
      </c>
      <c r="V1509">
        <v>0.19570191081362784</v>
      </c>
      <c r="W1509">
        <v>0.2190433905927506</v>
      </c>
      <c r="X1509">
        <v>5.5046793852522098E-2</v>
      </c>
      <c r="Y1509">
        <v>9.0440599961512744E-3</v>
      </c>
    </row>
    <row r="1510" spans="1:25" x14ac:dyDescent="0.25">
      <c r="A1510" s="1083"/>
      <c r="B1510" s="1455">
        <v>1260</v>
      </c>
      <c r="C1510" s="1087">
        <v>0.9878663959207703</v>
      </c>
      <c r="D1510" s="1087">
        <v>0.99177573979235922</v>
      </c>
      <c r="E1510" s="1087">
        <v>1.0492079846590185</v>
      </c>
      <c r="F1510" s="1087">
        <v>1.0234720587420283</v>
      </c>
      <c r="G1510" s="1087">
        <v>1.0029506264412349</v>
      </c>
      <c r="H1510" s="1087">
        <v>1.0281088425197467</v>
      </c>
      <c r="I1510" s="1087">
        <v>1.0080831170337188</v>
      </c>
      <c r="K1510">
        <v>1.9386444917709424</v>
      </c>
      <c r="L1510">
        <v>0</v>
      </c>
      <c r="M1510">
        <v>3.4369317866718924E-3</v>
      </c>
      <c r="N1510">
        <v>0.37913620194683251</v>
      </c>
      <c r="O1510">
        <v>0.24455625301542006</v>
      </c>
      <c r="P1510">
        <v>1.4093433232925464E-2</v>
      </c>
      <c r="Q1510">
        <v>1.6939335411976439E-3</v>
      </c>
      <c r="R1510">
        <v>3.4311941542804142E-3</v>
      </c>
      <c r="S1510">
        <v>0.38017947087479248</v>
      </c>
      <c r="T1510">
        <v>0.41245617005384028</v>
      </c>
      <c r="U1510">
        <v>0</v>
      </c>
      <c r="V1510">
        <v>0.20385005445502608</v>
      </c>
      <c r="W1510">
        <v>0.23432003369144258</v>
      </c>
      <c r="X1510">
        <v>5.9026099196755125E-2</v>
      </c>
      <c r="Y1510">
        <v>9.3385793951023203E-3</v>
      </c>
    </row>
    <row r="1511" spans="1:25" x14ac:dyDescent="0.25">
      <c r="A1511" s="1083"/>
      <c r="B1511" s="1455">
        <v>1261</v>
      </c>
      <c r="C1511" s="1087">
        <v>0.99341303744759057</v>
      </c>
      <c r="D1511" s="1087">
        <v>1.0063752459315229</v>
      </c>
      <c r="E1511" s="1087">
        <v>0.97132266226109942</v>
      </c>
      <c r="F1511" s="1087">
        <v>0.99599464118923464</v>
      </c>
      <c r="G1511" s="1087">
        <v>1.0269304188146073</v>
      </c>
      <c r="H1511" s="1087">
        <v>0.98434272618923402</v>
      </c>
      <c r="I1511" s="1087">
        <v>0.98520956758561362</v>
      </c>
      <c r="K1511">
        <v>1.8170852733178626</v>
      </c>
      <c r="L1511">
        <v>0</v>
      </c>
      <c r="M1511">
        <v>3.808038022549073E-3</v>
      </c>
      <c r="N1511">
        <v>0.33124148053163949</v>
      </c>
      <c r="O1511">
        <v>0.23802495120387507</v>
      </c>
      <c r="P1511">
        <v>1.2795228609290856E-2</v>
      </c>
      <c r="Q1511">
        <v>1.5419478038759659E-3</v>
      </c>
      <c r="R1511">
        <v>3.8013843686475011E-3</v>
      </c>
      <c r="S1511">
        <v>0.35776098004450008</v>
      </c>
      <c r="T1511">
        <v>0.40090951346451398</v>
      </c>
      <c r="U1511">
        <v>0</v>
      </c>
      <c r="V1511">
        <v>0.19961885112740518</v>
      </c>
      <c r="W1511">
        <v>0.21484990992747785</v>
      </c>
      <c r="X1511">
        <v>5.0002949133748045E-2</v>
      </c>
      <c r="Y1511">
        <v>1.0346115125438161E-2</v>
      </c>
    </row>
    <row r="1512" spans="1:25" x14ac:dyDescent="0.25">
      <c r="A1512" s="1083"/>
      <c r="B1512" s="1455">
        <v>1262</v>
      </c>
      <c r="C1512" s="1087">
        <v>1.0105909947966027</v>
      </c>
      <c r="D1512" s="1087">
        <v>0.99930634407882202</v>
      </c>
      <c r="E1512" s="1087">
        <v>0.99079196043553619</v>
      </c>
      <c r="F1512" s="1087">
        <v>1.0049852450593415</v>
      </c>
      <c r="G1512" s="1087">
        <v>1.030549791819686</v>
      </c>
      <c r="H1512" s="1087">
        <v>0.99501107727603533</v>
      </c>
      <c r="I1512" s="1087">
        <v>1.0093023231761584</v>
      </c>
      <c r="K1512">
        <v>1.834723324805257</v>
      </c>
      <c r="L1512">
        <v>0</v>
      </c>
      <c r="M1512">
        <v>3.6502571211202836E-3</v>
      </c>
      <c r="N1512">
        <v>0.33698826549614608</v>
      </c>
      <c r="O1512">
        <v>0.23798812206130943</v>
      </c>
      <c r="P1512">
        <v>1.3110672662322534E-2</v>
      </c>
      <c r="Q1512">
        <v>1.5521991859723588E-3</v>
      </c>
      <c r="R1512">
        <v>3.6439534245297127E-3</v>
      </c>
      <c r="S1512">
        <v>0.36383195804776358</v>
      </c>
      <c r="T1512">
        <v>0.40464536645632243</v>
      </c>
      <c r="U1512">
        <v>0</v>
      </c>
      <c r="V1512">
        <v>0.19904622960716109</v>
      </c>
      <c r="W1512">
        <v>0.21589672602143584</v>
      </c>
      <c r="X1512">
        <v>5.1752448970766279E-2</v>
      </c>
      <c r="Y1512">
        <v>9.9176399926463234E-3</v>
      </c>
    </row>
    <row r="1513" spans="1:25" x14ac:dyDescent="0.25">
      <c r="A1513" s="1083"/>
      <c r="B1513" s="1455">
        <v>1263</v>
      </c>
      <c r="C1513" s="1087">
        <v>1.014156457657017</v>
      </c>
      <c r="D1513" s="1087">
        <v>1.0087657902381277</v>
      </c>
      <c r="E1513" s="1087">
        <v>1.0149683662511506</v>
      </c>
      <c r="F1513" s="1087">
        <v>1.0033845146956657</v>
      </c>
      <c r="G1513" s="1087">
        <v>1.0025259096556887</v>
      </c>
      <c r="H1513" s="1087">
        <v>0.99609311578807269</v>
      </c>
      <c r="I1513" s="1087">
        <v>0.97907728558230556</v>
      </c>
      <c r="K1513">
        <v>1.8260254039124375</v>
      </c>
      <c r="L1513">
        <v>0</v>
      </c>
      <c r="M1513">
        <v>3.4478217876776976E-3</v>
      </c>
      <c r="N1513">
        <v>0.34266597680798916</v>
      </c>
      <c r="O1513">
        <v>0.23678349964963605</v>
      </c>
      <c r="P1513">
        <v>1.314310376070278E-2</v>
      </c>
      <c r="Q1513">
        <v>1.5810766033075416E-3</v>
      </c>
      <c r="R1513">
        <v>3.4418659609947405E-3</v>
      </c>
      <c r="S1513">
        <v>0.35031152960342316</v>
      </c>
      <c r="T1513">
        <v>0.40414813367428187</v>
      </c>
      <c r="U1513">
        <v>0</v>
      </c>
      <c r="V1513">
        <v>0.19817858835016311</v>
      </c>
      <c r="W1513">
        <v>0.21624989329959457</v>
      </c>
      <c r="X1513">
        <v>5.3601933455001922E-2</v>
      </c>
      <c r="Y1513">
        <v>9.3676245350185743E-3</v>
      </c>
    </row>
    <row r="1514" spans="1:25" x14ac:dyDescent="0.25">
      <c r="A1514" s="1083"/>
      <c r="B1514" s="1455">
        <v>1264</v>
      </c>
      <c r="C1514" s="1087">
        <v>1.0125490315789527</v>
      </c>
      <c r="D1514" s="1087">
        <v>1.0083944106284746</v>
      </c>
      <c r="E1514" s="1087">
        <v>0.97387910099355712</v>
      </c>
      <c r="F1514" s="1087">
        <v>1.0068088999781428</v>
      </c>
      <c r="G1514" s="1087">
        <v>0.99984595527213094</v>
      </c>
      <c r="H1514" s="1087">
        <v>0.9723937814827871</v>
      </c>
      <c r="I1514" s="1087">
        <v>0.99473514624140391</v>
      </c>
      <c r="K1514">
        <v>1.7961718485683762</v>
      </c>
      <c r="L1514">
        <v>0</v>
      </c>
      <c r="M1514">
        <v>3.6671714327447136E-3</v>
      </c>
      <c r="N1514">
        <v>0.32148442067594335</v>
      </c>
      <c r="O1514">
        <v>0.23681535896601874</v>
      </c>
      <c r="P1514">
        <v>1.2783967814361962E-2</v>
      </c>
      <c r="Q1514">
        <v>1.5157768252447622E-3</v>
      </c>
      <c r="R1514">
        <v>3.6606826285415337E-3</v>
      </c>
      <c r="S1514">
        <v>0.35189169336510312</v>
      </c>
      <c r="T1514">
        <v>0.40527777446043195</v>
      </c>
      <c r="U1514">
        <v>0</v>
      </c>
      <c r="V1514">
        <v>0.1984092538401579</v>
      </c>
      <c r="W1514">
        <v>0.20818152726464112</v>
      </c>
      <c r="X1514">
        <v>4.9855392789487626E-2</v>
      </c>
      <c r="Y1514">
        <v>9.9631713711858753E-3</v>
      </c>
    </row>
    <row r="1515" spans="1:25" x14ac:dyDescent="0.25">
      <c r="A1515" s="1083"/>
      <c r="B1515" s="1455">
        <v>1265</v>
      </c>
      <c r="C1515" s="1087">
        <v>1.0129616298158715</v>
      </c>
      <c r="D1515" s="1087">
        <v>1.0061595576575393</v>
      </c>
      <c r="E1515" s="1087">
        <v>1.0066112131517033</v>
      </c>
      <c r="F1515" s="1087">
        <v>1.0095957760128877</v>
      </c>
      <c r="G1515" s="1087">
        <v>1.0229740058212595</v>
      </c>
      <c r="H1515" s="1087">
        <v>1.0217918447770469</v>
      </c>
      <c r="I1515" s="1087">
        <v>1.0209722455850552</v>
      </c>
      <c r="K1515">
        <v>1.8633996873283789</v>
      </c>
      <c r="L1515">
        <v>0</v>
      </c>
      <c r="M1515">
        <v>3.6071137755875342E-3</v>
      </c>
      <c r="N1515">
        <v>0.34949251393004654</v>
      </c>
      <c r="O1515">
        <v>0.23777608985450754</v>
      </c>
      <c r="P1515">
        <v>1.3387483296835707E-2</v>
      </c>
      <c r="Q1515">
        <v>1.570609709651533E-3</v>
      </c>
      <c r="R1515">
        <v>3.6010416594397699E-3</v>
      </c>
      <c r="S1515">
        <v>0.37084210390675676</v>
      </c>
      <c r="T1515">
        <v>0.40659842303278737</v>
      </c>
      <c r="U1515">
        <v>0</v>
      </c>
      <c r="V1515">
        <v>0.1989147304543539</v>
      </c>
      <c r="W1515">
        <v>0.22170335375401476</v>
      </c>
      <c r="X1515">
        <v>5.3319603191641134E-2</v>
      </c>
      <c r="Y1515">
        <v>9.8008483139310539E-3</v>
      </c>
    </row>
    <row r="1516" spans="1:25" x14ac:dyDescent="0.25">
      <c r="A1516" s="1083"/>
      <c r="B1516" s="1455">
        <v>1266</v>
      </c>
      <c r="C1516" s="1087">
        <v>1.0173866598834151</v>
      </c>
      <c r="D1516" s="1087">
        <v>0.98939028937134543</v>
      </c>
      <c r="E1516" s="1087">
        <v>1.029369737088327</v>
      </c>
      <c r="F1516" s="1087">
        <v>1.0313146052062951</v>
      </c>
      <c r="G1516" s="1087">
        <v>0.99065154801445632</v>
      </c>
      <c r="H1516" s="1087">
        <v>0.98690983069853777</v>
      </c>
      <c r="I1516" s="1087">
        <v>1.0111141618822068</v>
      </c>
      <c r="K1516">
        <v>1.8657485071869857</v>
      </c>
      <c r="L1516">
        <v>0</v>
      </c>
      <c r="M1516">
        <v>3.3406424639456124E-3</v>
      </c>
      <c r="N1516">
        <v>0.34690215019791781</v>
      </c>
      <c r="O1516">
        <v>0.24176993229791502</v>
      </c>
      <c r="P1516">
        <v>1.366125048815682E-2</v>
      </c>
      <c r="Q1516">
        <v>1.6126116715812686E-3</v>
      </c>
      <c r="R1516">
        <v>3.3348335814428307E-3</v>
      </c>
      <c r="S1516">
        <v>0.36300808839352083</v>
      </c>
      <c r="T1516">
        <v>0.41548934460605819</v>
      </c>
      <c r="U1516">
        <v>0</v>
      </c>
      <c r="V1516">
        <v>0.20132892882530579</v>
      </c>
      <c r="W1516">
        <v>0.21699435128060643</v>
      </c>
      <c r="X1516">
        <v>5.5911340627334771E-2</v>
      </c>
      <c r="Y1516">
        <v>9.0763176810927139E-3</v>
      </c>
    </row>
    <row r="1517" spans="1:25" x14ac:dyDescent="0.25">
      <c r="A1517" s="1083"/>
      <c r="B1517" s="1455">
        <v>1267</v>
      </c>
      <c r="C1517" s="1087">
        <v>1.0006186781708808</v>
      </c>
      <c r="D1517" s="1087">
        <v>1.0368602606638944</v>
      </c>
      <c r="E1517" s="1087">
        <v>1.0137362835595192</v>
      </c>
      <c r="F1517" s="1087">
        <v>1.0092528728034313</v>
      </c>
      <c r="G1517" s="1087">
        <v>1.0130175696116626</v>
      </c>
      <c r="H1517" s="1087">
        <v>0.9877055275279748</v>
      </c>
      <c r="I1517" s="1087">
        <v>0.99206831083772551</v>
      </c>
      <c r="K1517">
        <v>1.8246040801117371</v>
      </c>
      <c r="L1517">
        <v>0</v>
      </c>
      <c r="M1517">
        <v>3.4223944257047926E-3</v>
      </c>
      <c r="N1517">
        <v>0.3388563768942866</v>
      </c>
      <c r="O1517">
        <v>0.23631097952683067</v>
      </c>
      <c r="P1517">
        <v>1.3204865847625686E-2</v>
      </c>
      <c r="Q1517">
        <v>1.5828922197436927E-3</v>
      </c>
      <c r="R1517">
        <v>3.4164088844318703E-3</v>
      </c>
      <c r="S1517">
        <v>0.35284161421577959</v>
      </c>
      <c r="T1517">
        <v>0.40650420900777168</v>
      </c>
      <c r="U1517">
        <v>0</v>
      </c>
      <c r="V1517">
        <v>0.19863736927891507</v>
      </c>
      <c r="W1517">
        <v>0.21400865103782343</v>
      </c>
      <c r="X1517">
        <v>5.3364768859697022E-2</v>
      </c>
      <c r="Y1517">
        <v>9.298338764537473E-3</v>
      </c>
    </row>
    <row r="1518" spans="1:25" x14ac:dyDescent="0.25">
      <c r="A1518" s="1083"/>
      <c r="B1518" s="1455">
        <v>1268</v>
      </c>
      <c r="C1518" s="1087">
        <v>0.96516371412674673</v>
      </c>
      <c r="D1518" s="1087">
        <v>0.99982784815893677</v>
      </c>
      <c r="E1518" s="1087">
        <v>1.0335996829184837</v>
      </c>
      <c r="F1518" s="1087">
        <v>1.0161859812710019</v>
      </c>
      <c r="G1518" s="1087">
        <v>0.99191458660345877</v>
      </c>
      <c r="H1518" s="1087">
        <v>0.98311955056537315</v>
      </c>
      <c r="I1518" s="1087">
        <v>0.96549411618863856</v>
      </c>
      <c r="K1518">
        <v>1.8957254439462532</v>
      </c>
      <c r="L1518">
        <v>0</v>
      </c>
      <c r="M1518">
        <v>3.4585815187425334E-3</v>
      </c>
      <c r="N1518">
        <v>0.36380140831075508</v>
      </c>
      <c r="O1518">
        <v>0.2455150022978968</v>
      </c>
      <c r="P1518">
        <v>1.3668200073723581E-2</v>
      </c>
      <c r="Q1518">
        <v>1.7002698642615225E-3</v>
      </c>
      <c r="R1518">
        <v>3.452536763695925E-3</v>
      </c>
      <c r="S1518">
        <v>0.3626643042833137</v>
      </c>
      <c r="T1518">
        <v>0.40942103960057968</v>
      </c>
      <c r="U1518">
        <v>0</v>
      </c>
      <c r="V1518">
        <v>0.20523683817932631</v>
      </c>
      <c r="W1518">
        <v>0.22697851570519595</v>
      </c>
      <c r="X1518">
        <v>5.7349243443904137E-2</v>
      </c>
      <c r="Y1518">
        <v>9.396666942342034E-3</v>
      </c>
    </row>
    <row r="1519" spans="1:25" x14ac:dyDescent="0.25">
      <c r="A1519" s="1083"/>
      <c r="B1519" s="1455">
        <v>1269</v>
      </c>
      <c r="C1519" s="1087">
        <v>0.99099967193651528</v>
      </c>
      <c r="D1519" s="1087">
        <v>1.0040650872245533</v>
      </c>
      <c r="E1519" s="1087">
        <v>1.0067428668349612</v>
      </c>
      <c r="F1519" s="1087">
        <v>1.0051559720163761</v>
      </c>
      <c r="G1519" s="1087">
        <v>1.0259508251965099</v>
      </c>
      <c r="H1519" s="1087">
        <v>1.0223615613343693</v>
      </c>
      <c r="I1519" s="1087">
        <v>1.0012836618111449</v>
      </c>
      <c r="K1519">
        <v>1.8822128497105997</v>
      </c>
      <c r="L1519">
        <v>0</v>
      </c>
      <c r="M1519">
        <v>3.6927388153853795E-3</v>
      </c>
      <c r="N1519">
        <v>0.35793300231140751</v>
      </c>
      <c r="O1519">
        <v>0.24014077848120641</v>
      </c>
      <c r="P1519">
        <v>1.3413079199653939E-2</v>
      </c>
      <c r="Q1519">
        <v>1.6069800107181846E-3</v>
      </c>
      <c r="R1519">
        <v>3.6865286313222424E-3</v>
      </c>
      <c r="S1519">
        <v>0.3723089531534014</v>
      </c>
      <c r="T1519">
        <v>0.40481116916471149</v>
      </c>
      <c r="U1519">
        <v>0</v>
      </c>
      <c r="V1519">
        <v>0.20100582578848666</v>
      </c>
      <c r="W1519">
        <v>0.22703906109519331</v>
      </c>
      <c r="X1519">
        <v>5.3926695019257911E-2</v>
      </c>
      <c r="Y1519">
        <v>1.0033515670622438E-2</v>
      </c>
    </row>
    <row r="1520" spans="1:25" x14ac:dyDescent="0.25">
      <c r="A1520" s="1083"/>
      <c r="B1520" s="1455">
        <v>1270</v>
      </c>
      <c r="C1520" s="1087">
        <v>1.0115902083287385</v>
      </c>
      <c r="D1520" s="1087">
        <v>0.98817100716379702</v>
      </c>
      <c r="E1520" s="1087">
        <v>0.98331892794031928</v>
      </c>
      <c r="F1520" s="1087">
        <v>1.0176248482383958</v>
      </c>
      <c r="G1520" s="1087">
        <v>1.0033906134215691</v>
      </c>
      <c r="H1520" s="1087">
        <v>0.96128226557186969</v>
      </c>
      <c r="I1520" s="1087">
        <v>1.0266233885419793</v>
      </c>
      <c r="K1520">
        <v>1.8259088002473145</v>
      </c>
      <c r="L1520">
        <v>0</v>
      </c>
      <c r="M1520">
        <v>3.5989339234218324E-3</v>
      </c>
      <c r="N1520">
        <v>0.32473300801810212</v>
      </c>
      <c r="O1520">
        <v>0.24035253379253657</v>
      </c>
      <c r="P1520">
        <v>1.3150431527732192E-2</v>
      </c>
      <c r="Q1520">
        <v>1.5451949721335342E-3</v>
      </c>
      <c r="R1520">
        <v>3.5925109233211584E-3</v>
      </c>
      <c r="S1520">
        <v>0.36568124437687793</v>
      </c>
      <c r="T1520">
        <v>0.40968890153307996</v>
      </c>
      <c r="U1520">
        <v>0</v>
      </c>
      <c r="V1520">
        <v>0.20057296652976228</v>
      </c>
      <c r="W1520">
        <v>0.2090284734202851</v>
      </c>
      <c r="X1520">
        <v>5.1384838614533489E-2</v>
      </c>
      <c r="Y1520">
        <v>9.7776304623725992E-3</v>
      </c>
    </row>
    <row r="1521" spans="1:25" x14ac:dyDescent="0.25">
      <c r="A1521" s="1083"/>
      <c r="B1521" s="1455">
        <v>1271</v>
      </c>
      <c r="C1521" s="1087">
        <v>0.982769820561878</v>
      </c>
      <c r="D1521" s="1087">
        <v>1.0025604890033413</v>
      </c>
      <c r="E1521" s="1087">
        <v>1.0158673036513062</v>
      </c>
      <c r="F1521" s="1087">
        <v>0.99776727292273626</v>
      </c>
      <c r="G1521" s="1087">
        <v>1.0027927509235652</v>
      </c>
      <c r="H1521" s="1087">
        <v>0.99864681096297436</v>
      </c>
      <c r="I1521" s="1087">
        <v>0.98764076149045965</v>
      </c>
      <c r="K1521">
        <v>1.8703462311577652</v>
      </c>
      <c r="L1521">
        <v>0</v>
      </c>
      <c r="M1521">
        <v>3.5727792135084478E-3</v>
      </c>
      <c r="N1521">
        <v>0.35606153708966548</v>
      </c>
      <c r="O1521">
        <v>0.24056079978986697</v>
      </c>
      <c r="P1521">
        <v>1.3387383753389702E-2</v>
      </c>
      <c r="Q1521">
        <v>1.6371583002804133E-3</v>
      </c>
      <c r="R1521">
        <v>3.5666293339556144E-3</v>
      </c>
      <c r="S1521">
        <v>0.36640423746567186</v>
      </c>
      <c r="T1521">
        <v>0.40189108718499889</v>
      </c>
      <c r="U1521">
        <v>0</v>
      </c>
      <c r="V1521">
        <v>0.20140544413029288</v>
      </c>
      <c r="W1521">
        <v>0.2245788497562646</v>
      </c>
      <c r="X1521">
        <v>5.471869425890212E-2</v>
      </c>
      <c r="Y1521">
        <v>9.7071893079832324E-3</v>
      </c>
    </row>
    <row r="1522" spans="1:25" x14ac:dyDescent="0.25">
      <c r="A1522" s="1083"/>
      <c r="B1522" s="1455">
        <v>1272</v>
      </c>
      <c r="C1522" s="1087">
        <v>1.006869075478378</v>
      </c>
      <c r="D1522" s="1087">
        <v>1.0049936120892744</v>
      </c>
      <c r="E1522" s="1087">
        <v>0.97870224802722272</v>
      </c>
      <c r="F1522" s="1087">
        <v>1.0003500027121373</v>
      </c>
      <c r="G1522" s="1087">
        <v>0.98760476948787934</v>
      </c>
      <c r="H1522" s="1087">
        <v>1.005540837717223</v>
      </c>
      <c r="I1522" s="1087">
        <v>0.96138383654007942</v>
      </c>
      <c r="K1522">
        <v>1.815970070061637</v>
      </c>
      <c r="L1522">
        <v>0</v>
      </c>
      <c r="M1522">
        <v>3.7834284422948758E-3</v>
      </c>
      <c r="N1522">
        <v>0.33662268344283475</v>
      </c>
      <c r="O1522">
        <v>0.2371542958954152</v>
      </c>
      <c r="P1522">
        <v>1.2753590066823932E-2</v>
      </c>
      <c r="Q1522">
        <v>1.5343513306063179E-3</v>
      </c>
      <c r="R1522">
        <v>3.7769581184671501E-3</v>
      </c>
      <c r="S1522">
        <v>0.34843688215724933</v>
      </c>
      <c r="T1522">
        <v>0.40270656433508578</v>
      </c>
      <c r="U1522">
        <v>0</v>
      </c>
      <c r="V1522">
        <v>0.19866909601810095</v>
      </c>
      <c r="W1522">
        <v>0.21731676113875442</v>
      </c>
      <c r="X1522">
        <v>5.0502681076037184E-2</v>
      </c>
      <c r="Y1522">
        <v>1.027963492455845E-2</v>
      </c>
    </row>
    <row r="1523" spans="1:25" x14ac:dyDescent="0.25">
      <c r="A1523" s="1083"/>
      <c r="B1523" s="1455">
        <v>1273</v>
      </c>
      <c r="C1523" s="1087">
        <v>0.976936284382799</v>
      </c>
      <c r="D1523" s="1087">
        <v>0.9913148590306603</v>
      </c>
      <c r="E1523" s="1087">
        <v>1.0401987773409207</v>
      </c>
      <c r="F1523" s="1087">
        <v>0.99242978969907725</v>
      </c>
      <c r="G1523" s="1087">
        <v>0.99149606830750703</v>
      </c>
      <c r="H1523" s="1087">
        <v>1.0064404077206162</v>
      </c>
      <c r="I1523" s="1087">
        <v>1.0075658975936821</v>
      </c>
      <c r="K1523">
        <v>1.910123519897083</v>
      </c>
      <c r="L1523">
        <v>0</v>
      </c>
      <c r="M1523">
        <v>3.4663083054227938E-3</v>
      </c>
      <c r="N1523">
        <v>0.37202701019917311</v>
      </c>
      <c r="O1523">
        <v>0.24210889975949343</v>
      </c>
      <c r="P1523">
        <v>1.3804047151393689E-2</v>
      </c>
      <c r="Q1523">
        <v>1.697205867561334E-3</v>
      </c>
      <c r="R1523">
        <v>3.4603967279172544E-3</v>
      </c>
      <c r="S1523">
        <v>0.38012471873951625</v>
      </c>
      <c r="T1523">
        <v>0.39989037747385447</v>
      </c>
      <c r="U1523">
        <v>0</v>
      </c>
      <c r="V1523">
        <v>0.20232960980750825</v>
      </c>
      <c r="W1523">
        <v>0.23118142753657084</v>
      </c>
      <c r="X1523">
        <v>5.7548075765598866E-2</v>
      </c>
      <c r="Y1523">
        <v>9.41805917391598E-3</v>
      </c>
    </row>
    <row r="1524" spans="1:25" x14ac:dyDescent="0.25">
      <c r="A1524" s="1083"/>
      <c r="B1524" s="1455">
        <v>1274</v>
      </c>
      <c r="C1524" s="1087">
        <v>0.99034998406895225</v>
      </c>
      <c r="D1524" s="1087">
        <v>0.9878362399908025</v>
      </c>
      <c r="E1524" s="1087">
        <v>1.0215875791158204</v>
      </c>
      <c r="F1524" s="1087">
        <v>1.0091792848217713</v>
      </c>
      <c r="G1524" s="1087">
        <v>0.99772612468720623</v>
      </c>
      <c r="H1524" s="1087">
        <v>0.98747650869146941</v>
      </c>
      <c r="I1524" s="1087">
        <v>1.0076351123203762</v>
      </c>
      <c r="K1524">
        <v>1.8805816798922721</v>
      </c>
      <c r="L1524">
        <v>0</v>
      </c>
      <c r="M1524">
        <v>3.4927130209965228E-3</v>
      </c>
      <c r="N1524">
        <v>0.35419776630451194</v>
      </c>
      <c r="O1524">
        <v>0.24254911262463208</v>
      </c>
      <c r="P1524">
        <v>1.3599161442706918E-2</v>
      </c>
      <c r="Q1524">
        <v>1.6441664947482158E-3</v>
      </c>
      <c r="R1524">
        <v>3.4866456080699863E-3</v>
      </c>
      <c r="S1524">
        <v>0.37200600332695244</v>
      </c>
      <c r="T1524">
        <v>0.40652317496095747</v>
      </c>
      <c r="U1524">
        <v>0</v>
      </c>
      <c r="V1524">
        <v>0.20238921863821385</v>
      </c>
      <c r="W1524">
        <v>0.22261736377906161</v>
      </c>
      <c r="X1524">
        <v>5.5572279760662223E-2</v>
      </c>
      <c r="Y1524">
        <v>9.4894999727507048E-3</v>
      </c>
    </row>
    <row r="1525" spans="1:25" x14ac:dyDescent="0.25">
      <c r="A1525" s="1083"/>
      <c r="B1525" s="1455">
        <v>1275</v>
      </c>
      <c r="C1525" s="1087">
        <v>0.99626480394449346</v>
      </c>
      <c r="D1525" s="1087">
        <v>1.0366862645303776</v>
      </c>
      <c r="E1525" s="1087">
        <v>1.0301208327868814</v>
      </c>
      <c r="F1525" s="1087">
        <v>0.99918966307227064</v>
      </c>
      <c r="G1525" s="1087">
        <v>0.99569363338294203</v>
      </c>
      <c r="H1525" s="1087">
        <v>0.97426478303340125</v>
      </c>
      <c r="I1525" s="1087">
        <v>1.0132101853467963</v>
      </c>
      <c r="K1525">
        <v>1.8299199565284272</v>
      </c>
      <c r="L1525">
        <v>0</v>
      </c>
      <c r="M1525">
        <v>3.2791135273021899E-3</v>
      </c>
      <c r="N1525">
        <v>0.34128088508104648</v>
      </c>
      <c r="O1525">
        <v>0.2359478583425097</v>
      </c>
      <c r="P1525">
        <v>1.3401374319600616E-2</v>
      </c>
      <c r="Q1525">
        <v>1.6176012509881716E-3</v>
      </c>
      <c r="R1525">
        <v>3.2733002416433597E-3</v>
      </c>
      <c r="S1525">
        <v>0.35974188142828512</v>
      </c>
      <c r="T1525">
        <v>0.40255169791619844</v>
      </c>
      <c r="U1525">
        <v>0</v>
      </c>
      <c r="V1525">
        <v>0.19836855770870607</v>
      </c>
      <c r="W1525">
        <v>0.21338018141612081</v>
      </c>
      <c r="X1525">
        <v>5.4726888136010725E-2</v>
      </c>
      <c r="Y1525">
        <v>8.9088442146185651E-3</v>
      </c>
    </row>
    <row r="1526" spans="1:25" x14ac:dyDescent="0.25">
      <c r="A1526" s="1083"/>
      <c r="B1526" s="1455">
        <v>1276</v>
      </c>
      <c r="C1526" s="1087">
        <v>0.99609270312863896</v>
      </c>
      <c r="D1526" s="1087">
        <v>1.0156521020604639</v>
      </c>
      <c r="E1526" s="1087">
        <v>0.99069558875657626</v>
      </c>
      <c r="F1526" s="1087">
        <v>0.99904951434822165</v>
      </c>
      <c r="G1526" s="1087">
        <v>1.0446823820791185</v>
      </c>
      <c r="H1526" s="1087">
        <v>1.039431710346721</v>
      </c>
      <c r="I1526" s="1087">
        <v>0.96100049897964201</v>
      </c>
      <c r="K1526">
        <v>1.852668627015847</v>
      </c>
      <c r="L1526">
        <v>0</v>
      </c>
      <c r="M1526">
        <v>3.8358753062757911E-3</v>
      </c>
      <c r="N1526">
        <v>0.35404501968843538</v>
      </c>
      <c r="O1526">
        <v>0.23742938592580984</v>
      </c>
      <c r="P1526">
        <v>1.2974095855493277E-2</v>
      </c>
      <c r="Q1526">
        <v>1.5644431042124238E-3</v>
      </c>
      <c r="R1526">
        <v>3.8295199789371336E-3</v>
      </c>
      <c r="S1526">
        <v>0.35603516924252687</v>
      </c>
      <c r="T1526">
        <v>0.40225483550450902</v>
      </c>
      <c r="U1526">
        <v>0</v>
      </c>
      <c r="V1526">
        <v>0.19922444246866761</v>
      </c>
      <c r="W1526">
        <v>0.22683815270281205</v>
      </c>
      <c r="X1526">
        <v>5.1886746868973557E-2</v>
      </c>
      <c r="Y1526">
        <v>1.04226909817451E-2</v>
      </c>
    </row>
    <row r="1527" spans="1:25" x14ac:dyDescent="0.25">
      <c r="A1527" s="1083"/>
      <c r="B1527" s="1455">
        <v>1277</v>
      </c>
      <c r="C1527" s="1087">
        <v>0.97072690868149758</v>
      </c>
      <c r="D1527" s="1087">
        <v>0.99705879741003267</v>
      </c>
      <c r="E1527" s="1087">
        <v>1.0151509611563427</v>
      </c>
      <c r="F1527" s="1087">
        <v>1.0231018954616498</v>
      </c>
      <c r="G1527" s="1087">
        <v>0.97347661673347885</v>
      </c>
      <c r="H1527" s="1087">
        <v>1.0068929789565386</v>
      </c>
      <c r="I1527" s="1087">
        <v>1.0226136750565502</v>
      </c>
      <c r="K1527">
        <v>1.9253404279684236</v>
      </c>
      <c r="L1527">
        <v>0</v>
      </c>
      <c r="M1527">
        <v>3.6634236801042965E-3</v>
      </c>
      <c r="N1527">
        <v>0.36430443823246889</v>
      </c>
      <c r="O1527">
        <v>0.24563557384439433</v>
      </c>
      <c r="P1527">
        <v>1.3855958102347821E-2</v>
      </c>
      <c r="Q1527">
        <v>1.6598639032430517E-3</v>
      </c>
      <c r="R1527">
        <v>3.6571746130686965E-3</v>
      </c>
      <c r="S1527">
        <v>0.38683928100453213</v>
      </c>
      <c r="T1527">
        <v>0.412091140904708</v>
      </c>
      <c r="U1527">
        <v>0</v>
      </c>
      <c r="V1527">
        <v>0.20523878540174459</v>
      </c>
      <c r="W1527">
        <v>0.22987957584425972</v>
      </c>
      <c r="X1527">
        <v>5.5888436088271987E-2</v>
      </c>
      <c r="Y1527">
        <v>9.9536237094858017E-3</v>
      </c>
    </row>
    <row r="1528" spans="1:25" x14ac:dyDescent="0.25">
      <c r="A1528" s="1083"/>
      <c r="B1528" s="1455">
        <v>1278</v>
      </c>
      <c r="C1528" s="1087">
        <v>1.0370521565763544</v>
      </c>
      <c r="D1528" s="1087">
        <v>0.99639194565546629</v>
      </c>
      <c r="E1528" s="1087">
        <v>1.0238517372383231</v>
      </c>
      <c r="F1528" s="1087">
        <v>0.97865990952291537</v>
      </c>
      <c r="G1528" s="1087">
        <v>0.98799446970722438</v>
      </c>
      <c r="H1528" s="1087">
        <v>1.0002276148032083</v>
      </c>
      <c r="I1528" s="1087">
        <v>0.99095724524973305</v>
      </c>
      <c r="K1528">
        <v>1.8046180418544762</v>
      </c>
      <c r="L1528">
        <v>0</v>
      </c>
      <c r="M1528">
        <v>3.3467673066442209E-3</v>
      </c>
      <c r="N1528">
        <v>0.34175341738212972</v>
      </c>
      <c r="O1528">
        <v>0.2325806166424377</v>
      </c>
      <c r="P1528">
        <v>1.303383932520626E-2</v>
      </c>
      <c r="Q1528">
        <v>1.5684525642030986E-3</v>
      </c>
      <c r="R1528">
        <v>3.3410198580435414E-3</v>
      </c>
      <c r="S1528">
        <v>0.34992587611022191</v>
      </c>
      <c r="T1528">
        <v>0.39424283171937891</v>
      </c>
      <c r="U1528">
        <v>0</v>
      </c>
      <c r="V1528">
        <v>0.19442001498463024</v>
      </c>
      <c r="W1528">
        <v>0.21449741916697512</v>
      </c>
      <c r="X1528">
        <v>5.3508166721199381E-2</v>
      </c>
      <c r="Y1528">
        <v>9.0931546866943169E-3</v>
      </c>
    </row>
    <row r="1529" spans="1:25" x14ac:dyDescent="0.25">
      <c r="A1529" s="1083"/>
      <c r="B1529" s="1455">
        <v>1279</v>
      </c>
      <c r="C1529" s="1087">
        <v>0.99848109793649853</v>
      </c>
      <c r="D1529" s="1087">
        <v>0.98502206557586069</v>
      </c>
      <c r="E1529" s="1087">
        <v>1.0163955353916647</v>
      </c>
      <c r="F1529" s="1087">
        <v>0.9981668509968874</v>
      </c>
      <c r="G1529" s="1087">
        <v>1.0109775497705347</v>
      </c>
      <c r="H1529" s="1087">
        <v>1.0016367767197485</v>
      </c>
      <c r="I1529" s="1087">
        <v>0.99659966015131751</v>
      </c>
      <c r="K1529">
        <v>1.869547889450093</v>
      </c>
      <c r="L1529">
        <v>0</v>
      </c>
      <c r="M1529">
        <v>3.5569298793869234E-3</v>
      </c>
      <c r="N1529">
        <v>0.35505653321096881</v>
      </c>
      <c r="O1529">
        <v>0.24044667925385696</v>
      </c>
      <c r="P1529">
        <v>1.3407216113835609E-2</v>
      </c>
      <c r="Q1529">
        <v>1.6237191564441391E-3</v>
      </c>
      <c r="R1529">
        <v>3.5508404866080364E-3</v>
      </c>
      <c r="S1529">
        <v>0.36803365096919721</v>
      </c>
      <c r="T1529">
        <v>0.40205526447435841</v>
      </c>
      <c r="U1529">
        <v>0</v>
      </c>
      <c r="V1529">
        <v>0.20067145358845587</v>
      </c>
      <c r="W1529">
        <v>0.22387195159977677</v>
      </c>
      <c r="X1529">
        <v>5.4723293205679889E-2</v>
      </c>
      <c r="Y1529">
        <v>9.6642172702952507E-3</v>
      </c>
    </row>
    <row r="1530" spans="1:25" x14ac:dyDescent="0.25">
      <c r="A1530" s="1083"/>
      <c r="B1530" s="1455">
        <v>1280</v>
      </c>
      <c r="C1530" s="1087">
        <v>1.0207941611414195</v>
      </c>
      <c r="D1530" s="1087">
        <v>0.99839529505543978</v>
      </c>
      <c r="E1530" s="1087">
        <v>0.97274404649016866</v>
      </c>
      <c r="F1530" s="1087">
        <v>0.97100141210725754</v>
      </c>
      <c r="G1530" s="1087">
        <v>0.97795049939439005</v>
      </c>
      <c r="H1530" s="1087">
        <v>0.95398572477736776</v>
      </c>
      <c r="I1530" s="1087">
        <v>0.99204833546125226</v>
      </c>
      <c r="K1530">
        <v>1.7556284338721539</v>
      </c>
      <c r="L1530">
        <v>0</v>
      </c>
      <c r="M1530">
        <v>3.5963743400566116E-3</v>
      </c>
      <c r="N1530">
        <v>0.31417571692780255</v>
      </c>
      <c r="O1530">
        <v>0.2326314501363157</v>
      </c>
      <c r="P1530">
        <v>1.2466381331900506E-2</v>
      </c>
      <c r="Q1530">
        <v>1.5076888151643029E-3</v>
      </c>
      <c r="R1530">
        <v>3.5898972822444876E-3</v>
      </c>
      <c r="S1530">
        <v>0.34678046430547937</v>
      </c>
      <c r="T1530">
        <v>0.39085738854360869</v>
      </c>
      <c r="U1530">
        <v>0</v>
      </c>
      <c r="V1530">
        <v>0.19500875991442154</v>
      </c>
      <c r="W1530">
        <v>0.20359595438930692</v>
      </c>
      <c r="X1530">
        <v>4.8840589573018074E-2</v>
      </c>
      <c r="Y1530">
        <v>9.770516992948456E-3</v>
      </c>
    </row>
    <row r="1531" spans="1:25" x14ac:dyDescent="0.25">
      <c r="A1531" s="1083"/>
      <c r="B1531" s="1455">
        <v>1281</v>
      </c>
      <c r="C1531" s="1087">
        <v>0.99591968577268009</v>
      </c>
      <c r="D1531" s="1087">
        <v>1.0233873325877854</v>
      </c>
      <c r="E1531" s="1087">
        <v>1.0110266691423944</v>
      </c>
      <c r="F1531" s="1087">
        <v>1.0073852534352439</v>
      </c>
      <c r="G1531" s="1087">
        <v>0.98595231886133095</v>
      </c>
      <c r="H1531" s="1087">
        <v>0.97479697927239994</v>
      </c>
      <c r="I1531" s="1087">
        <v>1.0019764395319772</v>
      </c>
      <c r="K1531">
        <v>1.8303011848534285</v>
      </c>
      <c r="L1531">
        <v>0</v>
      </c>
      <c r="M1531">
        <v>3.4371241629897009E-3</v>
      </c>
      <c r="N1531">
        <v>0.33750822069716374</v>
      </c>
      <c r="O1531">
        <v>0.23795222691606621</v>
      </c>
      <c r="P1531">
        <v>1.3257313682177222E-2</v>
      </c>
      <c r="Q1531">
        <v>1.5941227455051285E-3</v>
      </c>
      <c r="R1531">
        <v>3.4310451712499706E-3</v>
      </c>
      <c r="S1531">
        <v>0.35830352100035801</v>
      </c>
      <c r="T1531">
        <v>0.4057352903992405</v>
      </c>
      <c r="U1531">
        <v>0</v>
      </c>
      <c r="V1531">
        <v>0.19967186779873283</v>
      </c>
      <c r="W1531">
        <v>0.21351504816467401</v>
      </c>
      <c r="X1531">
        <v>5.3431478528843647E-2</v>
      </c>
      <c r="Y1531">
        <v>9.3381739124056926E-3</v>
      </c>
    </row>
    <row r="1532" spans="1:25" x14ac:dyDescent="0.25">
      <c r="A1532" s="1083"/>
      <c r="B1532" s="1455">
        <v>1282</v>
      </c>
      <c r="C1532" s="1087">
        <v>1.0311119072158812</v>
      </c>
      <c r="D1532" s="1087">
        <v>0.9747697420449899</v>
      </c>
      <c r="E1532" s="1087">
        <v>0.96590873827999957</v>
      </c>
      <c r="F1532" s="1087">
        <v>0.99125055893030445</v>
      </c>
      <c r="G1532" s="1087">
        <v>0.99197848009219891</v>
      </c>
      <c r="H1532" s="1087">
        <v>1.0050097167079326</v>
      </c>
      <c r="I1532" s="1087">
        <v>0.9734912890871964</v>
      </c>
      <c r="K1532">
        <v>1.8000090249057104</v>
      </c>
      <c r="L1532">
        <v>0</v>
      </c>
      <c r="M1532">
        <v>3.8529845708481277E-3</v>
      </c>
      <c r="N1532">
        <v>0.32966125100428784</v>
      </c>
      <c r="O1532">
        <v>0.23606614607397491</v>
      </c>
      <c r="P1532">
        <v>1.2579479906207809E-2</v>
      </c>
      <c r="Q1532">
        <v>1.4958578082420199E-3</v>
      </c>
      <c r="R1532">
        <v>3.8464199015564586E-3</v>
      </c>
      <c r="S1532">
        <v>0.35017664117700736</v>
      </c>
      <c r="T1532">
        <v>0.39896813959272559</v>
      </c>
      <c r="U1532">
        <v>0</v>
      </c>
      <c r="V1532">
        <v>0.19690729417871955</v>
      </c>
      <c r="W1532">
        <v>0.21456688383296962</v>
      </c>
      <c r="X1532">
        <v>4.9125209000808696E-2</v>
      </c>
      <c r="Y1532">
        <v>1.0468687000056907E-2</v>
      </c>
    </row>
    <row r="1533" spans="1:25" x14ac:dyDescent="0.25">
      <c r="A1533" s="1083"/>
      <c r="B1533" s="1455">
        <v>1283</v>
      </c>
      <c r="C1533" s="1087">
        <v>0.95685760486932658</v>
      </c>
      <c r="D1533" s="1087">
        <v>0.96724443124525084</v>
      </c>
      <c r="E1533" s="1087">
        <v>1.0408228481186661</v>
      </c>
      <c r="F1533" s="1087">
        <v>1.0380272463750602</v>
      </c>
      <c r="G1533" s="1087">
        <v>1.046218721577123</v>
      </c>
      <c r="H1533" s="1087">
        <v>1.0126476813718093</v>
      </c>
      <c r="I1533" s="1087">
        <v>1.0025058352471583</v>
      </c>
      <c r="K1533">
        <v>1.9879469032568753</v>
      </c>
      <c r="L1533">
        <v>0</v>
      </c>
      <c r="M1533">
        <v>3.6042359204464416E-3</v>
      </c>
      <c r="N1533">
        <v>0.38757193787978961</v>
      </c>
      <c r="O1533">
        <v>0.25272918548564521</v>
      </c>
      <c r="P1533">
        <v>1.4352606926407895E-2</v>
      </c>
      <c r="Q1533">
        <v>1.751081879438313E-3</v>
      </c>
      <c r="R1533">
        <v>3.5981484812830544E-3</v>
      </c>
      <c r="S1533">
        <v>0.39268879449548083</v>
      </c>
      <c r="T1533">
        <v>0.41826748514707202</v>
      </c>
      <c r="U1533">
        <v>0</v>
      </c>
      <c r="V1533">
        <v>0.20996813083481031</v>
      </c>
      <c r="W1533">
        <v>0.24075011648977113</v>
      </c>
      <c r="X1533">
        <v>6.0080677520899239E-2</v>
      </c>
      <c r="Y1533">
        <v>9.7929740367243973E-3</v>
      </c>
    </row>
    <row r="1534" spans="1:25" x14ac:dyDescent="0.25">
      <c r="A1534" s="1083"/>
      <c r="B1534" s="1455">
        <v>1284</v>
      </c>
      <c r="C1534" s="1087">
        <v>1.0111553657276431</v>
      </c>
      <c r="D1534" s="1087">
        <v>0.99555025665620955</v>
      </c>
      <c r="E1534" s="1087">
        <v>0.97296455639105284</v>
      </c>
      <c r="F1534" s="1087">
        <v>0.99690390425915565</v>
      </c>
      <c r="G1534" s="1087">
        <v>0.97285614810489685</v>
      </c>
      <c r="H1534" s="1087">
        <v>0.96450761181494482</v>
      </c>
      <c r="I1534" s="1087">
        <v>1.0005845093431298</v>
      </c>
      <c r="K1534">
        <v>1.7958380435932819</v>
      </c>
      <c r="L1534">
        <v>0</v>
      </c>
      <c r="M1534">
        <v>3.6748663247815785E-3</v>
      </c>
      <c r="N1534">
        <v>0.32125580941810278</v>
      </c>
      <c r="O1534">
        <v>0.23709554868920438</v>
      </c>
      <c r="P1534">
        <v>1.2770430229433213E-2</v>
      </c>
      <c r="Q1534">
        <v>1.5241623444650233E-3</v>
      </c>
      <c r="R1534">
        <v>3.6683229959122358E-3</v>
      </c>
      <c r="S1534">
        <v>0.35555850828695185</v>
      </c>
      <c r="T1534">
        <v>0.4012852296237312</v>
      </c>
      <c r="U1534">
        <v>0</v>
      </c>
      <c r="V1534">
        <v>0.19838896612166421</v>
      </c>
      <c r="W1534">
        <v>0.20815480662885488</v>
      </c>
      <c r="X1534">
        <v>4.9827159647219704E-2</v>
      </c>
      <c r="Y1534">
        <v>9.9839659325224976E-3</v>
      </c>
    </row>
    <row r="1535" spans="1:25" x14ac:dyDescent="0.25">
      <c r="A1535" s="1083"/>
      <c r="B1535" s="1455">
        <v>1285</v>
      </c>
      <c r="C1535" s="1087">
        <v>1.0385933089481587</v>
      </c>
      <c r="D1535" s="1087">
        <v>0.96208910316420992</v>
      </c>
      <c r="E1535" s="1087">
        <v>1.0052744612797935</v>
      </c>
      <c r="F1535" s="1087">
        <v>0.9959062913646155</v>
      </c>
      <c r="G1535" s="1087">
        <v>1.008214371644707</v>
      </c>
      <c r="H1535" s="1087">
        <v>1.0037654612594833</v>
      </c>
      <c r="I1535" s="1087">
        <v>0.99545240873249341</v>
      </c>
      <c r="K1535">
        <v>1.8318565381249712</v>
      </c>
      <c r="L1535">
        <v>0</v>
      </c>
      <c r="M1535">
        <v>3.5506523056044142E-3</v>
      </c>
      <c r="N1535">
        <v>0.34261540266285523</v>
      </c>
      <c r="O1535">
        <v>0.23760028153670484</v>
      </c>
      <c r="P1535">
        <v>1.3107251341285948E-2</v>
      </c>
      <c r="Q1535">
        <v>1.5573264483814899E-3</v>
      </c>
      <c r="R1535">
        <v>3.5446064635998305E-3</v>
      </c>
      <c r="S1535">
        <v>0.35831776977158497</v>
      </c>
      <c r="T1535">
        <v>0.40107710336114205</v>
      </c>
      <c r="U1535">
        <v>0</v>
      </c>
      <c r="V1535">
        <v>0.19747153357722094</v>
      </c>
      <c r="W1535">
        <v>0.21752159976998864</v>
      </c>
      <c r="X1535">
        <v>5.2947065183099697E-2</v>
      </c>
      <c r="Y1535">
        <v>9.6472503147120494E-3</v>
      </c>
    </row>
    <row r="1536" spans="1:25" x14ac:dyDescent="0.25">
      <c r="A1536" s="1083"/>
      <c r="B1536" s="1455">
        <v>1286</v>
      </c>
      <c r="C1536" s="1087">
        <v>0.96153803957131545</v>
      </c>
      <c r="D1536" s="1087">
        <v>1.0125394452496801</v>
      </c>
      <c r="E1536" s="1087">
        <v>0.98301395003526393</v>
      </c>
      <c r="F1536" s="1087">
        <v>1.0115894820172928</v>
      </c>
      <c r="G1536" s="1087">
        <v>1.0300051494629159</v>
      </c>
      <c r="H1536" s="1087">
        <v>1.0016430592319379</v>
      </c>
      <c r="I1536" s="1087">
        <v>1.0034174890305867</v>
      </c>
      <c r="K1536">
        <v>1.8888551399086775</v>
      </c>
      <c r="L1536">
        <v>0</v>
      </c>
      <c r="M1536">
        <v>3.8965411641879904E-3</v>
      </c>
      <c r="N1536">
        <v>0.35128205123700151</v>
      </c>
      <c r="O1536">
        <v>0.24340842345211902</v>
      </c>
      <c r="P1536">
        <v>1.3338132806600381E-2</v>
      </c>
      <c r="Q1536">
        <v>1.6093374726064917E-3</v>
      </c>
      <c r="R1536">
        <v>3.8898451811009648E-3</v>
      </c>
      <c r="S1536">
        <v>0.37858364562252367</v>
      </c>
      <c r="T1536">
        <v>0.40725725706314375</v>
      </c>
      <c r="U1536">
        <v>0</v>
      </c>
      <c r="V1536">
        <v>0.20425865966782253</v>
      </c>
      <c r="W1536">
        <v>0.22616155837313354</v>
      </c>
      <c r="X1536">
        <v>5.2375893900976231E-2</v>
      </c>
      <c r="Y1536">
        <v>1.0586876295837501E-2</v>
      </c>
    </row>
    <row r="1537" spans="1:25" x14ac:dyDescent="0.25">
      <c r="A1537" s="1083"/>
      <c r="B1537" s="1455">
        <v>1287</v>
      </c>
      <c r="C1537" s="1087">
        <v>0.99905261717908211</v>
      </c>
      <c r="D1537" s="1087">
        <v>0.98482017263039989</v>
      </c>
      <c r="E1537" s="1087">
        <v>0.96582984637016767</v>
      </c>
      <c r="F1537" s="1087">
        <v>1.0132203442688525</v>
      </c>
      <c r="G1537" s="1087">
        <v>0.99255925856463978</v>
      </c>
      <c r="H1537" s="1087">
        <v>1.0171562660578728</v>
      </c>
      <c r="I1537" s="1087">
        <v>1.0191834647899516</v>
      </c>
      <c r="K1537">
        <v>1.8706766949491713</v>
      </c>
      <c r="L1537">
        <v>0</v>
      </c>
      <c r="M1537">
        <v>4.0033507139397174E-3</v>
      </c>
      <c r="N1537">
        <v>0.3424500993950878</v>
      </c>
      <c r="O1537">
        <v>0.24145083237175721</v>
      </c>
      <c r="P1537">
        <v>1.3135574080243439E-2</v>
      </c>
      <c r="Q1537">
        <v>1.5374062156581084E-3</v>
      </c>
      <c r="R1537">
        <v>3.9966020463624088E-3</v>
      </c>
      <c r="S1537">
        <v>0.3785043400385204</v>
      </c>
      <c r="T1537">
        <v>0.40781027954743143</v>
      </c>
      <c r="U1537">
        <v>0</v>
      </c>
      <c r="V1537">
        <v>0.20161672518313997</v>
      </c>
      <c r="W1537">
        <v>0.22290204610467751</v>
      </c>
      <c r="X1537">
        <v>5.0398707389541747E-2</v>
      </c>
      <c r="Y1537">
        <v>1.0877433290687976E-2</v>
      </c>
    </row>
    <row r="1538" spans="1:25" x14ac:dyDescent="0.25">
      <c r="A1538" s="1083"/>
      <c r="B1538" s="1455">
        <v>1288</v>
      </c>
      <c r="C1538" s="1087">
        <v>0.95957321357442382</v>
      </c>
      <c r="D1538" s="1087">
        <v>0.98336896703363486</v>
      </c>
      <c r="E1538" s="1087">
        <v>0.99192178055468916</v>
      </c>
      <c r="F1538" s="1087">
        <v>1.0003854316615344</v>
      </c>
      <c r="G1538" s="1087">
        <v>1.0107816728346051</v>
      </c>
      <c r="H1538" s="1087">
        <v>0.98052720639779622</v>
      </c>
      <c r="I1538" s="1087">
        <v>1.0315131308575529</v>
      </c>
      <c r="K1538">
        <v>1.9038851921999973</v>
      </c>
      <c r="L1538">
        <v>0</v>
      </c>
      <c r="M1538">
        <v>3.8121441779573983E-3</v>
      </c>
      <c r="N1538">
        <v>0.35314210279399921</v>
      </c>
      <c r="O1538">
        <v>0.24534691527529376</v>
      </c>
      <c r="P1538">
        <v>1.3564663947676952E-2</v>
      </c>
      <c r="Q1538">
        <v>1.6472625033396918E-3</v>
      </c>
      <c r="R1538">
        <v>3.8054779042439959E-3</v>
      </c>
      <c r="S1538">
        <v>0.39225483955191509</v>
      </c>
      <c r="T1538">
        <v>0.40280011235797492</v>
      </c>
      <c r="U1538">
        <v>0</v>
      </c>
      <c r="V1538">
        <v>0.20511852060940913</v>
      </c>
      <c r="W1538">
        <v>0.22608522973402706</v>
      </c>
      <c r="X1538">
        <v>5.3574955320177364E-2</v>
      </c>
      <c r="Y1538">
        <v>1.0357256379898171E-2</v>
      </c>
    </row>
    <row r="1539" spans="1:25" x14ac:dyDescent="0.25">
      <c r="A1539" s="1083"/>
      <c r="B1539" s="1455">
        <v>1289</v>
      </c>
      <c r="C1539" s="1087">
        <v>0.96148739881031098</v>
      </c>
      <c r="D1539" s="1087">
        <v>0.95890026168605669</v>
      </c>
      <c r="E1539" s="1087">
        <v>1.0127936736723173</v>
      </c>
      <c r="F1539" s="1087">
        <v>0.97740738431930596</v>
      </c>
      <c r="G1539" s="1087">
        <v>0.99272287129624681</v>
      </c>
      <c r="H1539" s="1087">
        <v>1.0017356913104285</v>
      </c>
      <c r="I1539" s="1087">
        <v>1.0369001647524039</v>
      </c>
      <c r="K1539">
        <v>1.9358605005513188</v>
      </c>
      <c r="L1539">
        <v>0</v>
      </c>
      <c r="M1539">
        <v>3.7732660229129623E-3</v>
      </c>
      <c r="N1539">
        <v>0.37254040803916888</v>
      </c>
      <c r="O1539">
        <v>0.24499510252201562</v>
      </c>
      <c r="P1539">
        <v>1.3794255811393282E-2</v>
      </c>
      <c r="Q1539">
        <v>1.6979380107883938E-3</v>
      </c>
      <c r="R1539">
        <v>3.7668266101756041E-3</v>
      </c>
      <c r="S1539">
        <v>0.4034631769644928</v>
      </c>
      <c r="T1539">
        <v>0.39367193254793426</v>
      </c>
      <c r="U1539">
        <v>0</v>
      </c>
      <c r="V1539">
        <v>0.20429476896060889</v>
      </c>
      <c r="W1539">
        <v>0.23541942828414819</v>
      </c>
      <c r="X1539">
        <v>5.5737868524665113E-2</v>
      </c>
      <c r="Y1539">
        <v>1.0252060298839672E-2</v>
      </c>
    </row>
    <row r="1540" spans="1:25" x14ac:dyDescent="0.25">
      <c r="A1540" s="1083"/>
      <c r="B1540" s="1455">
        <v>1290</v>
      </c>
      <c r="C1540" s="1087">
        <v>1.0005480812084033</v>
      </c>
      <c r="D1540" s="1087">
        <v>0.9702883572457166</v>
      </c>
      <c r="E1540" s="1087">
        <v>1.0374066489528069</v>
      </c>
      <c r="F1540" s="1087">
        <v>1.0026606680812435</v>
      </c>
      <c r="G1540" s="1087">
        <v>1.0330072043535981</v>
      </c>
      <c r="H1540" s="1087">
        <v>1.0071803588524726</v>
      </c>
      <c r="I1540" s="1087">
        <v>0.97343925306849421</v>
      </c>
      <c r="K1540">
        <v>1.8881236614362811</v>
      </c>
      <c r="L1540">
        <v>0</v>
      </c>
      <c r="M1540">
        <v>3.4463868052091494E-3</v>
      </c>
      <c r="N1540">
        <v>0.36676177165193058</v>
      </c>
      <c r="O1540">
        <v>0.24253483777360405</v>
      </c>
      <c r="P1540">
        <v>1.3585609955327616E-2</v>
      </c>
      <c r="Q1540">
        <v>1.666558342060595E-3</v>
      </c>
      <c r="R1540">
        <v>3.4405314786022105E-3</v>
      </c>
      <c r="S1540">
        <v>0.36298600996789954</v>
      </c>
      <c r="T1540">
        <v>0.40399539478257934</v>
      </c>
      <c r="U1540">
        <v>0</v>
      </c>
      <c r="V1540">
        <v>0.20176707642280275</v>
      </c>
      <c r="W1540">
        <v>0.22829610376139237</v>
      </c>
      <c r="X1540">
        <v>5.7172161591431292E-2</v>
      </c>
      <c r="Y1540">
        <v>9.3639925138581086E-3</v>
      </c>
    </row>
    <row r="1541" spans="1:25" x14ac:dyDescent="0.25">
      <c r="A1541" s="1083"/>
      <c r="B1541" s="1455">
        <v>1291</v>
      </c>
      <c r="C1541" s="1087">
        <v>1.0010463230283915</v>
      </c>
      <c r="D1541" s="1087">
        <v>1.00632074545539</v>
      </c>
      <c r="E1541" s="1087">
        <v>0.99653759695447197</v>
      </c>
      <c r="F1541" s="1087">
        <v>1.0065097069166304</v>
      </c>
      <c r="G1541" s="1087">
        <v>1.0335268973903102</v>
      </c>
      <c r="H1541" s="1087">
        <v>1.04069729944959</v>
      </c>
      <c r="I1541" s="1087">
        <v>1.0174090627465002</v>
      </c>
      <c r="K1541">
        <v>1.8833531723615298</v>
      </c>
      <c r="L1541">
        <v>0</v>
      </c>
      <c r="M1541">
        <v>3.7949976089945371E-3</v>
      </c>
      <c r="N1541">
        <v>0.35657716338068479</v>
      </c>
      <c r="O1541">
        <v>0.23869817056224338</v>
      </c>
      <c r="P1541">
        <v>1.3370164379499392E-2</v>
      </c>
      <c r="Q1541">
        <v>1.5722487175321019E-3</v>
      </c>
      <c r="R1541">
        <v>3.7887256630830483E-3</v>
      </c>
      <c r="S1541">
        <v>0.37728447602351062</v>
      </c>
      <c r="T1541">
        <v>0.40529405484696174</v>
      </c>
      <c r="U1541">
        <v>0</v>
      </c>
      <c r="V1541">
        <v>0.19985226259788685</v>
      </c>
      <c r="W1541">
        <v>0.22762409428755603</v>
      </c>
      <c r="X1541">
        <v>5.2775147209730831E-2</v>
      </c>
      <c r="Y1541">
        <v>1.0311662301832886E-2</v>
      </c>
    </row>
    <row r="1542" spans="1:25" x14ac:dyDescent="0.25">
      <c r="A1542" s="1083"/>
      <c r="B1542" s="1455">
        <v>1292</v>
      </c>
      <c r="C1542" s="1087">
        <v>1.0018839237314487</v>
      </c>
      <c r="D1542" s="1087">
        <v>1.0375808813327942</v>
      </c>
      <c r="E1542" s="1087">
        <v>0.97427743568862035</v>
      </c>
      <c r="F1542" s="1087">
        <v>1.0042868485204692</v>
      </c>
      <c r="G1542" s="1087">
        <v>0.98217258663339124</v>
      </c>
      <c r="H1542" s="1087">
        <v>0.96912688420800575</v>
      </c>
      <c r="I1542" s="1087">
        <v>1.023534629828059</v>
      </c>
      <c r="K1542">
        <v>1.7959570658592532</v>
      </c>
      <c r="L1542">
        <v>0</v>
      </c>
      <c r="M1542">
        <v>3.6341334428092445E-3</v>
      </c>
      <c r="N1542">
        <v>0.31897216551187102</v>
      </c>
      <c r="O1542">
        <v>0.23496766301037433</v>
      </c>
      <c r="P1542">
        <v>1.2869754975464408E-2</v>
      </c>
      <c r="Q1542">
        <v>1.5151796871478399E-3</v>
      </c>
      <c r="R1542">
        <v>3.6276552434976327E-3</v>
      </c>
      <c r="S1542">
        <v>0.35961680830223658</v>
      </c>
      <c r="T1542">
        <v>0.40426493413568831</v>
      </c>
      <c r="U1542">
        <v>0</v>
      </c>
      <c r="V1542">
        <v>0.19781610913949713</v>
      </c>
      <c r="W1542">
        <v>0.20650226512062941</v>
      </c>
      <c r="X1542">
        <v>4.9565382459085032E-2</v>
      </c>
      <c r="Y1542">
        <v>9.8732817165709322E-3</v>
      </c>
    </row>
    <row r="1543" spans="1:25" x14ac:dyDescent="0.25">
      <c r="A1543" s="1083"/>
      <c r="B1543" s="1455">
        <v>1293</v>
      </c>
      <c r="C1543" s="1087">
        <v>0.98321573726706624</v>
      </c>
      <c r="D1543" s="1087">
        <v>0.99332557660097021</v>
      </c>
      <c r="E1543" s="1087">
        <v>1.0145226211471665</v>
      </c>
      <c r="F1543" s="1087">
        <v>1.0227880098188726</v>
      </c>
      <c r="G1543" s="1087">
        <v>1.0097680649543588</v>
      </c>
      <c r="H1543" s="1087">
        <v>0.99783618961599441</v>
      </c>
      <c r="I1543" s="1087">
        <v>0.98742852723760288</v>
      </c>
      <c r="K1543">
        <v>1.8908147957416173</v>
      </c>
      <c r="L1543">
        <v>0</v>
      </c>
      <c r="M1543">
        <v>3.59618741535784E-3</v>
      </c>
      <c r="N1543">
        <v>0.35692865448173744</v>
      </c>
      <c r="O1543">
        <v>0.24438749144482691</v>
      </c>
      <c r="P1543">
        <v>1.356932972747628E-2</v>
      </c>
      <c r="Q1543">
        <v>1.6401509751724185E-3</v>
      </c>
      <c r="R1543">
        <v>3.5900004943411265E-3</v>
      </c>
      <c r="S1543">
        <v>0.36788412847730306</v>
      </c>
      <c r="T1543">
        <v>0.4119607774579867</v>
      </c>
      <c r="U1543">
        <v>0</v>
      </c>
      <c r="V1543">
        <v>0.20400836417390913</v>
      </c>
      <c r="W1543">
        <v>0.22531284699244414</v>
      </c>
      <c r="X1543">
        <v>5.5358441029525245E-2</v>
      </c>
      <c r="Y1543">
        <v>9.7707979022516444E-3</v>
      </c>
    </row>
    <row r="1544" spans="1:25" x14ac:dyDescent="0.25">
      <c r="A1544" s="1083"/>
      <c r="B1544" s="1455">
        <v>1294</v>
      </c>
      <c r="C1544" s="1087">
        <v>1.028986817378307</v>
      </c>
      <c r="D1544" s="1087">
        <v>0.97352713359655674</v>
      </c>
      <c r="E1544" s="1087">
        <v>1.0064013346526715</v>
      </c>
      <c r="F1544" s="1087">
        <v>0.979248490675936</v>
      </c>
      <c r="G1544" s="1087">
        <v>1.0129554289465961</v>
      </c>
      <c r="H1544" s="1087">
        <v>0.98217482406601408</v>
      </c>
      <c r="I1544" s="1087">
        <v>1.0134043085147821</v>
      </c>
      <c r="K1544">
        <v>1.8149399958695651</v>
      </c>
      <c r="L1544">
        <v>0</v>
      </c>
      <c r="M1544">
        <v>3.476213220912714E-3</v>
      </c>
      <c r="N1544">
        <v>0.33657388642829889</v>
      </c>
      <c r="O1544">
        <v>0.23558029914486747</v>
      </c>
      <c r="P1544">
        <v>1.3060123813991312E-2</v>
      </c>
      <c r="Q1544">
        <v>1.5663260835848476E-3</v>
      </c>
      <c r="R1544">
        <v>3.4701537122501327E-3</v>
      </c>
      <c r="S1544">
        <v>0.36186500523418758</v>
      </c>
      <c r="T1544">
        <v>0.39437529205431338</v>
      </c>
      <c r="U1544">
        <v>0</v>
      </c>
      <c r="V1544">
        <v>0.19638809041079427</v>
      </c>
      <c r="W1544">
        <v>0.21353618375996533</v>
      </c>
      <c r="X1544">
        <v>5.2556233979342337E-2</v>
      </c>
      <c r="Y1544">
        <v>9.444614468881056E-3</v>
      </c>
    </row>
    <row r="1545" spans="1:25" x14ac:dyDescent="0.25">
      <c r="A1545" s="1083"/>
      <c r="B1545" s="1455">
        <v>1295</v>
      </c>
      <c r="C1545" s="1087">
        <v>0.9652023261518573</v>
      </c>
      <c r="D1545" s="1087">
        <v>1.0063654711321535</v>
      </c>
      <c r="E1545" s="1087">
        <v>1.0001334643049569</v>
      </c>
      <c r="F1545" s="1087">
        <v>1.0383323904019743</v>
      </c>
      <c r="G1545" s="1087">
        <v>1.0036556951571269</v>
      </c>
      <c r="H1545" s="1087">
        <v>0.98683481912303628</v>
      </c>
      <c r="I1545" s="1087">
        <v>0.9942314559766614</v>
      </c>
      <c r="K1545">
        <v>1.9000359910541649</v>
      </c>
      <c r="L1545">
        <v>0</v>
      </c>
      <c r="M1545">
        <v>3.7052059559280121E-3</v>
      </c>
      <c r="N1545">
        <v>0.35195044026095551</v>
      </c>
      <c r="O1545">
        <v>0.24696947928174393</v>
      </c>
      <c r="P1545">
        <v>1.3606491526088785E-2</v>
      </c>
      <c r="Q1545">
        <v>1.6368724891040222E-3</v>
      </c>
      <c r="R1545">
        <v>3.6987488666482748E-3</v>
      </c>
      <c r="S1545">
        <v>0.3724060400050605</v>
      </c>
      <c r="T1545">
        <v>0.41813077940618754</v>
      </c>
      <c r="U1545">
        <v>0</v>
      </c>
      <c r="V1545">
        <v>0.20658037512134858</v>
      </c>
      <c r="W1545">
        <v>0.22416573606404958</v>
      </c>
      <c r="X1545">
        <v>5.4529458866123391E-2</v>
      </c>
      <c r="Y1545">
        <v>1.0066775122780406E-2</v>
      </c>
    </row>
    <row r="1546" spans="1:25" x14ac:dyDescent="0.25">
      <c r="A1546" s="1083"/>
      <c r="B1546" s="1455">
        <v>1296</v>
      </c>
      <c r="C1546" s="1087">
        <v>0.99712086565034408</v>
      </c>
      <c r="D1546" s="1087">
        <v>0.99548420881907596</v>
      </c>
      <c r="E1546" s="1087">
        <v>1.0145744523123938</v>
      </c>
      <c r="F1546" s="1087">
        <v>0.97774263329687638</v>
      </c>
      <c r="G1546" s="1087">
        <v>0.99809133547743056</v>
      </c>
      <c r="H1546" s="1087">
        <v>1.0090581007127997</v>
      </c>
      <c r="I1546" s="1087">
        <v>1.0023252821831856</v>
      </c>
      <c r="K1546">
        <v>1.8575925346784061</v>
      </c>
      <c r="L1546">
        <v>0</v>
      </c>
      <c r="M1546">
        <v>3.5808690383334527E-3</v>
      </c>
      <c r="N1546">
        <v>0.35547098599383725</v>
      </c>
      <c r="O1546">
        <v>0.23708531656706888</v>
      </c>
      <c r="P1546">
        <v>1.3269801892806098E-2</v>
      </c>
      <c r="Q1546">
        <v>1.6159635004424529E-3</v>
      </c>
      <c r="R1546">
        <v>3.5747743382826239E-3</v>
      </c>
      <c r="S1546">
        <v>0.36981287767372867</v>
      </c>
      <c r="T1546">
        <v>0.39381761301668022</v>
      </c>
      <c r="U1546">
        <v>0</v>
      </c>
      <c r="V1546">
        <v>0.19846649391858315</v>
      </c>
      <c r="W1546">
        <v>0.22438549913930203</v>
      </c>
      <c r="X1546">
        <v>5.3944720351246228E-2</v>
      </c>
      <c r="Y1546">
        <v>9.7293573247613958E-3</v>
      </c>
    </row>
    <row r="1547" spans="1:25" x14ac:dyDescent="0.25">
      <c r="A1547" s="1083"/>
      <c r="B1547" s="1455">
        <v>1297</v>
      </c>
      <c r="C1547" s="1087">
        <v>1.0132358189564945</v>
      </c>
      <c r="D1547" s="1087">
        <v>1.0154964589624804</v>
      </c>
      <c r="E1547" s="1087">
        <v>0.98526519903644749</v>
      </c>
      <c r="F1547" s="1087">
        <v>1.0076078442580785</v>
      </c>
      <c r="G1547" s="1087">
        <v>1.00547990054067</v>
      </c>
      <c r="H1547" s="1087">
        <v>1.0017697135938941</v>
      </c>
      <c r="I1547" s="1087">
        <v>0.97996544586925194</v>
      </c>
      <c r="K1547">
        <v>1.8136307860869287</v>
      </c>
      <c r="L1547">
        <v>0</v>
      </c>
      <c r="M1547">
        <v>3.6746159034387786E-3</v>
      </c>
      <c r="N1547">
        <v>0.33356108065291623</v>
      </c>
      <c r="O1547">
        <v>0.23628738687788647</v>
      </c>
      <c r="P1547">
        <v>1.2874756925680842E-2</v>
      </c>
      <c r="Q1547">
        <v>1.5291387331064536E-3</v>
      </c>
      <c r="R1547">
        <v>3.6682980610597484E-3</v>
      </c>
      <c r="S1547">
        <v>0.35031249562750449</v>
      </c>
      <c r="T1547">
        <v>0.40566787181905833</v>
      </c>
      <c r="U1547">
        <v>0</v>
      </c>
      <c r="V1547">
        <v>0.19810015513806983</v>
      </c>
      <c r="W1547">
        <v>0.21444699370556972</v>
      </c>
      <c r="X1547">
        <v>5.0873326381439744E-2</v>
      </c>
      <c r="Y1547">
        <v>9.9838980680737981E-3</v>
      </c>
    </row>
    <row r="1548" spans="1:25" x14ac:dyDescent="0.25">
      <c r="A1548" s="1083"/>
      <c r="B1548" s="1455">
        <v>1298</v>
      </c>
      <c r="C1548" s="1087">
        <v>1.0015409199501708</v>
      </c>
      <c r="D1548" s="1087">
        <v>0.99000863611799295</v>
      </c>
      <c r="E1548" s="1087">
        <v>1.0043750948590655</v>
      </c>
      <c r="F1548" s="1087">
        <v>0.9765271745037275</v>
      </c>
      <c r="G1548" s="1087">
        <v>1.0320388407659475</v>
      </c>
      <c r="H1548" s="1087">
        <v>1.0142724637635174</v>
      </c>
      <c r="I1548" s="1087">
        <v>1.0474039398279815</v>
      </c>
      <c r="K1548">
        <v>1.8704774531840593</v>
      </c>
      <c r="L1548">
        <v>0</v>
      </c>
      <c r="M1548">
        <v>3.6700024557742663E-3</v>
      </c>
      <c r="N1548">
        <v>0.35316546509398677</v>
      </c>
      <c r="O1548">
        <v>0.2368015590896925</v>
      </c>
      <c r="P1548">
        <v>1.3390151506210198E-2</v>
      </c>
      <c r="Q1548">
        <v>1.5950409590030721E-3</v>
      </c>
      <c r="R1548">
        <v>3.6637928545878219E-3</v>
      </c>
      <c r="S1548">
        <v>0.38678456829601937</v>
      </c>
      <c r="T1548">
        <v>0.3932672943743456</v>
      </c>
      <c r="U1548">
        <v>0</v>
      </c>
      <c r="V1548">
        <v>0.1981157987210711</v>
      </c>
      <c r="W1548">
        <v>0.22434526088575574</v>
      </c>
      <c r="X1548">
        <v>5.3046887477961241E-2</v>
      </c>
      <c r="Y1548">
        <v>9.9716363811981328E-3</v>
      </c>
    </row>
    <row r="1549" spans="1:25" x14ac:dyDescent="0.25">
      <c r="A1549" s="1083"/>
      <c r="B1549" s="1455">
        <v>1299</v>
      </c>
      <c r="C1549" s="1087">
        <v>0.99911999473843349</v>
      </c>
      <c r="D1549" s="1087">
        <v>0.96895599992681347</v>
      </c>
      <c r="E1549" s="1087">
        <v>1.0119440423289587</v>
      </c>
      <c r="F1549" s="1087">
        <v>1.0050928577506824</v>
      </c>
      <c r="G1549" s="1087">
        <v>1.0159398875947061</v>
      </c>
      <c r="H1549" s="1087">
        <v>0.97884327455193321</v>
      </c>
      <c r="I1549" s="1087">
        <v>0.99222937437544079</v>
      </c>
      <c r="K1549">
        <v>1.8626798495203669</v>
      </c>
      <c r="L1549">
        <v>0</v>
      </c>
      <c r="M1549">
        <v>3.5368884626467479E-3</v>
      </c>
      <c r="N1549">
        <v>0.34828467210963637</v>
      </c>
      <c r="O1549">
        <v>0.2427707053621414</v>
      </c>
      <c r="P1549">
        <v>1.3382996465510992E-2</v>
      </c>
      <c r="Q1549">
        <v>1.6257166152011217E-3</v>
      </c>
      <c r="R1549">
        <v>3.5307066449338136E-3</v>
      </c>
      <c r="S1549">
        <v>0.3653143994382721</v>
      </c>
      <c r="T1549">
        <v>0.40481763542568011</v>
      </c>
      <c r="U1549">
        <v>0</v>
      </c>
      <c r="V1549">
        <v>0.20205553443084548</v>
      </c>
      <c r="W1549">
        <v>0.22020729286291113</v>
      </c>
      <c r="X1549">
        <v>5.4617659037502805E-2</v>
      </c>
      <c r="Y1549">
        <v>9.6094195903771423E-3</v>
      </c>
    </row>
    <row r="1550" spans="1:25" x14ac:dyDescent="0.25">
      <c r="A1550" s="1083"/>
      <c r="B1550" s="1455">
        <v>1300</v>
      </c>
      <c r="C1550" s="1087">
        <v>1.0270975126612658</v>
      </c>
      <c r="D1550" s="1087">
        <v>1.026783285021948</v>
      </c>
      <c r="E1550" s="1087">
        <v>1.0027021607956661</v>
      </c>
      <c r="F1550" s="1087">
        <v>1.0043054551743811</v>
      </c>
      <c r="G1550" s="1087">
        <v>1.0022499015094346</v>
      </c>
      <c r="H1550" s="1087">
        <v>0.98971305224967243</v>
      </c>
      <c r="I1550" s="1087">
        <v>1.0095284770283415</v>
      </c>
      <c r="K1550">
        <v>1.7991255488536793</v>
      </c>
      <c r="L1550">
        <v>0</v>
      </c>
      <c r="M1550">
        <v>3.4347105087354324E-3</v>
      </c>
      <c r="N1550">
        <v>0.3288236535496849</v>
      </c>
      <c r="O1550">
        <v>0.23339940331785405</v>
      </c>
      <c r="P1550">
        <v>1.3018609671927518E-2</v>
      </c>
      <c r="Q1550">
        <v>1.5301012207018321E-3</v>
      </c>
      <c r="R1550">
        <v>3.4287226464518126E-3</v>
      </c>
      <c r="S1550">
        <v>0.35188113942471538</v>
      </c>
      <c r="T1550">
        <v>0.40444396546580419</v>
      </c>
      <c r="U1550">
        <v>0</v>
      </c>
      <c r="V1550">
        <v>0.19588913422748744</v>
      </c>
      <c r="W1550">
        <v>0.20910021419718436</v>
      </c>
      <c r="X1550">
        <v>5.1713462875078248E-2</v>
      </c>
      <c r="Y1550">
        <v>9.3318527655251969E-3</v>
      </c>
    </row>
    <row r="1551" spans="1:25" x14ac:dyDescent="0.25">
      <c r="A1551" s="1083"/>
      <c r="B1551" s="1455">
        <v>1301</v>
      </c>
      <c r="C1551" s="1087">
        <v>0.95850541041345194</v>
      </c>
      <c r="D1551" s="1087">
        <v>0.98241927516117022</v>
      </c>
      <c r="E1551" s="1087">
        <v>0.9897646262547356</v>
      </c>
      <c r="F1551" s="1087">
        <v>1.0384029426471049</v>
      </c>
      <c r="G1551" s="1087">
        <v>1.0326985642045778</v>
      </c>
      <c r="H1551" s="1087">
        <v>0.98721208855376485</v>
      </c>
      <c r="I1551" s="1087">
        <v>0.9913632838006935</v>
      </c>
      <c r="K1551">
        <v>1.9191552734514856</v>
      </c>
      <c r="L1551">
        <v>0</v>
      </c>
      <c r="M1551">
        <v>3.8623895372164496E-3</v>
      </c>
      <c r="N1551">
        <v>0.35545190174031144</v>
      </c>
      <c r="O1551">
        <v>0.2501790995654205</v>
      </c>
      <c r="P1551">
        <v>1.3616361685342389E-2</v>
      </c>
      <c r="Q1551">
        <v>1.6459293621847967E-3</v>
      </c>
      <c r="R1551">
        <v>3.8556837755484145E-3</v>
      </c>
      <c r="S1551">
        <v>0.3788978024988236</v>
      </c>
      <c r="T1551">
        <v>0.41809418637852136</v>
      </c>
      <c r="U1551">
        <v>0</v>
      </c>
      <c r="V1551">
        <v>0.2086257029739699</v>
      </c>
      <c r="W1551">
        <v>0.22787303838072714</v>
      </c>
      <c r="X1551">
        <v>5.4284056416625086E-2</v>
      </c>
      <c r="Y1551">
        <v>1.0493900211227768E-2</v>
      </c>
    </row>
    <row r="1552" spans="1:25" x14ac:dyDescent="0.25">
      <c r="A1552" s="1083"/>
      <c r="B1552" s="1455">
        <v>1302</v>
      </c>
      <c r="C1552" s="1087">
        <v>0.9956380701797205</v>
      </c>
      <c r="D1552" s="1087">
        <v>0.97649623737935731</v>
      </c>
      <c r="E1552" s="1087">
        <v>1.0137196622314466</v>
      </c>
      <c r="F1552" s="1087">
        <v>1.0098211312581329</v>
      </c>
      <c r="G1552" s="1087">
        <v>0.97898088171016595</v>
      </c>
      <c r="H1552" s="1087">
        <v>0.99986361047941863</v>
      </c>
      <c r="I1552" s="1087">
        <v>1.0025304703568525</v>
      </c>
      <c r="K1552">
        <v>1.8859775743195517</v>
      </c>
      <c r="L1552">
        <v>0</v>
      </c>
      <c r="M1552">
        <v>3.5973108418967574E-3</v>
      </c>
      <c r="N1552">
        <v>0.35616992726019259</v>
      </c>
      <c r="O1552">
        <v>0.24301549443274442</v>
      </c>
      <c r="P1552">
        <v>1.3534323701014723E-2</v>
      </c>
      <c r="Q1552">
        <v>1.6294111360413131E-3</v>
      </c>
      <c r="R1552">
        <v>3.5911490759123095E-3</v>
      </c>
      <c r="S1552">
        <v>0.37272200468521521</v>
      </c>
      <c r="T1552">
        <v>0.40673298796347052</v>
      </c>
      <c r="U1552">
        <v>0</v>
      </c>
      <c r="V1552">
        <v>0.20243930306139529</v>
      </c>
      <c r="W1552">
        <v>0.22494553552799165</v>
      </c>
      <c r="X1552">
        <v>5.5020824354809858E-2</v>
      </c>
      <c r="Y1552">
        <v>9.7739239626585921E-3</v>
      </c>
    </row>
    <row r="1553" spans="1:25" x14ac:dyDescent="0.25">
      <c r="A1553" s="1083"/>
      <c r="B1553" s="1455">
        <v>1303</v>
      </c>
      <c r="C1553" s="1087">
        <v>0.97343047175169373</v>
      </c>
      <c r="D1553" s="1087">
        <v>0.99383810988648669</v>
      </c>
      <c r="E1553" s="1087">
        <v>0.99262050570442262</v>
      </c>
      <c r="F1553" s="1087">
        <v>1.0002438099540529</v>
      </c>
      <c r="G1553" s="1087">
        <v>0.99006031962150609</v>
      </c>
      <c r="H1553" s="1087">
        <v>0.98229966884989206</v>
      </c>
      <c r="I1553" s="1087">
        <v>1.0262314858907557</v>
      </c>
      <c r="K1553">
        <v>1.8783853069007599</v>
      </c>
      <c r="L1553">
        <v>0</v>
      </c>
      <c r="M1553">
        <v>3.7383819744265892E-3</v>
      </c>
      <c r="N1553">
        <v>0.34704898053468436</v>
      </c>
      <c r="O1553">
        <v>0.24254396581706775</v>
      </c>
      <c r="P1553">
        <v>1.3413897749822637E-2</v>
      </c>
      <c r="Q1553">
        <v>1.6181582074611752E-3</v>
      </c>
      <c r="R1553">
        <v>3.7318477101702875E-3</v>
      </c>
      <c r="S1553">
        <v>0.38281327978047491</v>
      </c>
      <c r="T1553">
        <v>0.40274730044426588</v>
      </c>
      <c r="U1553">
        <v>0</v>
      </c>
      <c r="V1553">
        <v>0.20297885094065482</v>
      </c>
      <c r="W1553">
        <v>0.22208680404622805</v>
      </c>
      <c r="X1553">
        <v>5.2983744380538156E-2</v>
      </c>
      <c r="Y1553">
        <v>1.015685926381649E-2</v>
      </c>
    </row>
    <row r="1554" spans="1:25" x14ac:dyDescent="0.25">
      <c r="A1554" s="1083"/>
      <c r="B1554" s="1455">
        <v>1304</v>
      </c>
      <c r="C1554" s="1087">
        <v>0.96896286074938676</v>
      </c>
      <c r="D1554" s="1087">
        <v>1.0066468853739559</v>
      </c>
      <c r="E1554" s="1087">
        <v>1.0198599490376383</v>
      </c>
      <c r="F1554" s="1087">
        <v>0.97590667233236816</v>
      </c>
      <c r="G1554" s="1087">
        <v>0.98509795788131205</v>
      </c>
      <c r="H1554" s="1087">
        <v>1.0018814988926759</v>
      </c>
      <c r="I1554" s="1087">
        <v>0.99380499792183596</v>
      </c>
      <c r="K1554">
        <v>1.8779643237739665</v>
      </c>
      <c r="L1554">
        <v>0</v>
      </c>
      <c r="M1554">
        <v>3.5972981986550374E-3</v>
      </c>
      <c r="N1554">
        <v>0.36289576197186141</v>
      </c>
      <c r="O1554">
        <v>0.23926992045171114</v>
      </c>
      <c r="P1554">
        <v>1.3398407331852213E-2</v>
      </c>
      <c r="Q1554">
        <v>1.6647900648181645E-3</v>
      </c>
      <c r="R1554">
        <v>3.5911216207490221E-3</v>
      </c>
      <c r="S1554">
        <v>0.37372182250078934</v>
      </c>
      <c r="T1554">
        <v>0.39310975289465055</v>
      </c>
      <c r="U1554">
        <v>0</v>
      </c>
      <c r="V1554">
        <v>0.20082708249338105</v>
      </c>
      <c r="W1554">
        <v>0.22832669210142301</v>
      </c>
      <c r="X1554">
        <v>5.498242130262946E-2</v>
      </c>
      <c r="Y1554">
        <v>9.773849238754715E-3</v>
      </c>
    </row>
    <row r="1555" spans="1:25" x14ac:dyDescent="0.25">
      <c r="A1555" s="1083"/>
      <c r="B1555" s="1455">
        <v>1305</v>
      </c>
      <c r="C1555" s="1087">
        <v>0.99039051374958353</v>
      </c>
      <c r="D1555" s="1087">
        <v>0.98154722211651291</v>
      </c>
      <c r="E1555" s="1087">
        <v>1.0205878047461479</v>
      </c>
      <c r="F1555" s="1087">
        <v>0.9874048540320769</v>
      </c>
      <c r="G1555" s="1087">
        <v>1.0170736886171969</v>
      </c>
      <c r="H1555" s="1087">
        <v>1.015591117973111</v>
      </c>
      <c r="I1555" s="1087">
        <v>0.95541240698676588</v>
      </c>
      <c r="K1555">
        <v>1.8727411037579522</v>
      </c>
      <c r="L1555">
        <v>0</v>
      </c>
      <c r="M1555">
        <v>3.611362253912993E-3</v>
      </c>
      <c r="N1555">
        <v>0.36513415175522157</v>
      </c>
      <c r="O1555">
        <v>0.24053442177223711</v>
      </c>
      <c r="P1555">
        <v>1.3264271839919187E-2</v>
      </c>
      <c r="Q1555">
        <v>1.6465687021594221E-3</v>
      </c>
      <c r="R1555">
        <v>3.6052670766351593E-3</v>
      </c>
      <c r="S1555">
        <v>0.35890237984649231</v>
      </c>
      <c r="T1555">
        <v>0.39774580838082413</v>
      </c>
      <c r="U1555">
        <v>0</v>
      </c>
      <c r="V1555">
        <v>0.20081462876199832</v>
      </c>
      <c r="W1555">
        <v>0.22963215938146933</v>
      </c>
      <c r="X1555">
        <v>5.5260459988278117E-2</v>
      </c>
      <c r="Y1555">
        <v>9.8123485066285016E-3</v>
      </c>
    </row>
    <row r="1556" spans="1:25" x14ac:dyDescent="0.25">
      <c r="A1556" s="1083"/>
      <c r="B1556" s="1455">
        <v>1306</v>
      </c>
      <c r="C1556" s="1087">
        <v>1.0340505201755741</v>
      </c>
      <c r="D1556" s="1087">
        <v>0.99154040013171141</v>
      </c>
      <c r="E1556" s="1087">
        <v>0.99543158278850319</v>
      </c>
      <c r="F1556" s="1087">
        <v>1.0186210548195225</v>
      </c>
      <c r="G1556" s="1087">
        <v>1.0426524456433535</v>
      </c>
      <c r="H1556" s="1087">
        <v>1.0077011975820727</v>
      </c>
      <c r="I1556" s="1087">
        <v>0.99294416748241898</v>
      </c>
      <c r="K1556">
        <v>1.8273299388159527</v>
      </c>
      <c r="L1556">
        <v>0</v>
      </c>
      <c r="M1556">
        <v>3.5932370494699195E-3</v>
      </c>
      <c r="N1556">
        <v>0.33646465564930617</v>
      </c>
      <c r="O1556">
        <v>0.2376082877498796</v>
      </c>
      <c r="P1556">
        <v>1.3080245508298392E-2</v>
      </c>
      <c r="Q1556">
        <v>1.5292946621392131E-3</v>
      </c>
      <c r="R1556">
        <v>3.587115419835848E-3</v>
      </c>
      <c r="S1556">
        <v>0.35356537883653488</v>
      </c>
      <c r="T1556">
        <v>0.41016415811117446</v>
      </c>
      <c r="U1556">
        <v>0</v>
      </c>
      <c r="V1556">
        <v>0.19819707757186625</v>
      </c>
      <c r="W1556">
        <v>0.21493403303350381</v>
      </c>
      <c r="X1556">
        <v>5.2029983642369902E-2</v>
      </c>
      <c r="Y1556">
        <v>9.7629456805128287E-3</v>
      </c>
    </row>
    <row r="1557" spans="1:25" x14ac:dyDescent="0.25">
      <c r="A1557" s="1083"/>
      <c r="B1557" s="1455">
        <v>1307</v>
      </c>
      <c r="C1557" s="1087">
        <v>0.98569574359194456</v>
      </c>
      <c r="D1557" s="1087">
        <v>1.0041831569627768</v>
      </c>
      <c r="E1557" s="1087">
        <v>1.0392781218402498</v>
      </c>
      <c r="F1557" s="1087">
        <v>1.0345540781349678</v>
      </c>
      <c r="G1557" s="1087">
        <v>0.9901341824829436</v>
      </c>
      <c r="H1557" s="1087">
        <v>0.95426244308287811</v>
      </c>
      <c r="I1557" s="1087">
        <v>0.99604643603453069</v>
      </c>
      <c r="K1557">
        <v>1.8701381431545225</v>
      </c>
      <c r="L1557">
        <v>0</v>
      </c>
      <c r="M1557">
        <v>3.2411392538811735E-3</v>
      </c>
      <c r="N1557">
        <v>0.34685375150815295</v>
      </c>
      <c r="O1557">
        <v>0.24470047822497681</v>
      </c>
      <c r="P1557">
        <v>1.3781447482713158E-2</v>
      </c>
      <c r="Q1557">
        <v>1.67186004192714E-3</v>
      </c>
      <c r="R1557">
        <v>3.2352993047584247E-3</v>
      </c>
      <c r="S1557">
        <v>0.3602365487292194</v>
      </c>
      <c r="T1557">
        <v>0.41685803834457219</v>
      </c>
      <c r="U1557">
        <v>0</v>
      </c>
      <c r="V1557">
        <v>0.20429581372995465</v>
      </c>
      <c r="W1557">
        <v>0.21565889161898757</v>
      </c>
      <c r="X1557">
        <v>5.728173523171718E-2</v>
      </c>
      <c r="Y1557">
        <v>8.8054181914232511E-3</v>
      </c>
    </row>
    <row r="1558" spans="1:25" x14ac:dyDescent="0.25">
      <c r="A1558" s="1083"/>
      <c r="B1558" s="1455">
        <v>1308</v>
      </c>
      <c r="C1558" s="1087">
        <v>0.9957409047581538</v>
      </c>
      <c r="D1558" s="1087">
        <v>0.99532383335405072</v>
      </c>
      <c r="E1558" s="1087">
        <v>1.011215316310401</v>
      </c>
      <c r="F1558" s="1087">
        <v>0.97231307476367002</v>
      </c>
      <c r="G1558" s="1087">
        <v>0.97307058290478488</v>
      </c>
      <c r="H1558" s="1087">
        <v>0.97413619541546137</v>
      </c>
      <c r="I1558" s="1087">
        <v>1.0173512961331905</v>
      </c>
      <c r="K1558">
        <v>1.8323651073292988</v>
      </c>
      <c r="L1558">
        <v>0</v>
      </c>
      <c r="M1558">
        <v>3.4858163954482957E-3</v>
      </c>
      <c r="N1558">
        <v>0.34248841215041642</v>
      </c>
      <c r="O1558">
        <v>0.23656191696347653</v>
      </c>
      <c r="P1558">
        <v>1.3195932443671931E-2</v>
      </c>
      <c r="Q1558">
        <v>1.6125633382464324E-3</v>
      </c>
      <c r="R1558">
        <v>3.4796706877859573E-3</v>
      </c>
      <c r="S1558">
        <v>0.36937345228239149</v>
      </c>
      <c r="T1558">
        <v>0.39161071179489626</v>
      </c>
      <c r="U1558">
        <v>0</v>
      </c>
      <c r="V1558">
        <v>0.19812810343677689</v>
      </c>
      <c r="W1558">
        <v>0.21664030105279983</v>
      </c>
      <c r="X1558">
        <v>5.3289343035265148E-2</v>
      </c>
      <c r="Y1558">
        <v>9.4705165390194281E-3</v>
      </c>
    </row>
    <row r="1559" spans="1:25" x14ac:dyDescent="0.25">
      <c r="A1559" s="1083"/>
      <c r="B1559" s="1455">
        <v>1309</v>
      </c>
      <c r="C1559" s="1087">
        <v>0.99622696529572319</v>
      </c>
      <c r="D1559" s="1087">
        <v>1.0128768966271182</v>
      </c>
      <c r="E1559" s="1087">
        <v>1.0197135914611968</v>
      </c>
      <c r="F1559" s="1087">
        <v>0.99131403600534185</v>
      </c>
      <c r="G1559" s="1087">
        <v>1.0186298179879647</v>
      </c>
      <c r="H1559" s="1087">
        <v>1.0073178555989337</v>
      </c>
      <c r="I1559" s="1087">
        <v>0.99644636278240228</v>
      </c>
      <c r="K1559">
        <v>1.8546922298672401</v>
      </c>
      <c r="L1559">
        <v>0</v>
      </c>
      <c r="M1559">
        <v>3.507694212890218E-3</v>
      </c>
      <c r="N1559">
        <v>0.35370156893588556</v>
      </c>
      <c r="O1559">
        <v>0.23719451706565739</v>
      </c>
      <c r="P1559">
        <v>1.3324216738981912E-2</v>
      </c>
      <c r="Q1559">
        <v>1.6149886205342756E-3</v>
      </c>
      <c r="R1559">
        <v>3.5016996796231686E-3</v>
      </c>
      <c r="S1559">
        <v>0.36422375857504208</v>
      </c>
      <c r="T1559">
        <v>0.39931517729319194</v>
      </c>
      <c r="U1559">
        <v>0</v>
      </c>
      <c r="V1559">
        <v>0.19886664069320265</v>
      </c>
      <c r="W1559">
        <v>0.22256194318716366</v>
      </c>
      <c r="X1559">
        <v>5.4364941097899827E-2</v>
      </c>
      <c r="Y1559">
        <v>9.5304721929451129E-3</v>
      </c>
    </row>
    <row r="1560" spans="1:25" x14ac:dyDescent="0.25">
      <c r="A1560" s="1083"/>
      <c r="B1560" s="1455">
        <v>1310</v>
      </c>
      <c r="C1560" s="1087">
        <v>1.0346755894626007</v>
      </c>
      <c r="D1560" s="1087">
        <v>0.99387345700899832</v>
      </c>
      <c r="E1560" s="1087">
        <v>0.99321754350206415</v>
      </c>
      <c r="F1560" s="1087">
        <v>0.99201574763904865</v>
      </c>
      <c r="G1560" s="1087">
        <v>1.0015757452369898</v>
      </c>
      <c r="H1560" s="1087">
        <v>1.0336625463255238</v>
      </c>
      <c r="I1560" s="1087">
        <v>0.96285799054225851</v>
      </c>
      <c r="K1560">
        <v>1.8153201213795214</v>
      </c>
      <c r="L1560">
        <v>0</v>
      </c>
      <c r="M1560">
        <v>3.6960696024509387E-3</v>
      </c>
      <c r="N1560">
        <v>0.34377685611166681</v>
      </c>
      <c r="O1560">
        <v>0.23422060074619597</v>
      </c>
      <c r="P1560">
        <v>1.2785072156459017E-2</v>
      </c>
      <c r="Q1560">
        <v>1.5233259609463857E-3</v>
      </c>
      <c r="R1560">
        <v>3.689929700255121E-3</v>
      </c>
      <c r="S1560">
        <v>0.34659309972131735</v>
      </c>
      <c r="T1560">
        <v>0.39943784883227806</v>
      </c>
      <c r="U1560">
        <v>0</v>
      </c>
      <c r="V1560">
        <v>0.19574900621083821</v>
      </c>
      <c r="W1560">
        <v>0.21991038591236928</v>
      </c>
      <c r="X1560">
        <v>5.1287293370550754E-2</v>
      </c>
      <c r="Y1560">
        <v>1.004277225909566E-2</v>
      </c>
    </row>
    <row r="1561" spans="1:25" x14ac:dyDescent="0.25">
      <c r="A1561" s="1083"/>
      <c r="B1561" s="1455">
        <v>1311</v>
      </c>
      <c r="C1561" s="1087">
        <v>1.0205903386218571</v>
      </c>
      <c r="D1561" s="1087">
        <v>0.97704515456233543</v>
      </c>
      <c r="E1561" s="1087">
        <v>0.98482866776834055</v>
      </c>
      <c r="F1561" s="1087">
        <v>0.95864186817037211</v>
      </c>
      <c r="G1561" s="1087">
        <v>1.0209381723209543</v>
      </c>
      <c r="H1561" s="1087">
        <v>1.0228538456205809</v>
      </c>
      <c r="I1561" s="1087">
        <v>1.0111231781433034</v>
      </c>
      <c r="K1561">
        <v>1.8271339696237718</v>
      </c>
      <c r="L1561">
        <v>0</v>
      </c>
      <c r="M1561">
        <v>3.8065820816199198E-3</v>
      </c>
      <c r="N1561">
        <v>0.34509508207912609</v>
      </c>
      <c r="O1561">
        <v>0.23339585800125404</v>
      </c>
      <c r="P1561">
        <v>1.2835717870221326E-2</v>
      </c>
      <c r="Q1561">
        <v>1.5410186534863385E-3</v>
      </c>
      <c r="R1561">
        <v>3.8002064933714344E-3</v>
      </c>
      <c r="S1561">
        <v>0.37041996308630804</v>
      </c>
      <c r="T1561">
        <v>0.38595142069057919</v>
      </c>
      <c r="U1561">
        <v>0</v>
      </c>
      <c r="V1561">
        <v>0.19512532256972609</v>
      </c>
      <c r="W1561">
        <v>0.22192343118437569</v>
      </c>
      <c r="X1561">
        <v>5.050962173972072E-2</v>
      </c>
      <c r="Y1561">
        <v>1.0342909337223186E-2</v>
      </c>
    </row>
    <row r="1562" spans="1:25" x14ac:dyDescent="0.25">
      <c r="A1562" s="1083"/>
      <c r="B1562" s="1455">
        <v>1312</v>
      </c>
      <c r="C1562" s="1087">
        <v>0.97790234641215767</v>
      </c>
      <c r="D1562" s="1087">
        <v>0.95596562493480952</v>
      </c>
      <c r="E1562" s="1087">
        <v>1.0070581081190659</v>
      </c>
      <c r="F1562" s="1087">
        <v>1.012001891228252</v>
      </c>
      <c r="G1562" s="1087">
        <v>0.9680625431719162</v>
      </c>
      <c r="H1562" s="1087">
        <v>1.009182600900137</v>
      </c>
      <c r="I1562" s="1087">
        <v>0.96445857219222808</v>
      </c>
      <c r="K1562">
        <v>1.913661022075217</v>
      </c>
      <c r="L1562">
        <v>0</v>
      </c>
      <c r="M1562">
        <v>3.7902555028201984E-3</v>
      </c>
      <c r="N1562">
        <v>0.3677347370798667</v>
      </c>
      <c r="O1562">
        <v>0.2475110158307417</v>
      </c>
      <c r="P1562">
        <v>1.3500560955197333E-2</v>
      </c>
      <c r="Q1562">
        <v>1.661352156935332E-3</v>
      </c>
      <c r="R1562">
        <v>3.7838414876844484E-3</v>
      </c>
      <c r="S1562">
        <v>0.37101685144724766</v>
      </c>
      <c r="T1562">
        <v>0.40757020072270123</v>
      </c>
      <c r="U1562">
        <v>0</v>
      </c>
      <c r="V1562">
        <v>0.20568850044326475</v>
      </c>
      <c r="W1562">
        <v>0.23321065822029302</v>
      </c>
      <c r="X1562">
        <v>5.5475190047636604E-2</v>
      </c>
      <c r="Y1562">
        <v>1.0298369186465881E-2</v>
      </c>
    </row>
    <row r="1563" spans="1:25" x14ac:dyDescent="0.25">
      <c r="A1563" s="1083"/>
      <c r="B1563" s="1455">
        <v>1313</v>
      </c>
      <c r="C1563" s="1087">
        <v>1.0242647422789337</v>
      </c>
      <c r="D1563" s="1087">
        <v>0.99671933235260568</v>
      </c>
      <c r="E1563" s="1087">
        <v>0.98874144655949914</v>
      </c>
      <c r="F1563" s="1087">
        <v>0.99622054961810513</v>
      </c>
      <c r="G1563" s="1087">
        <v>1.0233554417008015</v>
      </c>
      <c r="H1563" s="1087">
        <v>1.0004550097145595</v>
      </c>
      <c r="I1563" s="1087">
        <v>1.0060652868513678</v>
      </c>
      <c r="K1563">
        <v>1.8167634615997417</v>
      </c>
      <c r="L1563">
        <v>0</v>
      </c>
      <c r="M1563">
        <v>3.6413768337773974E-3</v>
      </c>
      <c r="N1563">
        <v>0.33407319512632488</v>
      </c>
      <c r="O1563">
        <v>0.23557437530612205</v>
      </c>
      <c r="P1563">
        <v>1.2953188157239075E-2</v>
      </c>
      <c r="Q1563">
        <v>1.5297025569982405E-3</v>
      </c>
      <c r="R1563">
        <v>3.6351247113659635E-3</v>
      </c>
      <c r="S1563">
        <v>0.35927870445751808</v>
      </c>
      <c r="T1563">
        <v>0.40110407914991725</v>
      </c>
      <c r="U1563">
        <v>0</v>
      </c>
      <c r="V1563">
        <v>0.19699493097506118</v>
      </c>
      <c r="W1563">
        <v>0.21430565695710846</v>
      </c>
      <c r="X1563">
        <v>5.1062269890062482E-2</v>
      </c>
      <c r="Y1563">
        <v>9.8936111457991072E-3</v>
      </c>
    </row>
    <row r="1564" spans="1:25" x14ac:dyDescent="0.25">
      <c r="A1564" s="1083"/>
      <c r="B1564" s="1455">
        <v>1314</v>
      </c>
      <c r="C1564" s="1087">
        <v>0.98872867035786616</v>
      </c>
      <c r="D1564" s="1087">
        <v>1.0023665689467687</v>
      </c>
      <c r="E1564" s="1087">
        <v>0.99289433082894096</v>
      </c>
      <c r="F1564" s="1087">
        <v>0.9712535367344457</v>
      </c>
      <c r="G1564" s="1087">
        <v>0.99718932839088292</v>
      </c>
      <c r="H1564" s="1087">
        <v>1.0469084774523161</v>
      </c>
      <c r="I1564" s="1087">
        <v>1.029204092904392</v>
      </c>
      <c r="K1564">
        <v>1.8862370284228489</v>
      </c>
      <c r="L1564">
        <v>0</v>
      </c>
      <c r="M1564">
        <v>3.9020400358278536E-3</v>
      </c>
      <c r="N1564">
        <v>0.36258341249154108</v>
      </c>
      <c r="O1564">
        <v>0.23632591486718463</v>
      </c>
      <c r="P1564">
        <v>1.3270263796105452E-2</v>
      </c>
      <c r="Q1564">
        <v>1.5881503465376193E-3</v>
      </c>
      <c r="R1564">
        <v>3.8956324098538163E-3</v>
      </c>
      <c r="S1564">
        <v>0.38836469190489425</v>
      </c>
      <c r="T1564">
        <v>0.39107599526097248</v>
      </c>
      <c r="U1564">
        <v>0</v>
      </c>
      <c r="V1564">
        <v>0.19831092966935249</v>
      </c>
      <c r="W1564">
        <v>0.23198783016516855</v>
      </c>
      <c r="X1564">
        <v>5.2133620322322494E-2</v>
      </c>
      <c r="Y1564">
        <v>1.0602627224743314E-2</v>
      </c>
    </row>
    <row r="1565" spans="1:25" x14ac:dyDescent="0.25">
      <c r="A1565" s="1083"/>
      <c r="B1565" s="1455">
        <v>1315</v>
      </c>
      <c r="C1565" s="1087">
        <v>0.99545971135991906</v>
      </c>
      <c r="D1565" s="1087">
        <v>0.99320315050048713</v>
      </c>
      <c r="E1565" s="1087">
        <v>1.0148151438418012</v>
      </c>
      <c r="F1565" s="1087">
        <v>1.038705780142412</v>
      </c>
      <c r="G1565" s="1087">
        <v>0.95577349869887829</v>
      </c>
      <c r="H1565" s="1087">
        <v>1.0367288655494611</v>
      </c>
      <c r="I1565" s="1087">
        <v>0.99026491745295586</v>
      </c>
      <c r="K1565">
        <v>1.9172579951507795</v>
      </c>
      <c r="L1565">
        <v>0</v>
      </c>
      <c r="M1565">
        <v>3.6881027072573343E-3</v>
      </c>
      <c r="N1565">
        <v>0.36640163716029445</v>
      </c>
      <c r="O1565">
        <v>0.24472152051414292</v>
      </c>
      <c r="P1565">
        <v>1.3710260646885313E-2</v>
      </c>
      <c r="Q1565">
        <v>1.6205585367160035E-3</v>
      </c>
      <c r="R1565">
        <v>3.6819952468738594E-3</v>
      </c>
      <c r="S1565">
        <v>0.37146216549832611</v>
      </c>
      <c r="T1565">
        <v>0.41837403166838077</v>
      </c>
      <c r="U1565">
        <v>0</v>
      </c>
      <c r="V1565">
        <v>0.20402195862717995</v>
      </c>
      <c r="W1565">
        <v>0.23125090306796539</v>
      </c>
      <c r="X1565">
        <v>5.5679889598688539E-2</v>
      </c>
      <c r="Y1565">
        <v>1.0021177292583722E-2</v>
      </c>
    </row>
    <row r="1566" spans="1:25" x14ac:dyDescent="0.25">
      <c r="A1566" s="1083"/>
      <c r="B1566" s="1455">
        <v>1316</v>
      </c>
      <c r="C1566" s="1087">
        <v>0.97266888381227679</v>
      </c>
      <c r="D1566" s="1087">
        <v>1.0202302167358626</v>
      </c>
      <c r="E1566" s="1087">
        <v>0.97415680196638677</v>
      </c>
      <c r="F1566" s="1087">
        <v>1.0028888539616336</v>
      </c>
      <c r="G1566" s="1087">
        <v>1.0270773661400849</v>
      </c>
      <c r="H1566" s="1087">
        <v>1.019049328800107</v>
      </c>
      <c r="I1566" s="1087">
        <v>1.0200151082228297</v>
      </c>
      <c r="K1566">
        <v>1.8786200559535706</v>
      </c>
      <c r="L1566">
        <v>0</v>
      </c>
      <c r="M1566">
        <v>3.9739775224880997E-3</v>
      </c>
      <c r="N1566">
        <v>0.34870408543530107</v>
      </c>
      <c r="O1566">
        <v>0.24008501145157718</v>
      </c>
      <c r="P1566">
        <v>1.3214040586267602E-2</v>
      </c>
      <c r="Q1566">
        <v>1.5710480148612648E-3</v>
      </c>
      <c r="R1566">
        <v>3.9672579301041665E-3</v>
      </c>
      <c r="S1566">
        <v>0.38202112241603486</v>
      </c>
      <c r="T1566">
        <v>0.40370146696667686</v>
      </c>
      <c r="U1566">
        <v>0</v>
      </c>
      <c r="V1566">
        <v>0.20179015911360632</v>
      </c>
      <c r="W1566">
        <v>0.22576803153008917</v>
      </c>
      <c r="X1566">
        <v>5.0974241752020782E-2</v>
      </c>
      <c r="Y1566">
        <v>1.0797568279518362E-2</v>
      </c>
    </row>
    <row r="1567" spans="1:25" x14ac:dyDescent="0.25">
      <c r="A1567" s="1083"/>
      <c r="B1567" s="1455">
        <v>1317</v>
      </c>
      <c r="C1567" s="1087">
        <v>0.99563075370075405</v>
      </c>
      <c r="D1567" s="1087">
        <v>0.99276550581763279</v>
      </c>
      <c r="E1567" s="1087">
        <v>0.96092221527703725</v>
      </c>
      <c r="F1567" s="1087">
        <v>0.99955839962671811</v>
      </c>
      <c r="G1567" s="1087">
        <v>0.98943644674701869</v>
      </c>
      <c r="H1567" s="1087">
        <v>1.0203980484969855</v>
      </c>
      <c r="I1567" s="1087">
        <v>1.0071098531636542</v>
      </c>
      <c r="K1567">
        <v>1.8556994031660743</v>
      </c>
      <c r="L1567">
        <v>0</v>
      </c>
      <c r="M1567">
        <v>4.0526260349398784E-3</v>
      </c>
      <c r="N1567">
        <v>0.3414994473725213</v>
      </c>
      <c r="O1567">
        <v>0.239378883717109</v>
      </c>
      <c r="P1567">
        <v>1.2938605189351313E-2</v>
      </c>
      <c r="Q1567">
        <v>1.5295653930032058E-3</v>
      </c>
      <c r="R1567">
        <v>4.0458082016218951E-3</v>
      </c>
      <c r="S1567">
        <v>0.37417365717138329</v>
      </c>
      <c r="T1567">
        <v>0.40228256194014661</v>
      </c>
      <c r="U1567">
        <v>0</v>
      </c>
      <c r="V1567">
        <v>0.20034834616324362</v>
      </c>
      <c r="W1567">
        <v>0.22298509983731557</v>
      </c>
      <c r="X1567">
        <v>4.9558697990819849E-2</v>
      </c>
      <c r="Y1567">
        <v>1.1011356224499572E-2</v>
      </c>
    </row>
    <row r="1568" spans="1:25" x14ac:dyDescent="0.25">
      <c r="A1568" s="1083"/>
      <c r="B1568" s="1455">
        <v>1318</v>
      </c>
      <c r="C1568" s="1087">
        <v>1.002351611181763</v>
      </c>
      <c r="D1568" s="1087">
        <v>0.98495146593362737</v>
      </c>
      <c r="E1568" s="1087">
        <v>0.99642780512516183</v>
      </c>
      <c r="F1568" s="1087">
        <v>0.98973398210249852</v>
      </c>
      <c r="G1568" s="1087">
        <v>0.9866603240383901</v>
      </c>
      <c r="H1568" s="1087">
        <v>0.97096278899878086</v>
      </c>
      <c r="I1568" s="1087">
        <v>1.0042909086341938</v>
      </c>
      <c r="K1568">
        <v>1.8274857682380947</v>
      </c>
      <c r="L1568">
        <v>0</v>
      </c>
      <c r="M1568">
        <v>3.5780616270777053E-3</v>
      </c>
      <c r="N1568">
        <v>0.33604307479905943</v>
      </c>
      <c r="O1568">
        <v>0.23868075750658849</v>
      </c>
      <c r="P1568">
        <v>1.3084775725713945E-2</v>
      </c>
      <c r="Q1568">
        <v>1.5835546933683602E-3</v>
      </c>
      <c r="R1568">
        <v>3.571742421187405E-3</v>
      </c>
      <c r="S1568">
        <v>0.36359970960905919</v>
      </c>
      <c r="T1568">
        <v>0.39853827044715567</v>
      </c>
      <c r="U1568">
        <v>0</v>
      </c>
      <c r="V1568">
        <v>0.19940203983014715</v>
      </c>
      <c r="W1568">
        <v>0.21453073790192159</v>
      </c>
      <c r="X1568">
        <v>5.2308061485071222E-2</v>
      </c>
      <c r="Y1568">
        <v>9.7211054458994101E-3</v>
      </c>
    </row>
    <row r="1569" spans="1:25" x14ac:dyDescent="0.25">
      <c r="A1569" s="1083"/>
      <c r="B1569" s="1455">
        <v>1319</v>
      </c>
      <c r="C1569" s="1087">
        <v>0.98169944766871808</v>
      </c>
      <c r="D1569" s="1087">
        <v>1.0283328373119647</v>
      </c>
      <c r="E1569" s="1087">
        <v>0.95982327299115688</v>
      </c>
      <c r="F1569" s="1087">
        <v>1.0216336009054103</v>
      </c>
      <c r="G1569" s="1087">
        <v>1.0052561998833758</v>
      </c>
      <c r="H1569" s="1087">
        <v>1.0180021347247483</v>
      </c>
      <c r="I1569" s="1087">
        <v>0.98021804762270759</v>
      </c>
      <c r="K1569">
        <v>1.8497643191449213</v>
      </c>
      <c r="L1569">
        <v>0</v>
      </c>
      <c r="M1569">
        <v>4.0321448254685213E-3</v>
      </c>
      <c r="N1569">
        <v>0.33862852472701671</v>
      </c>
      <c r="O1569">
        <v>0.24012438833381455</v>
      </c>
      <c r="P1569">
        <v>1.2901281618668561E-2</v>
      </c>
      <c r="Q1569">
        <v>1.5277554866645951E-3</v>
      </c>
      <c r="R1569">
        <v>4.0253116688196986E-3</v>
      </c>
      <c r="S1569">
        <v>0.36178949229659091</v>
      </c>
      <c r="T1569">
        <v>0.41116034732356704</v>
      </c>
      <c r="U1569">
        <v>0</v>
      </c>
      <c r="V1569">
        <v>0.20186703928203339</v>
      </c>
      <c r="W1569">
        <v>0.22126700024256546</v>
      </c>
      <c r="X1569">
        <v>4.9549751571754244E-2</v>
      </c>
      <c r="Y1569">
        <v>1.0955571418892213E-2</v>
      </c>
    </row>
    <row r="1570" spans="1:25" x14ac:dyDescent="0.25">
      <c r="A1570" s="1083"/>
      <c r="B1570" s="1455">
        <v>1320</v>
      </c>
      <c r="C1570" s="1087">
        <v>1.0160479621012126</v>
      </c>
      <c r="D1570" s="1087">
        <v>1.005222873488373</v>
      </c>
      <c r="E1570" s="1087">
        <v>1.0109553745476507</v>
      </c>
      <c r="F1570" s="1087">
        <v>0.99762491645745366</v>
      </c>
      <c r="G1570" s="1087">
        <v>1.0412137114888682</v>
      </c>
      <c r="H1570" s="1087">
        <v>1.021532246414784</v>
      </c>
      <c r="I1570" s="1087">
        <v>0.99437927062182285</v>
      </c>
      <c r="K1570">
        <v>1.8452230623617023</v>
      </c>
      <c r="L1570">
        <v>0</v>
      </c>
      <c r="M1570">
        <v>3.5652991081089607E-3</v>
      </c>
      <c r="N1570">
        <v>0.35004809132664672</v>
      </c>
      <c r="O1570">
        <v>0.23618201301515232</v>
      </c>
      <c r="P1570">
        <v>1.3201941069340689E-2</v>
      </c>
      <c r="Q1570">
        <v>1.5736571871121962E-3</v>
      </c>
      <c r="R1570">
        <v>3.5592968291607366E-3</v>
      </c>
      <c r="S1570">
        <v>0.36028017997592848</v>
      </c>
      <c r="T1570">
        <v>0.40180377496525249</v>
      </c>
      <c r="U1570">
        <v>0</v>
      </c>
      <c r="V1570">
        <v>0.19765150859220579</v>
      </c>
      <c r="W1570">
        <v>0.22145782715453294</v>
      </c>
      <c r="X1570">
        <v>5.3342838707385203E-2</v>
      </c>
      <c r="Y1570">
        <v>9.6872326470911294E-3</v>
      </c>
    </row>
    <row r="1571" spans="1:25" x14ac:dyDescent="0.25">
      <c r="A1571" s="1083"/>
      <c r="B1571" s="1455">
        <v>1321</v>
      </c>
      <c r="C1571" s="1087">
        <v>1.0223264341552567</v>
      </c>
      <c r="D1571" s="1087">
        <v>1.0415390868476493</v>
      </c>
      <c r="E1571" s="1087">
        <v>1.0101756018305781</v>
      </c>
      <c r="F1571" s="1087">
        <v>1.0030577725660355</v>
      </c>
      <c r="G1571" s="1087">
        <v>1.0169066274214233</v>
      </c>
      <c r="H1571" s="1087">
        <v>1.0061349512948048</v>
      </c>
      <c r="I1571" s="1087">
        <v>1.0020804014248048</v>
      </c>
      <c r="K1571">
        <v>1.8076289187903483</v>
      </c>
      <c r="L1571">
        <v>0</v>
      </c>
      <c r="M1571">
        <v>3.4279824351147016E-3</v>
      </c>
      <c r="N1571">
        <v>0.33575499841375078</v>
      </c>
      <c r="O1571">
        <v>0.23249852168727336</v>
      </c>
      <c r="P1571">
        <v>1.3069343083609306E-2</v>
      </c>
      <c r="Q1571">
        <v>1.5406733432642423E-3</v>
      </c>
      <c r="R1571">
        <v>3.4220917016797229E-3</v>
      </c>
      <c r="S1571">
        <v>0.35109256305755582</v>
      </c>
      <c r="T1571">
        <v>0.40398713946634018</v>
      </c>
      <c r="U1571">
        <v>0</v>
      </c>
      <c r="V1571">
        <v>0.19556501017011446</v>
      </c>
      <c r="W1571">
        <v>0.21251800540966792</v>
      </c>
      <c r="X1571">
        <v>5.2294749372459641E-2</v>
      </c>
      <c r="Y1571">
        <v>9.3138055197459265E-3</v>
      </c>
    </row>
    <row r="1572" spans="1:25" x14ac:dyDescent="0.25">
      <c r="A1572" s="1083"/>
      <c r="B1572" s="1455">
        <v>1322</v>
      </c>
      <c r="C1572" s="1087">
        <v>1.0050649130950906</v>
      </c>
      <c r="D1572" s="1087">
        <v>1.0224117091538563</v>
      </c>
      <c r="E1572" s="1087">
        <v>0.99399932085329878</v>
      </c>
      <c r="F1572" s="1087">
        <v>0.97693237006119937</v>
      </c>
      <c r="G1572" s="1087">
        <v>1.0079171630648256</v>
      </c>
      <c r="H1572" s="1087">
        <v>1.0342427496325317</v>
      </c>
      <c r="I1572" s="1087">
        <v>0.97639503604713429</v>
      </c>
      <c r="K1572">
        <v>1.8269603980469376</v>
      </c>
      <c r="L1572">
        <v>0</v>
      </c>
      <c r="M1572">
        <v>3.7437075217896846E-3</v>
      </c>
      <c r="N1572">
        <v>0.34903791934149153</v>
      </c>
      <c r="O1572">
        <v>0.23315963636748879</v>
      </c>
      <c r="P1572">
        <v>1.2846443452299388E-2</v>
      </c>
      <c r="Q1572">
        <v>1.5518438883148527E-3</v>
      </c>
      <c r="R1572">
        <v>3.7374678772408498E-3</v>
      </c>
      <c r="S1572">
        <v>0.356329574128812</v>
      </c>
      <c r="T1572">
        <v>0.39336909221673388</v>
      </c>
      <c r="U1572">
        <v>0</v>
      </c>
      <c r="V1572">
        <v>0.1960456570313128</v>
      </c>
      <c r="W1572">
        <v>0.22316626877147197</v>
      </c>
      <c r="X1572">
        <v>5.1288046987665072E-2</v>
      </c>
      <c r="Y1572">
        <v>1.0172155505894983E-2</v>
      </c>
    </row>
    <row r="1573" spans="1:25" x14ac:dyDescent="0.25">
      <c r="A1573" s="1083"/>
      <c r="B1573" s="1455">
        <v>1323</v>
      </c>
      <c r="C1573" s="1087">
        <v>1.0103642305867637</v>
      </c>
      <c r="D1573" s="1087">
        <v>1.0139983905092511</v>
      </c>
      <c r="E1573" s="1087">
        <v>1.0276235006336378</v>
      </c>
      <c r="F1573" s="1087">
        <v>0.9984372307857583</v>
      </c>
      <c r="G1573" s="1087">
        <v>1.0219403129493336</v>
      </c>
      <c r="H1573" s="1087">
        <v>1.0101505946328719</v>
      </c>
      <c r="I1573" s="1087">
        <v>0.96995421454738517</v>
      </c>
      <c r="K1573">
        <v>1.8381654923780506</v>
      </c>
      <c r="L1573">
        <v>0</v>
      </c>
      <c r="M1573">
        <v>3.4101657982406365E-3</v>
      </c>
      <c r="N1573">
        <v>0.35225556175989481</v>
      </c>
      <c r="O1573">
        <v>0.23632954713387896</v>
      </c>
      <c r="P1573">
        <v>1.3230276774247556E-2</v>
      </c>
      <c r="Q1573">
        <v>1.6049950063687314E-3</v>
      </c>
      <c r="R1573">
        <v>3.4043529241507076E-3</v>
      </c>
      <c r="S1573">
        <v>0.34992903877534809</v>
      </c>
      <c r="T1573">
        <v>0.40223314642069785</v>
      </c>
      <c r="U1573">
        <v>0</v>
      </c>
      <c r="V1573">
        <v>0.19795843404722324</v>
      </c>
      <c r="W1573">
        <v>0.22057847707561054</v>
      </c>
      <c r="X1573">
        <v>5.4786301843972561E-2</v>
      </c>
      <c r="Y1573">
        <v>9.2655264148983913E-3</v>
      </c>
    </row>
    <row r="1574" spans="1:25" x14ac:dyDescent="0.25">
      <c r="A1574" s="1083"/>
      <c r="B1574" s="1455">
        <v>1324</v>
      </c>
      <c r="C1574" s="1087">
        <v>1.0215663420517822</v>
      </c>
      <c r="D1574" s="1087">
        <v>1.0386337985713869</v>
      </c>
      <c r="E1574" s="1087">
        <v>0.97635368741667394</v>
      </c>
      <c r="F1574" s="1087">
        <v>0.99814097084522935</v>
      </c>
      <c r="G1574" s="1087">
        <v>1.0339098970484462</v>
      </c>
      <c r="H1574" s="1087">
        <v>0.97810438312392578</v>
      </c>
      <c r="I1574" s="1087">
        <v>1.0224725614458767</v>
      </c>
      <c r="K1574">
        <v>1.7761840280449916</v>
      </c>
      <c r="L1574">
        <v>0</v>
      </c>
      <c r="M1574">
        <v>3.5793222798054911E-3</v>
      </c>
      <c r="N1574">
        <v>0.31616681054953893</v>
      </c>
      <c r="O1574">
        <v>0.23184967388831965</v>
      </c>
      <c r="P1574">
        <v>1.2742765472831487E-2</v>
      </c>
      <c r="Q1574">
        <v>1.4887164625456879E-3</v>
      </c>
      <c r="R1574">
        <v>3.5729982819377192E-3</v>
      </c>
      <c r="S1574">
        <v>0.35371146461293318</v>
      </c>
      <c r="T1574">
        <v>0.40180331009703413</v>
      </c>
      <c r="U1574">
        <v>0</v>
      </c>
      <c r="V1574">
        <v>0.19518839028518162</v>
      </c>
      <c r="W1574">
        <v>0.20441573169834684</v>
      </c>
      <c r="X1574">
        <v>4.9098965491260228E-2</v>
      </c>
      <c r="Y1574">
        <v>9.7245234848673777E-3</v>
      </c>
    </row>
    <row r="1575" spans="1:25" x14ac:dyDescent="0.25">
      <c r="A1575" s="1083"/>
      <c r="B1575" s="1455">
        <v>1325</v>
      </c>
      <c r="C1575" s="1087">
        <v>0.98011600841295821</v>
      </c>
      <c r="D1575" s="1087">
        <v>1.0192460553929823</v>
      </c>
      <c r="E1575" s="1087">
        <v>0.97865260669647802</v>
      </c>
      <c r="F1575" s="1087">
        <v>0.97783169352804022</v>
      </c>
      <c r="G1575" s="1087">
        <v>1.0266702919388082</v>
      </c>
      <c r="H1575" s="1087">
        <v>1.0037501316586654</v>
      </c>
      <c r="I1575" s="1087">
        <v>0.98391536438505722</v>
      </c>
      <c r="K1575">
        <v>1.831097841983468</v>
      </c>
      <c r="L1575">
        <v>0</v>
      </c>
      <c r="M1575">
        <v>3.8508667580971784E-3</v>
      </c>
      <c r="N1575">
        <v>0.34256869307886134</v>
      </c>
      <c r="O1575">
        <v>0.23633917716007471</v>
      </c>
      <c r="P1575">
        <v>1.2832055340932833E-2</v>
      </c>
      <c r="Q1575">
        <v>1.567295225856647E-3</v>
      </c>
      <c r="R1575">
        <v>3.844256488206427E-3</v>
      </c>
      <c r="S1575">
        <v>0.36317804659329445</v>
      </c>
      <c r="T1575">
        <v>0.3936411766166828</v>
      </c>
      <c r="U1575">
        <v>0</v>
      </c>
      <c r="V1575">
        <v>0.1988701054690723</v>
      </c>
      <c r="W1575">
        <v>0.22116235496130324</v>
      </c>
      <c r="X1575">
        <v>5.0482748905191381E-2</v>
      </c>
      <c r="Y1575">
        <v>1.0462798902087138E-2</v>
      </c>
    </row>
    <row r="1576" spans="1:25" x14ac:dyDescent="0.25">
      <c r="A1576" s="1083"/>
      <c r="B1576" s="1455">
        <v>1326</v>
      </c>
      <c r="C1576" s="1087">
        <v>1.0111915710880155</v>
      </c>
      <c r="D1576" s="1087">
        <v>1.0207822993301605</v>
      </c>
      <c r="E1576" s="1087">
        <v>0.97962544827711984</v>
      </c>
      <c r="F1576" s="1087">
        <v>1.0028511991556821</v>
      </c>
      <c r="G1576" s="1087">
        <v>1.006092088649688</v>
      </c>
      <c r="H1576" s="1087">
        <v>0.98521016987297705</v>
      </c>
      <c r="I1576" s="1087">
        <v>1.0119007098875592</v>
      </c>
      <c r="K1576">
        <v>1.8057936888032939</v>
      </c>
      <c r="L1576">
        <v>0</v>
      </c>
      <c r="M1576">
        <v>3.6528825922531602E-3</v>
      </c>
      <c r="N1576">
        <v>0.32591315194102732</v>
      </c>
      <c r="O1576">
        <v>0.23538990590992498</v>
      </c>
      <c r="P1576">
        <v>1.2895605147444927E-2</v>
      </c>
      <c r="Q1576">
        <v>1.5198065664691518E-3</v>
      </c>
      <c r="R1576">
        <v>3.6464920130807725E-3</v>
      </c>
      <c r="S1576">
        <v>0.35839075529861586</v>
      </c>
      <c r="T1576">
        <v>0.40371898577229731</v>
      </c>
      <c r="U1576">
        <v>0</v>
      </c>
      <c r="V1576">
        <v>0.1976051805108068</v>
      </c>
      <c r="W1576">
        <v>0.21027965145707889</v>
      </c>
      <c r="X1576">
        <v>5.0162487584965096E-2</v>
      </c>
      <c r="Y1576">
        <v>9.9245491938368142E-3</v>
      </c>
    </row>
    <row r="1577" spans="1:25" x14ac:dyDescent="0.25">
      <c r="A1577" s="1083"/>
      <c r="B1577" s="1455">
        <v>1327</v>
      </c>
      <c r="C1577" s="1087">
        <v>0.97826773435034631</v>
      </c>
      <c r="D1577" s="1087">
        <v>1.0393954711683271</v>
      </c>
      <c r="E1577" s="1087">
        <v>0.97893438872235872</v>
      </c>
      <c r="F1577" s="1087">
        <v>1.0032895611155146</v>
      </c>
      <c r="G1577" s="1087">
        <v>0.97445386493660446</v>
      </c>
      <c r="H1577" s="1087">
        <v>0.98546775399834541</v>
      </c>
      <c r="I1577" s="1087">
        <v>0.98471014649839195</v>
      </c>
      <c r="K1577">
        <v>1.822830715830611</v>
      </c>
      <c r="L1577">
        <v>0</v>
      </c>
      <c r="M1577">
        <v>3.7460690877657663E-3</v>
      </c>
      <c r="N1577">
        <v>0.33352092801114713</v>
      </c>
      <c r="O1577">
        <v>0.23764408377753893</v>
      </c>
      <c r="P1577">
        <v>1.2907752239266487E-2</v>
      </c>
      <c r="Q1577">
        <v>1.5584816537721857E-3</v>
      </c>
      <c r="R1577">
        <v>3.7395017591258426E-3</v>
      </c>
      <c r="S1577">
        <v>0.35699278532350637</v>
      </c>
      <c r="T1577">
        <v>0.40389131930206612</v>
      </c>
      <c r="U1577">
        <v>0</v>
      </c>
      <c r="V1577">
        <v>0.20023907298960317</v>
      </c>
      <c r="W1577">
        <v>0.21528259974225805</v>
      </c>
      <c r="X1577">
        <v>5.0622569058175602E-2</v>
      </c>
      <c r="Y1577">
        <v>1.0177691061916952E-2</v>
      </c>
    </row>
    <row r="1578" spans="1:25" x14ac:dyDescent="0.25">
      <c r="A1578" s="1083"/>
      <c r="B1578" s="1455">
        <v>1328</v>
      </c>
      <c r="C1578" s="1087">
        <v>0.99120941411208241</v>
      </c>
      <c r="D1578" s="1087">
        <v>1.0308710259185605</v>
      </c>
      <c r="E1578" s="1087">
        <v>1.0127713926259179</v>
      </c>
      <c r="F1578" s="1087">
        <v>1.015484512280713</v>
      </c>
      <c r="G1578" s="1087">
        <v>1.0037189932258848</v>
      </c>
      <c r="H1578" s="1087">
        <v>1.0061514786808712</v>
      </c>
      <c r="I1578" s="1087">
        <v>0.99176515904168638</v>
      </c>
      <c r="K1578">
        <v>1.8572932055805551</v>
      </c>
      <c r="L1578">
        <v>0</v>
      </c>
      <c r="M1578">
        <v>3.5377298872874413E-3</v>
      </c>
      <c r="N1578">
        <v>0.3492587756165319</v>
      </c>
      <c r="O1578">
        <v>0.2387525577473385</v>
      </c>
      <c r="P1578">
        <v>1.3361254500364881E-2</v>
      </c>
      <c r="Q1578">
        <v>1.5999905132236701E-3</v>
      </c>
      <c r="R1578">
        <v>3.5316615192046191E-3</v>
      </c>
      <c r="S1578">
        <v>0.36052010335242279</v>
      </c>
      <c r="T1578">
        <v>0.40900817983275056</v>
      </c>
      <c r="U1578">
        <v>0</v>
      </c>
      <c r="V1578">
        <v>0.20048920453558899</v>
      </c>
      <c r="W1578">
        <v>0.2207101115735802</v>
      </c>
      <c r="X1578">
        <v>5.3987077833466554E-2</v>
      </c>
      <c r="Y1578">
        <v>9.6120184433680558E-3</v>
      </c>
    </row>
    <row r="1579" spans="1:25" x14ac:dyDescent="0.25">
      <c r="A1579" s="1083"/>
      <c r="B1579" s="1455">
        <v>1329</v>
      </c>
      <c r="C1579" s="1087">
        <v>0.98134631356520163</v>
      </c>
      <c r="D1579" s="1087">
        <v>1.0003971680054347</v>
      </c>
      <c r="E1579" s="1087">
        <v>0.99881600207534404</v>
      </c>
      <c r="F1579" s="1087">
        <v>0.99550499802300074</v>
      </c>
      <c r="G1579" s="1087">
        <v>1.0113438106665384</v>
      </c>
      <c r="H1579" s="1087">
        <v>0.98087575955815987</v>
      </c>
      <c r="I1579" s="1087">
        <v>1.0003404996356049</v>
      </c>
      <c r="K1579">
        <v>1.8534526934098197</v>
      </c>
      <c r="L1579">
        <v>0</v>
      </c>
      <c r="M1579">
        <v>3.6433620175934565E-3</v>
      </c>
      <c r="N1579">
        <v>0.34468413902804568</v>
      </c>
      <c r="O1579">
        <v>0.24042978502289267</v>
      </c>
      <c r="P1579">
        <v>1.3235239166078315E-2</v>
      </c>
      <c r="Q1579">
        <v>1.6115150697365976E-3</v>
      </c>
      <c r="R1579">
        <v>3.6369788469337704E-3</v>
      </c>
      <c r="S1579">
        <v>0.3686112491682576</v>
      </c>
      <c r="T1579">
        <v>0.40087647865668891</v>
      </c>
      <c r="U1579">
        <v>0</v>
      </c>
      <c r="V1579">
        <v>0.20137513946949451</v>
      </c>
      <c r="W1579">
        <v>0.21971851821914959</v>
      </c>
      <c r="X1579">
        <v>5.3018355288533582E-2</v>
      </c>
      <c r="Y1579">
        <v>9.8986574915990531E-3</v>
      </c>
    </row>
    <row r="1580" spans="1:25" x14ac:dyDescent="0.25">
      <c r="A1580" s="1083"/>
      <c r="B1580" s="1455">
        <v>1330</v>
      </c>
      <c r="C1580" s="1087">
        <v>0.95762870853054827</v>
      </c>
      <c r="D1580" s="1087">
        <v>0.99403652287464672</v>
      </c>
      <c r="E1580" s="1087">
        <v>1.0483723466509365</v>
      </c>
      <c r="F1580" s="1087">
        <v>0.97795487160469163</v>
      </c>
      <c r="G1580" s="1087">
        <v>0.97295934530918815</v>
      </c>
      <c r="H1580" s="1087">
        <v>1.0051329817674626</v>
      </c>
      <c r="I1580" s="1087">
        <v>0.99180767333087105</v>
      </c>
      <c r="K1580">
        <v>1.921599813806893</v>
      </c>
      <c r="L1580">
        <v>0</v>
      </c>
      <c r="M1580">
        <v>3.4666369604673753E-3</v>
      </c>
      <c r="N1580">
        <v>0.38142751691520177</v>
      </c>
      <c r="O1580">
        <v>0.24257336340973512</v>
      </c>
      <c r="P1580">
        <v>1.3826193612587356E-2</v>
      </c>
      <c r="Q1580">
        <v>1.7443142759455954E-3</v>
      </c>
      <c r="R1580">
        <v>3.460713355561243E-3</v>
      </c>
      <c r="S1580">
        <v>0.38094766081587406</v>
      </c>
      <c r="T1580">
        <v>0.39410776169089329</v>
      </c>
      <c r="U1580">
        <v>0</v>
      </c>
      <c r="V1580">
        <v>0.20311604509144787</v>
      </c>
      <c r="W1580">
        <v>0.23585485397612915</v>
      </c>
      <c r="X1580">
        <v>5.8589106693995502E-2</v>
      </c>
      <c r="Y1580">
        <v>9.4189209299866475E-3</v>
      </c>
    </row>
    <row r="1581" spans="1:25" x14ac:dyDescent="0.25">
      <c r="A1581" s="1083"/>
      <c r="B1581" s="1455">
        <v>1331</v>
      </c>
      <c r="C1581" s="1087">
        <v>1.005106616633312</v>
      </c>
      <c r="D1581" s="1087">
        <v>0.9959200315547132</v>
      </c>
      <c r="E1581" s="1087">
        <v>1.0052733254547095</v>
      </c>
      <c r="F1581" s="1087">
        <v>1.0276205516132884</v>
      </c>
      <c r="G1581" s="1087">
        <v>1.0296323814987178</v>
      </c>
      <c r="H1581" s="1087">
        <v>0.9802522695811321</v>
      </c>
      <c r="I1581" s="1087">
        <v>0.99414792848030775</v>
      </c>
      <c r="K1581">
        <v>1.8489220728317051</v>
      </c>
      <c r="L1581">
        <v>0</v>
      </c>
      <c r="M1581">
        <v>3.5165707585242774E-3</v>
      </c>
      <c r="N1581">
        <v>0.33930878407070919</v>
      </c>
      <c r="O1581">
        <v>0.24182179233698139</v>
      </c>
      <c r="P1581">
        <v>1.3344372004063992E-2</v>
      </c>
      <c r="Q1581">
        <v>1.5871166758086406E-3</v>
      </c>
      <c r="R1581">
        <v>3.5104092433398256E-3</v>
      </c>
      <c r="S1581">
        <v>0.35850715653176723</v>
      </c>
      <c r="T1581">
        <v>0.41384924535526824</v>
      </c>
      <c r="U1581">
        <v>0</v>
      </c>
      <c r="V1581">
        <v>0.20182262455519284</v>
      </c>
      <c r="W1581">
        <v>0.21542242738129042</v>
      </c>
      <c r="X1581">
        <v>5.37105386815303E-2</v>
      </c>
      <c r="Y1581">
        <v>9.5541767542749421E-3</v>
      </c>
    </row>
    <row r="1582" spans="1:25" x14ac:dyDescent="0.25">
      <c r="A1582" s="1083"/>
      <c r="B1582" s="1455">
        <v>1332</v>
      </c>
      <c r="C1582" s="1087">
        <v>1.0057024468275424</v>
      </c>
      <c r="D1582" s="1087">
        <v>0.97466420291725042</v>
      </c>
      <c r="E1582" s="1087">
        <v>1.013083648948466</v>
      </c>
      <c r="F1582" s="1087">
        <v>1.0128070391244888</v>
      </c>
      <c r="G1582" s="1087">
        <v>0.99215115349537308</v>
      </c>
      <c r="H1582" s="1087">
        <v>0.98177932282487501</v>
      </c>
      <c r="I1582" s="1087">
        <v>0.99965646978722278</v>
      </c>
      <c r="K1582">
        <v>1.8613009386034949</v>
      </c>
      <c r="L1582">
        <v>0</v>
      </c>
      <c r="M1582">
        <v>3.5050341048540861E-3</v>
      </c>
      <c r="N1582">
        <v>0.34635056529162173</v>
      </c>
      <c r="O1582">
        <v>0.24231698377863947</v>
      </c>
      <c r="P1582">
        <v>1.3428058923721379E-2</v>
      </c>
      <c r="Q1582">
        <v>1.6132311129326248E-3</v>
      </c>
      <c r="R1582">
        <v>3.4989214538729968E-3</v>
      </c>
      <c r="S1582">
        <v>0.36500418592281103</v>
      </c>
      <c r="T1582">
        <v>0.40793170378516275</v>
      </c>
      <c r="U1582">
        <v>0</v>
      </c>
      <c r="V1582">
        <v>0.20170654402799568</v>
      </c>
      <c r="W1582">
        <v>0.21883001479006908</v>
      </c>
      <c r="X1582">
        <v>5.4602852843225635E-2</v>
      </c>
      <c r="Y1582">
        <v>9.5229107782950125E-3</v>
      </c>
    </row>
    <row r="1583" spans="1:25" x14ac:dyDescent="0.25">
      <c r="A1583" s="1083"/>
      <c r="B1583" s="1455">
        <v>1333</v>
      </c>
      <c r="C1583" s="1087">
        <v>1.0044552449653645</v>
      </c>
      <c r="D1583" s="1087">
        <v>1.0100472012353781</v>
      </c>
      <c r="E1583" s="1087">
        <v>0.98311565202278672</v>
      </c>
      <c r="F1583" s="1087">
        <v>0.95781575328086621</v>
      </c>
      <c r="G1583" s="1087">
        <v>1.0004607324075572</v>
      </c>
      <c r="H1583" s="1087">
        <v>0.98410018791423304</v>
      </c>
      <c r="I1583" s="1087">
        <v>1.0087774182367797</v>
      </c>
      <c r="K1583">
        <v>1.7920365366703781</v>
      </c>
      <c r="L1583">
        <v>0</v>
      </c>
      <c r="M1583">
        <v>3.6682017319228104E-3</v>
      </c>
      <c r="N1583">
        <v>0.33078945836257045</v>
      </c>
      <c r="O1583">
        <v>0.23197619932963084</v>
      </c>
      <c r="P1583">
        <v>1.2694636486618307E-2</v>
      </c>
      <c r="Q1583">
        <v>1.5422635527108366E-3</v>
      </c>
      <c r="R1583">
        <v>3.6617868563997465E-3</v>
      </c>
      <c r="S1583">
        <v>0.36163311440507473</v>
      </c>
      <c r="T1583">
        <v>0.38560899772047325</v>
      </c>
      <c r="U1583">
        <v>0</v>
      </c>
      <c r="V1583">
        <v>0.19501720800684638</v>
      </c>
      <c r="W1583">
        <v>0.21295436031325216</v>
      </c>
      <c r="X1583">
        <v>4.9860536653315198E-2</v>
      </c>
      <c r="Y1583">
        <v>9.9661767154073135E-3</v>
      </c>
    </row>
    <row r="1584" spans="1:25" x14ac:dyDescent="0.25">
      <c r="A1584" s="1083"/>
      <c r="B1584" s="1455">
        <v>1334</v>
      </c>
      <c r="C1584" s="1087">
        <v>1.001296622844891</v>
      </c>
      <c r="D1584" s="1087">
        <v>0.99406895326301303</v>
      </c>
      <c r="E1584" s="1087">
        <v>0.98097368283517661</v>
      </c>
      <c r="F1584" s="1087">
        <v>0.99917817871329317</v>
      </c>
      <c r="G1584" s="1087">
        <v>1.0320147715949497</v>
      </c>
      <c r="H1584" s="1087">
        <v>1.0319297988257023</v>
      </c>
      <c r="I1584" s="1087">
        <v>1.0176368355524523</v>
      </c>
      <c r="K1584">
        <v>1.8715998625474015</v>
      </c>
      <c r="L1584">
        <v>0</v>
      </c>
      <c r="M1584">
        <v>3.9094186511411345E-3</v>
      </c>
      <c r="N1584">
        <v>0.35027168752584453</v>
      </c>
      <c r="O1584">
        <v>0.23880505686209366</v>
      </c>
      <c r="P1584">
        <v>1.3182262296272082E-2</v>
      </c>
      <c r="Q1584">
        <v>1.5534453713495384E-3</v>
      </c>
      <c r="R1584">
        <v>3.9029140065084188E-3</v>
      </c>
      <c r="S1584">
        <v>0.37803830784325043</v>
      </c>
      <c r="T1584">
        <v>0.40224838039567179</v>
      </c>
      <c r="U1584">
        <v>0</v>
      </c>
      <c r="V1584">
        <v>0.19975609492494667</v>
      </c>
      <c r="W1584">
        <v>0.22580266810987107</v>
      </c>
      <c r="X1584">
        <v>5.1326018532275121E-2</v>
      </c>
      <c r="Y1584">
        <v>1.0622445330459451E-2</v>
      </c>
    </row>
    <row r="1585" spans="1:25" x14ac:dyDescent="0.25">
      <c r="A1585" s="1083"/>
      <c r="B1585" s="1455">
        <v>1335</v>
      </c>
      <c r="C1585" s="1087">
        <v>1.0263663060549519</v>
      </c>
      <c r="D1585" s="1087">
        <v>0.96426160612861223</v>
      </c>
      <c r="E1585" s="1087">
        <v>0.97789989513243492</v>
      </c>
      <c r="F1585" s="1087">
        <v>1.0057763108292401</v>
      </c>
      <c r="G1585" s="1087">
        <v>0.97663754485167698</v>
      </c>
      <c r="H1585" s="1087">
        <v>0.96037764877794396</v>
      </c>
      <c r="I1585" s="1087">
        <v>0.98176801746681985</v>
      </c>
      <c r="K1585">
        <v>1.7981636163610513</v>
      </c>
      <c r="L1585">
        <v>0</v>
      </c>
      <c r="M1585">
        <v>3.6310239549137919E-3</v>
      </c>
      <c r="N1585">
        <v>0.32224889566671522</v>
      </c>
      <c r="O1585">
        <v>0.23957485134232367</v>
      </c>
      <c r="P1585">
        <v>1.279334598087643E-2</v>
      </c>
      <c r="Q1585">
        <v>1.5289993197331888E-3</v>
      </c>
      <c r="R1585">
        <v>3.6245600593671524E-3</v>
      </c>
      <c r="S1585">
        <v>0.34917920851117507</v>
      </c>
      <c r="T1585">
        <v>0.40488619642121293</v>
      </c>
      <c r="U1585">
        <v>0</v>
      </c>
      <c r="V1585">
        <v>0.19928943352952261</v>
      </c>
      <c r="W1585">
        <v>0.20814337865223492</v>
      </c>
      <c r="X1585">
        <v>5.0660913187110412E-2</v>
      </c>
      <c r="Y1585">
        <v>9.8648576456949362E-3</v>
      </c>
    </row>
    <row r="1586" spans="1:25" x14ac:dyDescent="0.25">
      <c r="A1586" s="1083"/>
      <c r="B1586" s="1455">
        <v>1336</v>
      </c>
      <c r="C1586" s="1087">
        <v>1.0124431892550687</v>
      </c>
      <c r="D1586" s="1087">
        <v>1.0063728992868215</v>
      </c>
      <c r="E1586" s="1087">
        <v>0.99798154918524573</v>
      </c>
      <c r="F1586" s="1087">
        <v>1.0019376256577286</v>
      </c>
      <c r="G1586" s="1087">
        <v>0.9882643874106769</v>
      </c>
      <c r="H1586" s="1087">
        <v>1.0050975684174779</v>
      </c>
      <c r="I1586" s="1087">
        <v>1.0058303630556138</v>
      </c>
      <c r="K1586">
        <v>1.8360388152156883</v>
      </c>
      <c r="L1586">
        <v>0</v>
      </c>
      <c r="M1586">
        <v>3.612952754273026E-3</v>
      </c>
      <c r="N1586">
        <v>0.34095172642778993</v>
      </c>
      <c r="O1586">
        <v>0.23681210514785966</v>
      </c>
      <c r="P1586">
        <v>1.3135066480528194E-2</v>
      </c>
      <c r="Q1586">
        <v>1.5569150926778095E-3</v>
      </c>
      <c r="R1586">
        <v>3.606769820302968E-3</v>
      </c>
      <c r="S1586">
        <v>0.3623960119501547</v>
      </c>
      <c r="T1586">
        <v>0.40346175120480315</v>
      </c>
      <c r="U1586">
        <v>0</v>
      </c>
      <c r="V1586">
        <v>0.19825869613248501</v>
      </c>
      <c r="W1586">
        <v>0.2174527796415113</v>
      </c>
      <c r="X1586">
        <v>5.2203507592337176E-2</v>
      </c>
      <c r="Y1586">
        <v>9.8164384795129556E-3</v>
      </c>
    </row>
    <row r="1587" spans="1:25" x14ac:dyDescent="0.25">
      <c r="A1587" s="1083"/>
      <c r="B1587" s="1455">
        <v>1337</v>
      </c>
      <c r="C1587" s="1087">
        <v>1.0180938664769352</v>
      </c>
      <c r="D1587" s="1087">
        <v>0.98224304977276999</v>
      </c>
      <c r="E1587" s="1087">
        <v>1.0112729675461787</v>
      </c>
      <c r="F1587" s="1087">
        <v>1.0093666187493864</v>
      </c>
      <c r="G1587" s="1087">
        <v>0.98455448298019399</v>
      </c>
      <c r="H1587" s="1087">
        <v>0.98430820830133936</v>
      </c>
      <c r="I1587" s="1087">
        <v>1.0265073756543683</v>
      </c>
      <c r="K1587">
        <v>1.8498161181375568</v>
      </c>
      <c r="L1587">
        <v>0</v>
      </c>
      <c r="M1587">
        <v>3.4694760304081365E-3</v>
      </c>
      <c r="N1587">
        <v>0.34095024557253989</v>
      </c>
      <c r="O1587">
        <v>0.23961636867437772</v>
      </c>
      <c r="P1587">
        <v>1.3419208883696975E-2</v>
      </c>
      <c r="Q1587">
        <v>1.5856232662687282E-3</v>
      </c>
      <c r="R1587">
        <v>3.4634340780583233E-3</v>
      </c>
      <c r="S1587">
        <v>0.36909444019770793</v>
      </c>
      <c r="T1587">
        <v>0.40653482488423726</v>
      </c>
      <c r="U1587">
        <v>0</v>
      </c>
      <c r="V1587">
        <v>0.19967174584802017</v>
      </c>
      <c r="W1587">
        <v>0.21565963388271253</v>
      </c>
      <c r="X1587">
        <v>5.3863743040605122E-2</v>
      </c>
      <c r="Y1587">
        <v>9.4263258397377665E-3</v>
      </c>
    </row>
    <row r="1588" spans="1:25" x14ac:dyDescent="0.25">
      <c r="A1588" s="1083"/>
      <c r="B1588" s="1455">
        <v>1338</v>
      </c>
      <c r="C1588" s="1087">
        <v>1.0033004127718261</v>
      </c>
      <c r="D1588" s="1087">
        <v>0.99247545334281462</v>
      </c>
      <c r="E1588" s="1087">
        <v>1.0030590617311597</v>
      </c>
      <c r="F1588" s="1087">
        <v>1.0301838511485137</v>
      </c>
      <c r="G1588" s="1087">
        <v>0.99572398731534151</v>
      </c>
      <c r="H1588" s="1087">
        <v>1.0230941674301919</v>
      </c>
      <c r="I1588" s="1087">
        <v>1.0029273132223855</v>
      </c>
      <c r="K1588">
        <v>1.8901050329767808</v>
      </c>
      <c r="L1588">
        <v>0</v>
      </c>
      <c r="M1588">
        <v>3.7005737553103034E-3</v>
      </c>
      <c r="N1588">
        <v>0.35468543214318282</v>
      </c>
      <c r="O1588">
        <v>0.24266651642326864</v>
      </c>
      <c r="P1588">
        <v>1.3512586098532868E-2</v>
      </c>
      <c r="Q1588">
        <v>1.5884347272087059E-3</v>
      </c>
      <c r="R1588">
        <v>3.694364508894397E-3</v>
      </c>
      <c r="S1588">
        <v>0.3707999434523353</v>
      </c>
      <c r="T1588">
        <v>0.41486768964062293</v>
      </c>
      <c r="U1588">
        <v>0</v>
      </c>
      <c r="V1588">
        <v>0.20241390322948283</v>
      </c>
      <c r="W1588">
        <v>0.22549563549771606</v>
      </c>
      <c r="X1588">
        <v>5.4026258664566992E-2</v>
      </c>
      <c r="Y1588">
        <v>1.0054842346277494E-2</v>
      </c>
    </row>
    <row r="1589" spans="1:25" x14ac:dyDescent="0.25">
      <c r="A1589" s="1083"/>
      <c r="B1589" s="1455">
        <v>1339</v>
      </c>
      <c r="C1589" s="1087">
        <v>1.0069589281607836</v>
      </c>
      <c r="D1589" s="1087">
        <v>0.98551135006712665</v>
      </c>
      <c r="E1589" s="1087">
        <v>1.0304621439817963</v>
      </c>
      <c r="F1589" s="1087">
        <v>0.98889462395110928</v>
      </c>
      <c r="G1589" s="1087">
        <v>0.9743736105333608</v>
      </c>
      <c r="H1589" s="1087">
        <v>1.0354720715232948</v>
      </c>
      <c r="I1589" s="1087">
        <v>1.0300313479131038</v>
      </c>
      <c r="K1589">
        <v>1.9000126274729541</v>
      </c>
      <c r="L1589">
        <v>0</v>
      </c>
      <c r="M1589">
        <v>3.5412979753087137E-3</v>
      </c>
      <c r="N1589">
        <v>0.36899465313282986</v>
      </c>
      <c r="O1589">
        <v>0.23847084151690204</v>
      </c>
      <c r="P1589">
        <v>1.3688443792840252E-2</v>
      </c>
      <c r="Q1589">
        <v>1.6337450939467649E-3</v>
      </c>
      <c r="R1589">
        <v>3.5354328896358258E-3</v>
      </c>
      <c r="S1589">
        <v>0.38356908954691743</v>
      </c>
      <c r="T1589">
        <v>0.39840613979946565</v>
      </c>
      <c r="U1589">
        <v>0</v>
      </c>
      <c r="V1589">
        <v>0.19901924736233548</v>
      </c>
      <c r="W1589">
        <v>0.23065966161736845</v>
      </c>
      <c r="X1589">
        <v>5.5954387825570814E-2</v>
      </c>
      <c r="Y1589">
        <v>9.6222828704498695E-3</v>
      </c>
    </row>
    <row r="1590" spans="1:25" x14ac:dyDescent="0.25">
      <c r="A1590" s="1083"/>
      <c r="B1590" s="1455">
        <v>1340</v>
      </c>
      <c r="C1590" s="1087">
        <v>0.9971658215949093</v>
      </c>
      <c r="D1590" s="1087">
        <v>0.99169442139092667</v>
      </c>
      <c r="E1590" s="1087">
        <v>0.99700702541229835</v>
      </c>
      <c r="F1590" s="1087">
        <v>1.0034298794561978</v>
      </c>
      <c r="G1590" s="1087">
        <v>0.9806255301512854</v>
      </c>
      <c r="H1590" s="1087">
        <v>1.0289333110375374</v>
      </c>
      <c r="I1590" s="1087">
        <v>1.0071513915847634</v>
      </c>
      <c r="K1590">
        <v>1.8839553283775612</v>
      </c>
      <c r="L1590">
        <v>0</v>
      </c>
      <c r="M1590">
        <v>3.793079197129014E-3</v>
      </c>
      <c r="N1590">
        <v>0.35690244079490691</v>
      </c>
      <c r="O1590">
        <v>0.24027814295825592</v>
      </c>
      <c r="P1590">
        <v>1.3350996018726344E-2</v>
      </c>
      <c r="Q1590">
        <v>1.5884335955563685E-3</v>
      </c>
      <c r="R1590">
        <v>3.7867519367830783E-3</v>
      </c>
      <c r="S1590">
        <v>0.37583076069604404</v>
      </c>
      <c r="T1590">
        <v>0.40405673972324457</v>
      </c>
      <c r="U1590">
        <v>0</v>
      </c>
      <c r="V1590">
        <v>0.20079045972760237</v>
      </c>
      <c r="W1590">
        <v>0.22776476005494667</v>
      </c>
      <c r="X1590">
        <v>5.3092631599142383E-2</v>
      </c>
      <c r="Y1590">
        <v>1.030629046948307E-2</v>
      </c>
    </row>
    <row r="1591" spans="1:25" x14ac:dyDescent="0.25">
      <c r="A1591" s="1083"/>
      <c r="B1591" s="1455">
        <v>1341</v>
      </c>
      <c r="C1591" s="1087">
        <v>1.0112752931838562</v>
      </c>
      <c r="D1591" s="1087">
        <v>0.98708075016930175</v>
      </c>
      <c r="E1591" s="1087">
        <v>0.98878511442811401</v>
      </c>
      <c r="F1591" s="1087">
        <v>1.0346071611518088</v>
      </c>
      <c r="G1591" s="1087">
        <v>0.98376229187316766</v>
      </c>
      <c r="H1591" s="1087">
        <v>1.0019836189703906</v>
      </c>
      <c r="I1591" s="1087">
        <v>0.99405779443182329</v>
      </c>
      <c r="K1591">
        <v>1.859602014817763</v>
      </c>
      <c r="L1591">
        <v>0</v>
      </c>
      <c r="M1591">
        <v>3.7128358975625345E-3</v>
      </c>
      <c r="N1591">
        <v>0.34067622442300877</v>
      </c>
      <c r="O1591">
        <v>0.2425363511133064</v>
      </c>
      <c r="P1591">
        <v>1.3265907768457902E-2</v>
      </c>
      <c r="Q1591">
        <v>1.5554577717196195E-3</v>
      </c>
      <c r="R1591">
        <v>3.706479374096136E-3</v>
      </c>
      <c r="S1591">
        <v>0.36176399775234602</v>
      </c>
      <c r="T1591">
        <v>0.41655979023358908</v>
      </c>
      <c r="U1591">
        <v>0</v>
      </c>
      <c r="V1591">
        <v>0.20213640053961837</v>
      </c>
      <c r="W1591">
        <v>0.21853544140698478</v>
      </c>
      <c r="X1591">
        <v>5.249098531650629E-2</v>
      </c>
      <c r="Y1591">
        <v>1.0087815015692387E-2</v>
      </c>
    </row>
    <row r="1592" spans="1:25" x14ac:dyDescent="0.25">
      <c r="A1592" s="1083"/>
      <c r="B1592" s="1455">
        <v>1342</v>
      </c>
      <c r="C1592" s="1087">
        <v>1.0316325377453404</v>
      </c>
      <c r="D1592" s="1087">
        <v>1.0038154198888114</v>
      </c>
      <c r="E1592" s="1087">
        <v>0.99356409583012117</v>
      </c>
      <c r="F1592" s="1087">
        <v>1.033574778320856</v>
      </c>
      <c r="G1592" s="1087">
        <v>1.0246824354085218</v>
      </c>
      <c r="H1592" s="1087">
        <v>0.99687514494669593</v>
      </c>
      <c r="I1592" s="1087">
        <v>1.0000044326208286</v>
      </c>
      <c r="K1592">
        <v>1.8244271201714326</v>
      </c>
      <c r="L1592">
        <v>0</v>
      </c>
      <c r="M1592">
        <v>3.5519642698953269E-3</v>
      </c>
      <c r="N1592">
        <v>0.33070182616245847</v>
      </c>
      <c r="O1592">
        <v>0.2382884769927297</v>
      </c>
      <c r="P1592">
        <v>1.3140480315342894E-2</v>
      </c>
      <c r="Q1592">
        <v>1.5223125642411014E-3</v>
      </c>
      <c r="R1592">
        <v>3.5458350673681235E-3</v>
      </c>
      <c r="S1592">
        <v>0.35252502749198372</v>
      </c>
      <c r="T1592">
        <v>0.41617386606709966</v>
      </c>
      <c r="U1592">
        <v>0</v>
      </c>
      <c r="V1592">
        <v>0.19901118599333087</v>
      </c>
      <c r="W1592">
        <v>0.21150039840092616</v>
      </c>
      <c r="X1592">
        <v>5.1919081216687576E-2</v>
      </c>
      <c r="Y1592">
        <v>9.6505941691602173E-3</v>
      </c>
    </row>
    <row r="1593" spans="1:25" x14ac:dyDescent="0.25">
      <c r="A1593" s="1083"/>
      <c r="B1593" s="1455">
        <v>1343</v>
      </c>
      <c r="C1593" s="1087">
        <v>1.0023412442323327</v>
      </c>
      <c r="D1593" s="1087">
        <v>0.98415796715041537</v>
      </c>
      <c r="E1593" s="1087">
        <v>0.96304054461268762</v>
      </c>
      <c r="F1593" s="1087">
        <v>0.98051655345212463</v>
      </c>
      <c r="G1593" s="1087">
        <v>1.0056157935817871</v>
      </c>
      <c r="H1593" s="1087">
        <v>1.0200506019661284</v>
      </c>
      <c r="I1593" s="1087">
        <v>1.020535514024193</v>
      </c>
      <c r="K1593">
        <v>1.8473475920661262</v>
      </c>
      <c r="L1593">
        <v>0</v>
      </c>
      <c r="M1593">
        <v>4.0253419466554459E-3</v>
      </c>
      <c r="N1593">
        <v>0.3414067719273004</v>
      </c>
      <c r="O1593">
        <v>0.23717252907857883</v>
      </c>
      <c r="P1593">
        <v>1.2888895254130454E-2</v>
      </c>
      <c r="Q1593">
        <v>1.528140764835269E-3</v>
      </c>
      <c r="R1593">
        <v>4.0185753318855762E-3</v>
      </c>
      <c r="S1593">
        <v>0.37838804085428568</v>
      </c>
      <c r="T1593">
        <v>0.3946312122976986</v>
      </c>
      <c r="U1593">
        <v>0</v>
      </c>
      <c r="V1593">
        <v>0.19844170923666393</v>
      </c>
      <c r="W1593">
        <v>0.22262113621369906</v>
      </c>
      <c r="X1593">
        <v>4.9338685723313548E-2</v>
      </c>
      <c r="Y1593">
        <v>1.093723733039041E-2</v>
      </c>
    </row>
    <row r="1594" spans="1:25" x14ac:dyDescent="0.25">
      <c r="A1594" s="1083"/>
      <c r="B1594" s="1455">
        <v>1344</v>
      </c>
      <c r="C1594" s="1087">
        <v>0.98591716026882403</v>
      </c>
      <c r="D1594" s="1087">
        <v>0.99879908784947169</v>
      </c>
      <c r="E1594" s="1087">
        <v>1.0032382173640122</v>
      </c>
      <c r="F1594" s="1087">
        <v>0.96548642925060102</v>
      </c>
      <c r="G1594" s="1087">
        <v>1.0139376336208954</v>
      </c>
      <c r="H1594" s="1087">
        <v>0.99875990236994938</v>
      </c>
      <c r="I1594" s="1087">
        <v>0.99123366020039949</v>
      </c>
      <c r="K1594">
        <v>1.842484298981375</v>
      </c>
      <c r="L1594">
        <v>0</v>
      </c>
      <c r="M1594">
        <v>3.6617929046692177E-3</v>
      </c>
      <c r="N1594">
        <v>0.35114532768829654</v>
      </c>
      <c r="O1594">
        <v>0.2364428447592635</v>
      </c>
      <c r="P1594">
        <v>1.3052730008718321E-2</v>
      </c>
      <c r="Q1594">
        <v>1.6126472008082514E-3</v>
      </c>
      <c r="R1594">
        <v>3.6554925226774718E-3</v>
      </c>
      <c r="S1594">
        <v>0.36716370446623769</v>
      </c>
      <c r="T1594">
        <v>0.38881429363583231</v>
      </c>
      <c r="U1594">
        <v>0</v>
      </c>
      <c r="V1594">
        <v>0.1983475017646702</v>
      </c>
      <c r="W1594">
        <v>0.22322004079319716</v>
      </c>
      <c r="X1594">
        <v>5.2742463432398239E-2</v>
      </c>
      <c r="Y1594">
        <v>9.9490456139418367E-3</v>
      </c>
    </row>
    <row r="1595" spans="1:25" x14ac:dyDescent="0.25">
      <c r="A1595" s="1083"/>
      <c r="B1595" s="1455">
        <v>1345</v>
      </c>
      <c r="C1595" s="1087">
        <v>1.0039916834866685</v>
      </c>
      <c r="D1595" s="1087">
        <v>0.96700917109314732</v>
      </c>
      <c r="E1595" s="1087">
        <v>1.0131597971058421</v>
      </c>
      <c r="F1595" s="1087">
        <v>0.98087799289257094</v>
      </c>
      <c r="G1595" s="1087">
        <v>0.9930980667254693</v>
      </c>
      <c r="H1595" s="1087">
        <v>0.97764335248056089</v>
      </c>
      <c r="I1595" s="1087">
        <v>1.0074256897753417</v>
      </c>
      <c r="K1595">
        <v>1.8479118700897508</v>
      </c>
      <c r="L1595">
        <v>0</v>
      </c>
      <c r="M1595">
        <v>3.5099325209912357E-3</v>
      </c>
      <c r="N1595">
        <v>0.3469131274214845</v>
      </c>
      <c r="O1595">
        <v>0.23944706271484184</v>
      </c>
      <c r="P1595">
        <v>1.3280465827179592E-2</v>
      </c>
      <c r="Q1595">
        <v>1.621215515189468E-3</v>
      </c>
      <c r="R1595">
        <v>3.5037910702264566E-3</v>
      </c>
      <c r="S1595">
        <v>0.36928619165248588</v>
      </c>
      <c r="T1595">
        <v>0.39507199101165169</v>
      </c>
      <c r="U1595">
        <v>0</v>
      </c>
      <c r="V1595">
        <v>0.19951552177295123</v>
      </c>
      <c r="W1595">
        <v>0.21917512471528056</v>
      </c>
      <c r="X1595">
        <v>5.4071146640708702E-2</v>
      </c>
      <c r="Y1595">
        <v>9.5361642687405331E-3</v>
      </c>
    </row>
    <row r="1596" spans="1:25" x14ac:dyDescent="0.25">
      <c r="A1596" s="1083"/>
      <c r="B1596" s="1455">
        <v>1346</v>
      </c>
      <c r="C1596" s="1087">
        <v>1.0178654884890104</v>
      </c>
      <c r="D1596" s="1087">
        <v>0.97889865547323052</v>
      </c>
      <c r="E1596" s="1087">
        <v>0.96347625009173687</v>
      </c>
      <c r="F1596" s="1087">
        <v>0.96003725013219809</v>
      </c>
      <c r="G1596" s="1087">
        <v>1.0250978583436177</v>
      </c>
      <c r="H1596" s="1087">
        <v>1.01030850909051</v>
      </c>
      <c r="I1596" s="1087">
        <v>1.005121046703088</v>
      </c>
      <c r="K1596">
        <v>1.8065357234178478</v>
      </c>
      <c r="L1596">
        <v>0</v>
      </c>
      <c r="M1596">
        <v>3.9335638289737119E-3</v>
      </c>
      <c r="N1596">
        <v>0.33406269889029766</v>
      </c>
      <c r="O1596">
        <v>0.23339731577455317</v>
      </c>
      <c r="P1596">
        <v>1.2581846018733462E-2</v>
      </c>
      <c r="Q1596">
        <v>1.5087765426670158E-3</v>
      </c>
      <c r="R1596">
        <v>3.9268920337271473E-3</v>
      </c>
      <c r="S1596">
        <v>0.36630382362029518</v>
      </c>
      <c r="T1596">
        <v>0.38639131722179437</v>
      </c>
      <c r="U1596">
        <v>0</v>
      </c>
      <c r="V1596">
        <v>0.19530483982368305</v>
      </c>
      <c r="W1596">
        <v>0.21777132312916417</v>
      </c>
      <c r="X1596">
        <v>4.8532748575710639E-2</v>
      </c>
      <c r="Y1596">
        <v>1.0687705616194282E-2</v>
      </c>
    </row>
    <row r="1597" spans="1:25" x14ac:dyDescent="0.25">
      <c r="A1597" s="1083"/>
      <c r="B1597" s="1455">
        <v>1347</v>
      </c>
      <c r="C1597" s="1087">
        <v>0.99467389702111431</v>
      </c>
      <c r="D1597" s="1087">
        <v>1.0051965851571565</v>
      </c>
      <c r="E1597" s="1087">
        <v>0.99331193384833738</v>
      </c>
      <c r="F1597" s="1087">
        <v>1.0037057449424736</v>
      </c>
      <c r="G1597" s="1087">
        <v>1.0070202002377195</v>
      </c>
      <c r="H1597" s="1087">
        <v>1.0125065608119004</v>
      </c>
      <c r="I1597" s="1087">
        <v>0.99376420212586714</v>
      </c>
      <c r="K1597">
        <v>1.8579314430177165</v>
      </c>
      <c r="L1597">
        <v>0</v>
      </c>
      <c r="M1597">
        <v>3.7428060545543645E-3</v>
      </c>
      <c r="N1597">
        <v>0.34821125233035388</v>
      </c>
      <c r="O1597">
        <v>0.23921439826631058</v>
      </c>
      <c r="P1597">
        <v>1.3175483130556076E-2</v>
      </c>
      <c r="Q1597">
        <v>1.5775829161189464E-3</v>
      </c>
      <c r="R1597">
        <v>3.7364493327381523E-3</v>
      </c>
      <c r="S1597">
        <v>0.36598105125732822</v>
      </c>
      <c r="T1597">
        <v>0.40414542944478055</v>
      </c>
      <c r="U1597">
        <v>0</v>
      </c>
      <c r="V1597">
        <v>0.20034158256155571</v>
      </c>
      <c r="W1597">
        <v>0.2227338184619829</v>
      </c>
      <c r="X1597">
        <v>5.2387818007024065E-2</v>
      </c>
      <c r="Y1597">
        <v>1.0169383363521748E-2</v>
      </c>
    </row>
    <row r="1598" spans="1:25" x14ac:dyDescent="0.25">
      <c r="A1598" s="1083"/>
      <c r="B1598" s="1455">
        <v>1348</v>
      </c>
      <c r="C1598" s="1087">
        <v>1.0067341816211168</v>
      </c>
      <c r="D1598" s="1087">
        <v>1.0163160155874766</v>
      </c>
      <c r="E1598" s="1087">
        <v>1.0240712744592313</v>
      </c>
      <c r="F1598" s="1087">
        <v>1.0071951472335536</v>
      </c>
      <c r="G1598" s="1087">
        <v>1.0051887110829996</v>
      </c>
      <c r="H1598" s="1087">
        <v>0.99118381350712792</v>
      </c>
      <c r="I1598" s="1087">
        <v>1.0178691009635392</v>
      </c>
      <c r="K1598">
        <v>1.8474886632985239</v>
      </c>
      <c r="L1598">
        <v>0</v>
      </c>
      <c r="M1598">
        <v>3.3785420950761687E-3</v>
      </c>
      <c r="N1598">
        <v>0.34522181226734094</v>
      </c>
      <c r="O1598">
        <v>0.2374964192734613</v>
      </c>
      <c r="P1598">
        <v>1.3461927673788262E-2</v>
      </c>
      <c r="Q1598">
        <v>1.6033122027934363E-3</v>
      </c>
      <c r="R1598">
        <v>3.3726709108771193E-3</v>
      </c>
      <c r="S1598">
        <v>0.36457881107637469</v>
      </c>
      <c r="T1598">
        <v>0.40573931382206407</v>
      </c>
      <c r="U1598">
        <v>0</v>
      </c>
      <c r="V1598">
        <v>0.19894234725993915</v>
      </c>
      <c r="W1598">
        <v>0.21664512523381385</v>
      </c>
      <c r="X1598">
        <v>5.462616725440507E-2</v>
      </c>
      <c r="Y1598">
        <v>9.1792984187405498E-3</v>
      </c>
    </row>
    <row r="1599" spans="1:25" x14ac:dyDescent="0.25">
      <c r="A1599" s="1083"/>
      <c r="B1599" s="1455">
        <v>1349</v>
      </c>
      <c r="C1599" s="1087">
        <v>1.0202639310392385</v>
      </c>
      <c r="D1599" s="1087">
        <v>0.99030641003530584</v>
      </c>
      <c r="E1599" s="1087">
        <v>0.98381732164109692</v>
      </c>
      <c r="F1599" s="1087">
        <v>0.99482749251965508</v>
      </c>
      <c r="G1599" s="1087">
        <v>1.0104143293297152</v>
      </c>
      <c r="H1599" s="1087">
        <v>1.0088269845232936</v>
      </c>
      <c r="I1599" s="1087">
        <v>0.96596350693190003</v>
      </c>
      <c r="K1599">
        <v>1.8137823061701484</v>
      </c>
      <c r="L1599">
        <v>0</v>
      </c>
      <c r="M1599">
        <v>3.7366357885286251E-3</v>
      </c>
      <c r="N1599">
        <v>0.33769997281385422</v>
      </c>
      <c r="O1599">
        <v>0.23645227800992258</v>
      </c>
      <c r="P1599">
        <v>1.2766134682238995E-2</v>
      </c>
      <c r="Q1599">
        <v>1.5315563919873557E-3</v>
      </c>
      <c r="R1599">
        <v>3.7302793563849337E-3</v>
      </c>
      <c r="S1599">
        <v>0.34894915909531088</v>
      </c>
      <c r="T1599">
        <v>0.400513808640583</v>
      </c>
      <c r="U1599">
        <v>0</v>
      </c>
      <c r="V1599">
        <v>0.19760357374817358</v>
      </c>
      <c r="W1599">
        <v>0.21730669723827026</v>
      </c>
      <c r="X1599">
        <v>5.0812891260129292E-2</v>
      </c>
      <c r="Y1599">
        <v>1.0152590721820443E-2</v>
      </c>
    </row>
    <row r="1600" spans="1:25" x14ac:dyDescent="0.25">
      <c r="A1600" s="1083"/>
      <c r="B1600" s="1455">
        <v>1350</v>
      </c>
      <c r="C1600" s="1087">
        <v>0.96432567312975115</v>
      </c>
      <c r="D1600" s="1087">
        <v>1.0039636289983886</v>
      </c>
      <c r="E1600" s="1087">
        <v>1.0129957758635146</v>
      </c>
      <c r="F1600" s="1087">
        <v>0.97479184406124753</v>
      </c>
      <c r="G1600" s="1087">
        <v>0.99844997971906535</v>
      </c>
      <c r="H1600" s="1087">
        <v>1.0294312785237802</v>
      </c>
      <c r="I1600" s="1087">
        <v>0.98239934619796199</v>
      </c>
      <c r="K1600">
        <v>1.89865539389796</v>
      </c>
      <c r="L1600">
        <v>0</v>
      </c>
      <c r="M1600">
        <v>3.7718322431534645E-3</v>
      </c>
      <c r="N1600">
        <v>0.37264183883546936</v>
      </c>
      <c r="O1600">
        <v>0.23986646870372585</v>
      </c>
      <c r="P1600">
        <v>1.3373078649728384E-2</v>
      </c>
      <c r="Q1600">
        <v>1.6624813755895902E-3</v>
      </c>
      <c r="R1600">
        <v>3.7655312586313827E-3</v>
      </c>
      <c r="S1600">
        <v>0.37674688833822084</v>
      </c>
      <c r="T1600">
        <v>0.39261967178654428</v>
      </c>
      <c r="U1600">
        <v>0</v>
      </c>
      <c r="V1600">
        <v>0.20134488953794522</v>
      </c>
      <c r="W1600">
        <v>0.23545407748739616</v>
      </c>
      <c r="X1600">
        <v>5.470376538891096E-2</v>
      </c>
      <c r="Y1600">
        <v>1.0248534778948827E-2</v>
      </c>
    </row>
    <row r="1601" spans="1:25" x14ac:dyDescent="0.25">
      <c r="A1601" s="1083"/>
      <c r="B1601" s="1455">
        <v>1351</v>
      </c>
      <c r="C1601" s="1087">
        <v>1.0093217691116356</v>
      </c>
      <c r="D1601" s="1087">
        <v>1.0101151329432008</v>
      </c>
      <c r="E1601" s="1087">
        <v>0.98550525215643892</v>
      </c>
      <c r="F1601" s="1087">
        <v>1.0378334007244114</v>
      </c>
      <c r="G1601" s="1087">
        <v>1.0002400440594728</v>
      </c>
      <c r="H1601" s="1087">
        <v>0.9636391131622144</v>
      </c>
      <c r="I1601" s="1087">
        <v>0.96710048770008261</v>
      </c>
      <c r="K1601">
        <v>1.807729264122512</v>
      </c>
      <c r="L1601">
        <v>0</v>
      </c>
      <c r="M1601">
        <v>3.5563390288033134E-3</v>
      </c>
      <c r="N1601">
        <v>0.32303971888543148</v>
      </c>
      <c r="O1601">
        <v>0.24071880894682257</v>
      </c>
      <c r="P1601">
        <v>1.2965499506903873E-2</v>
      </c>
      <c r="Q1601">
        <v>1.5387311007674556E-3</v>
      </c>
      <c r="R1601">
        <v>3.5499863056011102E-3</v>
      </c>
      <c r="S1601">
        <v>0.34146323838689113</v>
      </c>
      <c r="T1601">
        <v>0.41783832317887248</v>
      </c>
      <c r="U1601">
        <v>0</v>
      </c>
      <c r="V1601">
        <v>0.20133154302125789</v>
      </c>
      <c r="W1601">
        <v>0.20765129907879926</v>
      </c>
      <c r="X1601">
        <v>5.1526562268793652E-2</v>
      </c>
      <c r="Y1601">
        <v>9.6618924711750955E-3</v>
      </c>
    </row>
    <row r="1602" spans="1:25" x14ac:dyDescent="0.25">
      <c r="A1602" s="1083"/>
      <c r="B1602" s="1455">
        <v>1352</v>
      </c>
      <c r="C1602" s="1087">
        <v>1.0345849481885092</v>
      </c>
      <c r="D1602" s="1087">
        <v>0.96614387325209417</v>
      </c>
      <c r="E1602" s="1087">
        <v>1.0040731813651793</v>
      </c>
      <c r="F1602" s="1087">
        <v>1.0006756408278752</v>
      </c>
      <c r="G1602" s="1087">
        <v>1.0037492802323669</v>
      </c>
      <c r="H1602" s="1087">
        <v>0.99433203104376056</v>
      </c>
      <c r="I1602" s="1087">
        <v>0.98994233725330938</v>
      </c>
      <c r="K1602">
        <v>1.82681234229276</v>
      </c>
      <c r="L1602">
        <v>0</v>
      </c>
      <c r="M1602">
        <v>3.5315725914320806E-3</v>
      </c>
      <c r="N1602">
        <v>0.33952194675931546</v>
      </c>
      <c r="O1602">
        <v>0.23819759969956603</v>
      </c>
      <c r="P1602">
        <v>1.3087116113346684E-2</v>
      </c>
      <c r="Q1602">
        <v>1.5587405750323742E-3</v>
      </c>
      <c r="R1602">
        <v>3.5254986093220448E-3</v>
      </c>
      <c r="S1602">
        <v>0.35519756186557566</v>
      </c>
      <c r="T1602">
        <v>0.4029905353589685</v>
      </c>
      <c r="U1602">
        <v>0</v>
      </c>
      <c r="V1602">
        <v>0.19806126317541553</v>
      </c>
      <c r="W1602">
        <v>0.21571889652895168</v>
      </c>
      <c r="X1602">
        <v>5.2889511164426341E-2</v>
      </c>
      <c r="Y1602">
        <v>9.5952450342703857E-3</v>
      </c>
    </row>
    <row r="1603" spans="1:25" x14ac:dyDescent="0.25">
      <c r="A1603" s="1083"/>
      <c r="B1603" s="1455">
        <v>1353</v>
      </c>
      <c r="C1603" s="1087">
        <v>0.9714741269931515</v>
      </c>
      <c r="D1603" s="1087">
        <v>0.98986060408933008</v>
      </c>
      <c r="E1603" s="1087">
        <v>0.99665774860075251</v>
      </c>
      <c r="F1603" s="1087">
        <v>1.0230353337211495</v>
      </c>
      <c r="G1603" s="1087">
        <v>0.99234013116884223</v>
      </c>
      <c r="H1603" s="1087">
        <v>0.98909056812923257</v>
      </c>
      <c r="I1603" s="1087">
        <v>1.0090652933858004</v>
      </c>
      <c r="K1603">
        <v>1.8994836916805049</v>
      </c>
      <c r="L1603">
        <v>0</v>
      </c>
      <c r="M1603">
        <v>3.7492555791736417E-3</v>
      </c>
      <c r="N1603">
        <v>0.35237950707011229</v>
      </c>
      <c r="O1603">
        <v>0.24599773628259858</v>
      </c>
      <c r="P1603">
        <v>1.3566088418525883E-2</v>
      </c>
      <c r="Q1603">
        <v>1.6310408588180662E-3</v>
      </c>
      <c r="R1603">
        <v>3.7427515345328289E-3</v>
      </c>
      <c r="S1603">
        <v>0.37935798019649952</v>
      </c>
      <c r="T1603">
        <v>0.41194921780388549</v>
      </c>
      <c r="U1603">
        <v>0</v>
      </c>
      <c r="V1603">
        <v>0.20543059484358392</v>
      </c>
      <c r="W1603">
        <v>0.22492755432098269</v>
      </c>
      <c r="X1603">
        <v>5.4063940050853278E-2</v>
      </c>
      <c r="Y1603">
        <v>1.0186535879286591E-2</v>
      </c>
    </row>
    <row r="1604" spans="1:25" x14ac:dyDescent="0.25">
      <c r="A1604" s="1083"/>
      <c r="B1604" s="1455">
        <v>1354</v>
      </c>
      <c r="C1604" s="1087">
        <v>1.0356913929322875</v>
      </c>
      <c r="D1604" s="1087">
        <v>1.0027291128292295</v>
      </c>
      <c r="E1604" s="1087">
        <v>0.98328486284236771</v>
      </c>
      <c r="F1604" s="1087">
        <v>0.98992445378563354</v>
      </c>
      <c r="G1604" s="1087">
        <v>0.98378137718504233</v>
      </c>
      <c r="H1604" s="1087">
        <v>0.9969207719463653</v>
      </c>
      <c r="I1604" s="1087">
        <v>1.029184697115757</v>
      </c>
      <c r="K1604">
        <v>1.7984492424720633</v>
      </c>
      <c r="L1604">
        <v>0</v>
      </c>
      <c r="M1604">
        <v>3.6166248263682769E-3</v>
      </c>
      <c r="N1604">
        <v>0.32631493149172819</v>
      </c>
      <c r="O1604">
        <v>0.23284968078710946</v>
      </c>
      <c r="P1604">
        <v>1.2868480615298054E-2</v>
      </c>
      <c r="Q1604">
        <v>1.5003791768634339E-3</v>
      </c>
      <c r="R1604">
        <v>3.6103874528184503E-3</v>
      </c>
      <c r="S1604">
        <v>0.36156075464043125</v>
      </c>
      <c r="T1604">
        <v>0.39853670764809745</v>
      </c>
      <c r="U1604">
        <v>0</v>
      </c>
      <c r="V1604">
        <v>0.19494503788856357</v>
      </c>
      <c r="W1604">
        <v>0.21005127445828553</v>
      </c>
      <c r="X1604">
        <v>5.0001948656567902E-2</v>
      </c>
      <c r="Y1604">
        <v>9.8262844826678651E-3</v>
      </c>
    </row>
    <row r="1605" spans="1:25" x14ac:dyDescent="0.25">
      <c r="A1605" s="1083"/>
      <c r="B1605" s="1455">
        <v>1355</v>
      </c>
      <c r="C1605" s="1087">
        <v>1.0106572064228767</v>
      </c>
      <c r="D1605" s="1087">
        <v>1.0359054519526938</v>
      </c>
      <c r="E1605" s="1087">
        <v>0.97539164951636781</v>
      </c>
      <c r="F1605" s="1087">
        <v>1.0256330791887656</v>
      </c>
      <c r="G1605" s="1087">
        <v>0.97750943736739726</v>
      </c>
      <c r="H1605" s="1087">
        <v>0.99787443992746572</v>
      </c>
      <c r="I1605" s="1087">
        <v>1.0147419731810841</v>
      </c>
      <c r="K1605">
        <v>1.8186564821394511</v>
      </c>
      <c r="L1605">
        <v>0</v>
      </c>
      <c r="M1605">
        <v>3.7030685349569905E-3</v>
      </c>
      <c r="N1605">
        <v>0.32614847771323152</v>
      </c>
      <c r="O1605">
        <v>0.23646262348050728</v>
      </c>
      <c r="P1605">
        <v>1.2997798481359873E-2</v>
      </c>
      <c r="Q1605">
        <v>1.5048070274568258E-3</v>
      </c>
      <c r="R1605">
        <v>3.696656989758189E-3</v>
      </c>
      <c r="S1605">
        <v>0.35883423251151925</v>
      </c>
      <c r="T1605">
        <v>0.41286442957506436</v>
      </c>
      <c r="U1605">
        <v>0</v>
      </c>
      <c r="V1605">
        <v>0.19874356943835994</v>
      </c>
      <c r="W1605">
        <v>0.21099843976567079</v>
      </c>
      <c r="X1605">
        <v>5.0047433968004831E-2</v>
      </c>
      <c r="Y1605">
        <v>1.006108172347262E-2</v>
      </c>
    </row>
    <row r="1606" spans="1:25" x14ac:dyDescent="0.25">
      <c r="A1606" s="1083"/>
      <c r="B1606" s="1455">
        <v>1356</v>
      </c>
      <c r="C1606" s="1087">
        <v>1.0093426287838139</v>
      </c>
      <c r="D1606" s="1087">
        <v>0.99385321383049896</v>
      </c>
      <c r="E1606" s="1087">
        <v>0.98969864111346095</v>
      </c>
      <c r="F1606" s="1087">
        <v>0.99784760958667906</v>
      </c>
      <c r="G1606" s="1087">
        <v>0.99845477938912186</v>
      </c>
      <c r="H1606" s="1087">
        <v>1.002627041467159</v>
      </c>
      <c r="I1606" s="1087">
        <v>1.0147323412276106</v>
      </c>
      <c r="K1606">
        <v>1.8426253869974367</v>
      </c>
      <c r="L1606">
        <v>0</v>
      </c>
      <c r="M1606">
        <v>3.7019968267302372E-3</v>
      </c>
      <c r="N1606">
        <v>0.34063056579834783</v>
      </c>
      <c r="O1606">
        <v>0.23782727767504944</v>
      </c>
      <c r="P1606">
        <v>1.3124666213246422E-2</v>
      </c>
      <c r="Q1606">
        <v>1.5557015991237689E-3</v>
      </c>
      <c r="R1606">
        <v>3.6956573641571959E-3</v>
      </c>
      <c r="S1606">
        <v>0.36873848202995468</v>
      </c>
      <c r="T1606">
        <v>0.40176491811936865</v>
      </c>
      <c r="U1606">
        <v>0</v>
      </c>
      <c r="V1606">
        <v>0.1988486126765541</v>
      </c>
      <c r="W1606">
        <v>0.21838045243701709</v>
      </c>
      <c r="X1606">
        <v>5.1702688839233395E-2</v>
      </c>
      <c r="Y1606">
        <v>1.005836107211321E-2</v>
      </c>
    </row>
    <row r="1607" spans="1:25" x14ac:dyDescent="0.25">
      <c r="A1607" s="1083"/>
      <c r="B1607" s="1455">
        <v>1357</v>
      </c>
      <c r="C1607" s="1087">
        <v>1.039875536828172</v>
      </c>
      <c r="D1607" s="1087">
        <v>1.0209203238164088</v>
      </c>
      <c r="E1607" s="1087">
        <v>1.0128482343616654</v>
      </c>
      <c r="F1607" s="1087">
        <v>0.99654523142757911</v>
      </c>
      <c r="G1607" s="1087">
        <v>1.01345217218561</v>
      </c>
      <c r="H1607" s="1087">
        <v>1.0062711520570162</v>
      </c>
      <c r="I1607" s="1087">
        <v>1.0280362537016432</v>
      </c>
      <c r="K1607">
        <v>1.8078506470972289</v>
      </c>
      <c r="L1607">
        <v>0</v>
      </c>
      <c r="M1607">
        <v>3.3887015182728041E-3</v>
      </c>
      <c r="N1607">
        <v>0.3346251601147669</v>
      </c>
      <c r="O1607">
        <v>0.23175263103912697</v>
      </c>
      <c r="P1607">
        <v>1.313831571683999E-2</v>
      </c>
      <c r="Q1607">
        <v>1.5311642615199314E-3</v>
      </c>
      <c r="R1607">
        <v>3.3828955779673124E-3</v>
      </c>
      <c r="S1607">
        <v>0.3580942511873722</v>
      </c>
      <c r="T1607">
        <v>0.4013804462110645</v>
      </c>
      <c r="U1607">
        <v>0</v>
      </c>
      <c r="V1607">
        <v>0.19430339572569577</v>
      </c>
      <c r="W1607">
        <v>0.21145250928236312</v>
      </c>
      <c r="X1607">
        <v>5.2371452906784258E-2</v>
      </c>
      <c r="Y1607">
        <v>9.2071265919994559E-3</v>
      </c>
    </row>
    <row r="1608" spans="1:25" x14ac:dyDescent="0.25">
      <c r="A1608" s="1083"/>
      <c r="B1608" s="1455">
        <v>1358</v>
      </c>
      <c r="C1608" s="1087">
        <v>0.97014640973760602</v>
      </c>
      <c r="D1608" s="1087">
        <v>1.0025519423350551</v>
      </c>
      <c r="E1608" s="1087">
        <v>0.97297501447153889</v>
      </c>
      <c r="F1608" s="1087">
        <v>0.97812620937281469</v>
      </c>
      <c r="G1608" s="1087">
        <v>0.98916318562757</v>
      </c>
      <c r="H1608" s="1087">
        <v>0.97717270885732999</v>
      </c>
      <c r="I1608" s="1087">
        <v>0.99492768335598469</v>
      </c>
      <c r="K1608">
        <v>1.835354213621784</v>
      </c>
      <c r="L1608">
        <v>0</v>
      </c>
      <c r="M1608">
        <v>3.8652866299757893E-3</v>
      </c>
      <c r="N1608">
        <v>0.33792026114504997</v>
      </c>
      <c r="O1608">
        <v>0.23911718666993612</v>
      </c>
      <c r="P1608">
        <v>1.2887010001618637E-2</v>
      </c>
      <c r="Q1608">
        <v>1.5841608212241252E-3</v>
      </c>
      <c r="R1608">
        <v>3.8584859454285111E-3</v>
      </c>
      <c r="S1608">
        <v>0.36939428070535202</v>
      </c>
      <c r="T1608">
        <v>0.39372667659811639</v>
      </c>
      <c r="U1608">
        <v>0</v>
      </c>
      <c r="V1608">
        <v>0.20082141011425098</v>
      </c>
      <c r="W1608">
        <v>0.21895092773964919</v>
      </c>
      <c r="X1608">
        <v>5.0457573717228588E-2</v>
      </c>
      <c r="Y1608">
        <v>1.0501526793906341E-2</v>
      </c>
    </row>
    <row r="1609" spans="1:25" x14ac:dyDescent="0.25">
      <c r="A1609" s="1083"/>
      <c r="B1609" s="1455">
        <v>1359</v>
      </c>
      <c r="C1609" s="1087">
        <v>0.97698428415754068</v>
      </c>
      <c r="D1609" s="1087">
        <v>0.99964590715793689</v>
      </c>
      <c r="E1609" s="1087">
        <v>1.0169662205717398</v>
      </c>
      <c r="F1609" s="1087">
        <v>0.98640311634715994</v>
      </c>
      <c r="G1609" s="1087">
        <v>1.0161235936769544</v>
      </c>
      <c r="H1609" s="1087">
        <v>1.0161567790677137</v>
      </c>
      <c r="I1609" s="1087">
        <v>1.0079046240211056</v>
      </c>
      <c r="K1609">
        <v>1.8945592504919209</v>
      </c>
      <c r="L1609">
        <v>0</v>
      </c>
      <c r="M1609">
        <v>3.6541582489027858E-3</v>
      </c>
      <c r="N1609">
        <v>0.36540464674020445</v>
      </c>
      <c r="O1609">
        <v>0.24020242284610335</v>
      </c>
      <c r="P1609">
        <v>1.3520464582172055E-2</v>
      </c>
      <c r="Q1609">
        <v>1.6506877448953308E-3</v>
      </c>
      <c r="R1609">
        <v>3.6479786842927597E-3</v>
      </c>
      <c r="S1609">
        <v>0.38001926324178942</v>
      </c>
      <c r="T1609">
        <v>0.3973203578318254</v>
      </c>
      <c r="U1609">
        <v>0</v>
      </c>
      <c r="V1609">
        <v>0.20120849617142969</v>
      </c>
      <c r="W1609">
        <v>0.23031557636985053</v>
      </c>
      <c r="X1609">
        <v>5.4994919105464543E-2</v>
      </c>
      <c r="Y1609">
        <v>9.928595422794808E-3</v>
      </c>
    </row>
    <row r="1610" spans="1:25" x14ac:dyDescent="0.25">
      <c r="A1610" s="1083"/>
      <c r="B1610" s="1455">
        <v>1360</v>
      </c>
      <c r="C1610" s="1087">
        <v>0.99624670757295308</v>
      </c>
      <c r="D1610" s="1087">
        <v>0.99585874203578673</v>
      </c>
      <c r="E1610" s="1087">
        <v>0.99873092373258909</v>
      </c>
      <c r="F1610" s="1087">
        <v>0.99672066417757554</v>
      </c>
      <c r="G1610" s="1087">
        <v>1.0083572733353094</v>
      </c>
      <c r="H1610" s="1087">
        <v>1.0260670609775142</v>
      </c>
      <c r="I1610" s="1087">
        <v>0.97461762515876971</v>
      </c>
      <c r="K1610">
        <v>1.8642885350247604</v>
      </c>
      <c r="L1610">
        <v>0</v>
      </c>
      <c r="M1610">
        <v>3.7641126248396436E-3</v>
      </c>
      <c r="N1610">
        <v>0.35604332655178955</v>
      </c>
      <c r="O1610">
        <v>0.23920285719711387</v>
      </c>
      <c r="P1610">
        <v>1.3142928318980352E-2</v>
      </c>
      <c r="Q1610">
        <v>1.5901579166631883E-3</v>
      </c>
      <c r="R1610">
        <v>3.7578123817954708E-3</v>
      </c>
      <c r="S1610">
        <v>0.36269008553722942</v>
      </c>
      <c r="T1610">
        <v>0.40136549770776425</v>
      </c>
      <c r="U1610">
        <v>0</v>
      </c>
      <c r="V1610">
        <v>0.2000978811007938</v>
      </c>
      <c r="W1610">
        <v>0.22697149594286153</v>
      </c>
      <c r="X1610">
        <v>5.2963078453877814E-2</v>
      </c>
      <c r="Y1610">
        <v>1.0227526540728537E-2</v>
      </c>
    </row>
    <row r="1611" spans="1:25" x14ac:dyDescent="0.25">
      <c r="A1611" s="1083"/>
      <c r="B1611" s="1455">
        <v>1361</v>
      </c>
      <c r="C1611" s="1087">
        <v>0.99598031373126017</v>
      </c>
      <c r="D1611" s="1087">
        <v>1.0086846999389802</v>
      </c>
      <c r="E1611" s="1087">
        <v>0.99462525984842776</v>
      </c>
      <c r="F1611" s="1087">
        <v>0.99528425346083338</v>
      </c>
      <c r="G1611" s="1087">
        <v>1.0053971787089129</v>
      </c>
      <c r="H1611" s="1087">
        <v>0.96731589620020741</v>
      </c>
      <c r="I1611" s="1087">
        <v>1.0177492745746748</v>
      </c>
      <c r="K1611">
        <v>1.8235998724479281</v>
      </c>
      <c r="L1611">
        <v>0</v>
      </c>
      <c r="M1611">
        <v>3.554815727341269E-3</v>
      </c>
      <c r="N1611">
        <v>0.33202366022766966</v>
      </c>
      <c r="O1611">
        <v>0.23773817589478627</v>
      </c>
      <c r="P1611">
        <v>1.3118862442007675E-2</v>
      </c>
      <c r="Q1611">
        <v>1.5755422799888291E-3</v>
      </c>
      <c r="R1611">
        <v>3.5484931260552116E-3</v>
      </c>
      <c r="S1611">
        <v>0.3652842616643911</v>
      </c>
      <c r="T1611">
        <v>0.40076237416842886</v>
      </c>
      <c r="U1611">
        <v>0</v>
      </c>
      <c r="V1611">
        <v>0.19929990638625456</v>
      </c>
      <c r="W1611">
        <v>0.21220440382991224</v>
      </c>
      <c r="X1611">
        <v>5.1941179627095067E-2</v>
      </c>
      <c r="Y1611">
        <v>9.6578285286776644E-3</v>
      </c>
    </row>
    <row r="1612" spans="1:25" x14ac:dyDescent="0.25">
      <c r="A1612" s="1083"/>
      <c r="B1612" s="1455">
        <v>1362</v>
      </c>
      <c r="C1612" s="1087">
        <v>0.99545348366919861</v>
      </c>
      <c r="D1612" s="1087">
        <v>0.97790763557024296</v>
      </c>
      <c r="E1612" s="1087">
        <v>0.99943546454279453</v>
      </c>
      <c r="F1612" s="1087">
        <v>0.9823159224613357</v>
      </c>
      <c r="G1612" s="1087">
        <v>1.0102220185007638</v>
      </c>
      <c r="H1612" s="1087">
        <v>0.97321878541316353</v>
      </c>
      <c r="I1612" s="1087">
        <v>1.0279654930274111</v>
      </c>
      <c r="K1612">
        <v>1.8480365049339538</v>
      </c>
      <c r="L1612">
        <v>0</v>
      </c>
      <c r="M1612">
        <v>3.6026723350733045E-3</v>
      </c>
      <c r="N1612">
        <v>0.34147674063933192</v>
      </c>
      <c r="O1612">
        <v>0.23935246566622856</v>
      </c>
      <c r="P1612">
        <v>1.3258839850935835E-2</v>
      </c>
      <c r="Q1612">
        <v>1.604251089322912E-3</v>
      </c>
      <c r="R1612">
        <v>3.5963301721573882E-3</v>
      </c>
      <c r="S1612">
        <v>0.37669118872492119</v>
      </c>
      <c r="T1612">
        <v>0.39556910000880041</v>
      </c>
      <c r="U1612">
        <v>0</v>
      </c>
      <c r="V1612">
        <v>0.19988300996430475</v>
      </c>
      <c r="W1612">
        <v>0.21758967500262108</v>
      </c>
      <c r="X1612">
        <v>5.2829550951713836E-2</v>
      </c>
      <c r="Y1612">
        <v>9.7880251986897787E-3</v>
      </c>
    </row>
    <row r="1613" spans="1:25" x14ac:dyDescent="0.25">
      <c r="A1613" s="1083"/>
      <c r="B1613" s="1455">
        <v>1363</v>
      </c>
      <c r="C1613" s="1087">
        <v>1.0368389827683415</v>
      </c>
      <c r="D1613" s="1087">
        <v>1.0404938656364779</v>
      </c>
      <c r="E1613" s="1087">
        <v>1.0047094464599653</v>
      </c>
      <c r="F1613" s="1087">
        <v>1.0096154094630385</v>
      </c>
      <c r="G1613" s="1087">
        <v>0.97761648707327387</v>
      </c>
      <c r="H1613" s="1087">
        <v>0.99828216551046167</v>
      </c>
      <c r="I1613" s="1087">
        <v>1.004938785927471</v>
      </c>
      <c r="K1613">
        <v>1.7880776089429193</v>
      </c>
      <c r="L1613">
        <v>0</v>
      </c>
      <c r="M1613">
        <v>3.3921019650771942E-3</v>
      </c>
      <c r="N1613">
        <v>0.32674295332924991</v>
      </c>
      <c r="O1613">
        <v>0.23153055333769346</v>
      </c>
      <c r="P1613">
        <v>1.2968227611228929E-2</v>
      </c>
      <c r="Q1613">
        <v>1.5109266118933406E-3</v>
      </c>
      <c r="R1613">
        <v>3.386225940065189E-3</v>
      </c>
      <c r="S1613">
        <v>0.34589102685179757</v>
      </c>
      <c r="T1613">
        <v>0.4065946494902713</v>
      </c>
      <c r="U1613">
        <v>0</v>
      </c>
      <c r="V1613">
        <v>0.19463096014492132</v>
      </c>
      <c r="W1613">
        <v>0.20751738303062348</v>
      </c>
      <c r="X1613">
        <v>5.1480613820474849E-2</v>
      </c>
      <c r="Y1613">
        <v>9.2161907397763053E-3</v>
      </c>
    </row>
    <row r="1614" spans="1:25" x14ac:dyDescent="0.25">
      <c r="A1614" s="1083"/>
      <c r="B1614" s="1455">
        <v>1364</v>
      </c>
      <c r="C1614" s="1087">
        <v>0.97341506713718429</v>
      </c>
      <c r="D1614" s="1087">
        <v>1.0298846152512957</v>
      </c>
      <c r="E1614" s="1087">
        <v>1.0395762019463921</v>
      </c>
      <c r="F1614" s="1087">
        <v>1.0057165600703701</v>
      </c>
      <c r="G1614" s="1087">
        <v>0.99853351534072221</v>
      </c>
      <c r="H1614" s="1087">
        <v>0.98731961370409815</v>
      </c>
      <c r="I1614" s="1087">
        <v>0.99363595544968175</v>
      </c>
      <c r="K1614">
        <v>1.8750768226857129</v>
      </c>
      <c r="L1614">
        <v>0</v>
      </c>
      <c r="M1614">
        <v>3.347890047124442E-3</v>
      </c>
      <c r="N1614">
        <v>0.35862241531916167</v>
      </c>
      <c r="O1614">
        <v>0.2403297048216454</v>
      </c>
      <c r="P1614">
        <v>1.3652320269244492E-2</v>
      </c>
      <c r="Q1614">
        <v>1.6764463333141188E-3</v>
      </c>
      <c r="R1614">
        <v>3.342039489973421E-3</v>
      </c>
      <c r="S1614">
        <v>0.36490021366368258</v>
      </c>
      <c r="T1614">
        <v>0.40524025943199848</v>
      </c>
      <c r="U1614">
        <v>0</v>
      </c>
      <c r="V1614">
        <v>0.20184433338521762</v>
      </c>
      <c r="W1614">
        <v>0.2229358284769748</v>
      </c>
      <c r="X1614">
        <v>5.6785221752939902E-2</v>
      </c>
      <c r="Y1614">
        <v>9.0959297886858692E-3</v>
      </c>
    </row>
    <row r="1615" spans="1:25" x14ac:dyDescent="0.25">
      <c r="A1615" s="1083"/>
      <c r="B1615" s="1455">
        <v>1365</v>
      </c>
      <c r="C1615" s="1087">
        <v>1.0044125772216372</v>
      </c>
      <c r="D1615" s="1087">
        <v>0.97478126550447719</v>
      </c>
      <c r="E1615" s="1087">
        <v>0.96266602684192137</v>
      </c>
      <c r="F1615" s="1087">
        <v>0.96521958558719734</v>
      </c>
      <c r="G1615" s="1087">
        <v>1.0104986733927779</v>
      </c>
      <c r="H1615" s="1087">
        <v>0.99531790989905966</v>
      </c>
      <c r="I1615" s="1087">
        <v>0.97731268545599881</v>
      </c>
      <c r="K1615">
        <v>1.8063688956681541</v>
      </c>
      <c r="L1615">
        <v>0</v>
      </c>
      <c r="M1615">
        <v>3.9423068331493408E-3</v>
      </c>
      <c r="N1615">
        <v>0.33396793659937596</v>
      </c>
      <c r="O1615">
        <v>0.23598207149165476</v>
      </c>
      <c r="P1615">
        <v>1.2533270575647905E-2</v>
      </c>
      <c r="Q1615">
        <v>1.5302175596859998E-3</v>
      </c>
      <c r="R1615">
        <v>3.9355231009642081E-3</v>
      </c>
      <c r="S1615">
        <v>0.35908667492741364</v>
      </c>
      <c r="T1615">
        <v>0.38847246808596242</v>
      </c>
      <c r="U1615">
        <v>0</v>
      </c>
      <c r="V1615">
        <v>0.19737172523082733</v>
      </c>
      <c r="W1615">
        <v>0.21782291090767797</v>
      </c>
      <c r="X1615">
        <v>4.8897207486110365E-2</v>
      </c>
      <c r="Y1615">
        <v>1.0711196535983014E-2</v>
      </c>
    </row>
    <row r="1616" spans="1:25" x14ac:dyDescent="0.25">
      <c r="A1616" s="1083"/>
      <c r="B1616" s="1455">
        <v>1366</v>
      </c>
      <c r="C1616" s="1087">
        <v>0.99790913155402483</v>
      </c>
      <c r="D1616" s="1087">
        <v>1.0243393042104836</v>
      </c>
      <c r="E1616" s="1087">
        <v>1.0275418798710845</v>
      </c>
      <c r="F1616" s="1087">
        <v>1.028364940184644</v>
      </c>
      <c r="G1616" s="1087">
        <v>1.0031224325053227</v>
      </c>
      <c r="H1616" s="1087">
        <v>1.02317096717644</v>
      </c>
      <c r="I1616" s="1087">
        <v>0.98969336618998649</v>
      </c>
      <c r="K1616">
        <v>1.882154123527999</v>
      </c>
      <c r="L1616">
        <v>0</v>
      </c>
      <c r="M1616">
        <v>3.4782266913072845E-3</v>
      </c>
      <c r="N1616">
        <v>0.35920352108739256</v>
      </c>
      <c r="O1616">
        <v>0.24024178073304542</v>
      </c>
      <c r="P1616">
        <v>1.3608410449110911E-2</v>
      </c>
      <c r="Q1616">
        <v>1.6183065196453208E-3</v>
      </c>
      <c r="R1616">
        <v>3.4723641209153766E-3</v>
      </c>
      <c r="S1616">
        <v>0.36177518693269373</v>
      </c>
      <c r="T1616">
        <v>0.41428938667518217</v>
      </c>
      <c r="U1616">
        <v>0</v>
      </c>
      <c r="V1616">
        <v>0.20126952896047576</v>
      </c>
      <c r="W1616">
        <v>0.22494044773329588</v>
      </c>
      <c r="X1616">
        <v>5.5762786534939948E-2</v>
      </c>
      <c r="Y1616">
        <v>9.4506304726068302E-3</v>
      </c>
    </row>
    <row r="1617" spans="1:25" x14ac:dyDescent="0.25">
      <c r="A1617" s="1083"/>
      <c r="B1617" s="1455">
        <v>1367</v>
      </c>
      <c r="C1617" s="1087">
        <v>0.98308804875591405</v>
      </c>
      <c r="D1617" s="1087">
        <v>1.023254780244278</v>
      </c>
      <c r="E1617" s="1087">
        <v>1.0367517244368336</v>
      </c>
      <c r="F1617" s="1087">
        <v>0.97196228803529672</v>
      </c>
      <c r="G1617" s="1087">
        <v>1.0279133766925628</v>
      </c>
      <c r="H1617" s="1087">
        <v>1.0214441338704376</v>
      </c>
      <c r="I1617" s="1087">
        <v>1.0117978484100543</v>
      </c>
      <c r="K1617">
        <v>1.8780434138025723</v>
      </c>
      <c r="L1617">
        <v>0</v>
      </c>
      <c r="M1617">
        <v>3.4612806142257642E-3</v>
      </c>
      <c r="N1617">
        <v>0.36761741684426152</v>
      </c>
      <c r="O1617">
        <v>0.23572198887329635</v>
      </c>
      <c r="P1617">
        <v>1.3530621090729028E-2</v>
      </c>
      <c r="Q1617">
        <v>1.6593405544616969E-3</v>
      </c>
      <c r="R1617">
        <v>3.4554387884535779E-3</v>
      </c>
      <c r="S1617">
        <v>0.3754790129181742</v>
      </c>
      <c r="T1617">
        <v>0.39162234418084951</v>
      </c>
      <c r="U1617">
        <v>0</v>
      </c>
      <c r="V1617">
        <v>0.19817950997334163</v>
      </c>
      <c r="W1617">
        <v>0.22891980545109672</v>
      </c>
      <c r="X1617">
        <v>5.5914650445052075E-2</v>
      </c>
      <c r="Y1617">
        <v>9.404565297080161E-3</v>
      </c>
    </row>
    <row r="1618" spans="1:25" x14ac:dyDescent="0.25">
      <c r="A1618" s="1083"/>
      <c r="B1618" s="1455">
        <v>1368</v>
      </c>
      <c r="C1618" s="1087">
        <v>1.0276195003806377</v>
      </c>
      <c r="D1618" s="1087">
        <v>0.99919035162293279</v>
      </c>
      <c r="E1618" s="1087">
        <v>0.99744331330157732</v>
      </c>
      <c r="F1618" s="1087">
        <v>0.98958394239787995</v>
      </c>
      <c r="G1618" s="1087">
        <v>1.0001068102567252</v>
      </c>
      <c r="H1618" s="1087">
        <v>1.0410335754385032</v>
      </c>
      <c r="I1618" s="1087">
        <v>0.97407127213197053</v>
      </c>
      <c r="K1618">
        <v>1.8302165410055315</v>
      </c>
      <c r="L1618">
        <v>0</v>
      </c>
      <c r="M1618">
        <v>3.705150233059101E-3</v>
      </c>
      <c r="N1618">
        <v>0.34909962045451159</v>
      </c>
      <c r="O1618">
        <v>0.23429546551035288</v>
      </c>
      <c r="P1618">
        <v>1.2907678209542018E-2</v>
      </c>
      <c r="Q1618">
        <v>1.53743994044393E-3</v>
      </c>
      <c r="R1618">
        <v>3.6990344060373317E-3</v>
      </c>
      <c r="S1618">
        <v>0.3533145422672257</v>
      </c>
      <c r="T1618">
        <v>0.398483929397492</v>
      </c>
      <c r="U1618">
        <v>0</v>
      </c>
      <c r="V1618">
        <v>0.19600908486657978</v>
      </c>
      <c r="W1618">
        <v>0.22272437656236599</v>
      </c>
      <c r="X1618">
        <v>5.1782967357166483E-2</v>
      </c>
      <c r="Y1618">
        <v>1.0067552266869383E-2</v>
      </c>
    </row>
    <row r="1619" spans="1:25" x14ac:dyDescent="0.25">
      <c r="A1619" s="1083"/>
      <c r="B1619" s="1455">
        <v>1369</v>
      </c>
      <c r="C1619" s="1087">
        <v>1.0295856712981395</v>
      </c>
      <c r="D1619" s="1087">
        <v>1.0333370931385013</v>
      </c>
      <c r="E1619" s="1087">
        <v>0.98004727282667703</v>
      </c>
      <c r="F1619" s="1087">
        <v>0.96986652075750746</v>
      </c>
      <c r="G1619" s="1087">
        <v>1.0415025993010523</v>
      </c>
      <c r="H1619" s="1087">
        <v>0.97523640362740516</v>
      </c>
      <c r="I1619" s="1087">
        <v>1.0321693433789574</v>
      </c>
      <c r="K1619">
        <v>1.7562112237807224</v>
      </c>
      <c r="L1619">
        <v>0</v>
      </c>
      <c r="M1619">
        <v>3.5248214855641115E-3</v>
      </c>
      <c r="N1619">
        <v>0.31488651504180992</v>
      </c>
      <c r="O1619">
        <v>0.22827717857792401</v>
      </c>
      <c r="P1619">
        <v>1.2602215368482751E-2</v>
      </c>
      <c r="Q1619">
        <v>1.486048461393374E-3</v>
      </c>
      <c r="R1619">
        <v>3.5185810618350542E-3</v>
      </c>
      <c r="S1619">
        <v>0.35484507994833442</v>
      </c>
      <c r="T1619">
        <v>0.39044274794502948</v>
      </c>
      <c r="U1619">
        <v>0</v>
      </c>
      <c r="V1619">
        <v>0.19229119669600486</v>
      </c>
      <c r="W1619">
        <v>0.20311088850727968</v>
      </c>
      <c r="X1619">
        <v>4.8699175907814078E-2</v>
      </c>
      <c r="Y1619">
        <v>9.5764177503797135E-3</v>
      </c>
    </row>
    <row r="1620" spans="1:25" x14ac:dyDescent="0.25">
      <c r="A1620" s="1083"/>
      <c r="B1620" s="1455">
        <v>1370</v>
      </c>
      <c r="C1620" s="1087">
        <v>0.98501641970278053</v>
      </c>
      <c r="D1620" s="1087">
        <v>1.025745947020932</v>
      </c>
      <c r="E1620" s="1087">
        <v>1.0065088115756091</v>
      </c>
      <c r="F1620" s="1087">
        <v>0.97667037161376269</v>
      </c>
      <c r="G1620" s="1087">
        <v>1.0027770576203008</v>
      </c>
      <c r="H1620" s="1087">
        <v>1.0204806796247823</v>
      </c>
      <c r="I1620" s="1087">
        <v>0.95963916015653949</v>
      </c>
      <c r="K1620">
        <v>1.8392400525802748</v>
      </c>
      <c r="L1620">
        <v>0</v>
      </c>
      <c r="M1620">
        <v>3.6675322574023432E-3</v>
      </c>
      <c r="N1620">
        <v>0.35523315569594005</v>
      </c>
      <c r="O1620">
        <v>0.23538656631739238</v>
      </c>
      <c r="P1620">
        <v>1.2968348604146246E-2</v>
      </c>
      <c r="Q1620">
        <v>1.6025861803879776E-3</v>
      </c>
      <c r="R1620">
        <v>3.661334544177637E-3</v>
      </c>
      <c r="S1620">
        <v>0.35444870375767429</v>
      </c>
      <c r="T1620">
        <v>0.39333763839433811</v>
      </c>
      <c r="U1620">
        <v>0</v>
      </c>
      <c r="V1620">
        <v>0.1980728744587695</v>
      </c>
      <c r="W1620">
        <v>0.22535932322671626</v>
      </c>
      <c r="X1620">
        <v>5.2872107987490917E-2</v>
      </c>
      <c r="Y1620">
        <v>9.9649456706434186E-3</v>
      </c>
    </row>
    <row r="1621" spans="1:25" x14ac:dyDescent="0.25">
      <c r="A1621" s="1083"/>
      <c r="B1621" s="1455">
        <v>1371</v>
      </c>
      <c r="C1621" s="1087">
        <v>1.0293262645198937</v>
      </c>
      <c r="D1621" s="1087">
        <v>1.0024452141170297</v>
      </c>
      <c r="E1621" s="1087">
        <v>1.0321222735929982</v>
      </c>
      <c r="F1621" s="1087">
        <v>1.0109116108555327</v>
      </c>
      <c r="G1621" s="1087">
        <v>1.0264104846561679</v>
      </c>
      <c r="H1621" s="1087">
        <v>0.97121199805683911</v>
      </c>
      <c r="I1621" s="1087">
        <v>0.96648287263340105</v>
      </c>
      <c r="K1621">
        <v>1.8034537630539302</v>
      </c>
      <c r="L1621">
        <v>0</v>
      </c>
      <c r="M1621">
        <v>3.2079814284098895E-3</v>
      </c>
      <c r="N1621">
        <v>0.3359193318775831</v>
      </c>
      <c r="O1621">
        <v>0.23671329779313977</v>
      </c>
      <c r="P1621">
        <v>1.3170931059336791E-2</v>
      </c>
      <c r="Q1621">
        <v>1.5901547134693863E-3</v>
      </c>
      <c r="R1621">
        <v>3.2023021708183245E-3</v>
      </c>
      <c r="S1621">
        <v>0.33782168748799474</v>
      </c>
      <c r="T1621">
        <v>0.40728674039915147</v>
      </c>
      <c r="U1621">
        <v>0</v>
      </c>
      <c r="V1621">
        <v>0.19766813518535917</v>
      </c>
      <c r="W1621">
        <v>0.20977152172697205</v>
      </c>
      <c r="X1621">
        <v>5.4802031198171848E-2</v>
      </c>
      <c r="Y1621">
        <v>8.7156108703405778E-3</v>
      </c>
    </row>
    <row r="1622" spans="1:25" x14ac:dyDescent="0.25">
      <c r="A1622" s="1083"/>
      <c r="B1622" s="1455">
        <v>1372</v>
      </c>
      <c r="C1622" s="1087">
        <v>0.98530399578962846</v>
      </c>
      <c r="D1622" s="1087">
        <v>0.98347854641271049</v>
      </c>
      <c r="E1622" s="1087">
        <v>0.99930266355702224</v>
      </c>
      <c r="F1622" s="1087">
        <v>1.0076768296195904</v>
      </c>
      <c r="G1622" s="1087">
        <v>0.98428052233839514</v>
      </c>
      <c r="H1622" s="1087">
        <v>1.0303481946333535</v>
      </c>
      <c r="I1622" s="1087">
        <v>0.98192401264866236</v>
      </c>
      <c r="K1622">
        <v>1.9002225429201396</v>
      </c>
      <c r="L1622">
        <v>0</v>
      </c>
      <c r="M1622">
        <v>3.8432415518711818E-3</v>
      </c>
      <c r="N1622">
        <v>0.36416652613156897</v>
      </c>
      <c r="O1622">
        <v>0.24310521208370775</v>
      </c>
      <c r="P1622">
        <v>1.3385356110613568E-2</v>
      </c>
      <c r="Q1622">
        <v>1.616868765064017E-3</v>
      </c>
      <c r="R1622">
        <v>3.8368468652938614E-3</v>
      </c>
      <c r="S1622">
        <v>0.37282647685030607</v>
      </c>
      <c r="T1622">
        <v>0.4057808810109802</v>
      </c>
      <c r="U1622">
        <v>0</v>
      </c>
      <c r="V1622">
        <v>0.20291092619961482</v>
      </c>
      <c r="W1622">
        <v>0.2320669171253156</v>
      </c>
      <c r="X1622">
        <v>5.3927140978444504E-2</v>
      </c>
      <c r="Y1622">
        <v>1.0442632351100671E-2</v>
      </c>
    </row>
    <row r="1623" spans="1:25" x14ac:dyDescent="0.25">
      <c r="A1623" s="1083"/>
      <c r="B1623" s="1455">
        <v>1373</v>
      </c>
      <c r="C1623" s="1087">
        <v>0.99546579925037348</v>
      </c>
      <c r="D1623" s="1087">
        <v>1.0119580766339644</v>
      </c>
      <c r="E1623" s="1087">
        <v>1.0052060930162998</v>
      </c>
      <c r="F1623" s="1087">
        <v>1.0066018340880227</v>
      </c>
      <c r="G1623" s="1087">
        <v>0.99673130180697633</v>
      </c>
      <c r="H1623" s="1087">
        <v>0.98456503351438374</v>
      </c>
      <c r="I1623" s="1087">
        <v>1.0107263390575414</v>
      </c>
      <c r="K1623">
        <v>1.8456071103194507</v>
      </c>
      <c r="L1623">
        <v>0</v>
      </c>
      <c r="M1623">
        <v>3.5363310234743251E-3</v>
      </c>
      <c r="N1623">
        <v>0.34114677559625639</v>
      </c>
      <c r="O1623">
        <v>0.23895766542498659</v>
      </c>
      <c r="P1623">
        <v>1.3302628348489453E-2</v>
      </c>
      <c r="Q1623">
        <v>1.592166171827718E-3</v>
      </c>
      <c r="R1623">
        <v>3.5301486125788647E-3</v>
      </c>
      <c r="S1623">
        <v>0.36557656939018407</v>
      </c>
      <c r="T1623">
        <v>0.40538405523609455</v>
      </c>
      <c r="U1623">
        <v>0</v>
      </c>
      <c r="V1623">
        <v>0.20021771446973702</v>
      </c>
      <c r="W1623">
        <v>0.21659840561615459</v>
      </c>
      <c r="X1623">
        <v>5.3229411666352679E-2</v>
      </c>
      <c r="Y1623">
        <v>9.6079008102622869E-3</v>
      </c>
    </row>
    <row r="1624" spans="1:25" x14ac:dyDescent="0.25">
      <c r="A1624" s="1083"/>
      <c r="B1624" s="1455">
        <v>1374</v>
      </c>
      <c r="C1624" s="1087">
        <v>1.0012616782855392</v>
      </c>
      <c r="D1624" s="1087">
        <v>0.97113914014015079</v>
      </c>
      <c r="E1624" s="1087">
        <v>0.99376531617500952</v>
      </c>
      <c r="F1624" s="1087">
        <v>1.0102815174005888</v>
      </c>
      <c r="G1624" s="1087">
        <v>1.0012758706001295</v>
      </c>
      <c r="H1624" s="1087">
        <v>0.99902747192549179</v>
      </c>
      <c r="I1624" s="1087">
        <v>0.98402336453407191</v>
      </c>
      <c r="K1624">
        <v>1.86432141174692</v>
      </c>
      <c r="L1624">
        <v>0</v>
      </c>
      <c r="M1624">
        <v>3.7341904680268318E-3</v>
      </c>
      <c r="N1624">
        <v>0.34788584229851016</v>
      </c>
      <c r="O1624">
        <v>0.24263643271214236</v>
      </c>
      <c r="P1624">
        <v>1.3219203367712503E-2</v>
      </c>
      <c r="Q1624">
        <v>1.5897310461110365E-3</v>
      </c>
      <c r="R1624">
        <v>3.7277938297616137E-3</v>
      </c>
      <c r="S1624">
        <v>0.36452029638256822</v>
      </c>
      <c r="T1624">
        <v>0.40679594848405881</v>
      </c>
      <c r="U1624">
        <v>0</v>
      </c>
      <c r="V1624">
        <v>0.20204153585233373</v>
      </c>
      <c r="W1624">
        <v>0.22246233328066564</v>
      </c>
      <c r="X1624">
        <v>5.3030659023377662E-2</v>
      </c>
      <c r="Y1624">
        <v>1.0145825937705397E-2</v>
      </c>
    </row>
    <row r="1625" spans="1:25" x14ac:dyDescent="0.25">
      <c r="A1625" s="1083"/>
      <c r="B1625" s="1455">
        <v>1375</v>
      </c>
      <c r="C1625" s="1087">
        <v>0.98473097496243356</v>
      </c>
      <c r="D1625" s="1087">
        <v>1.0030760326590094</v>
      </c>
      <c r="E1625" s="1087">
        <v>0.98171412810671399</v>
      </c>
      <c r="F1625" s="1087">
        <v>0.97736353080542504</v>
      </c>
      <c r="G1625" s="1087">
        <v>1.0024273776648749</v>
      </c>
      <c r="H1625" s="1087">
        <v>1.0093655597398645</v>
      </c>
      <c r="I1625" s="1087">
        <v>1.003294699467802</v>
      </c>
      <c r="K1625">
        <v>1.8494039063947876</v>
      </c>
      <c r="L1625">
        <v>0</v>
      </c>
      <c r="M1625">
        <v>3.8632253915844941E-3</v>
      </c>
      <c r="N1625">
        <v>0.3469032758140313</v>
      </c>
      <c r="O1625">
        <v>0.23731844943897237</v>
      </c>
      <c r="P1625">
        <v>1.2994917368083113E-2</v>
      </c>
      <c r="Q1625">
        <v>1.5751437275210473E-3</v>
      </c>
      <c r="R1625">
        <v>3.8566450877179736E-3</v>
      </c>
      <c r="S1625">
        <v>0.37292626775819654</v>
      </c>
      <c r="T1625">
        <v>0.39347058237710408</v>
      </c>
      <c r="U1625">
        <v>0</v>
      </c>
      <c r="V1625">
        <v>0.19917479051707562</v>
      </c>
      <c r="W1625">
        <v>0.22352631820277588</v>
      </c>
      <c r="X1625">
        <v>5.1024224908835063E-2</v>
      </c>
      <c r="Y1625">
        <v>1.0496516586056841E-2</v>
      </c>
    </row>
    <row r="1626" spans="1:25" x14ac:dyDescent="0.25">
      <c r="A1626" s="1083"/>
      <c r="B1626" s="1455">
        <v>1376</v>
      </c>
      <c r="C1626" s="1087">
        <v>0.96254232903428916</v>
      </c>
      <c r="D1626" s="1087">
        <v>1.0062422816129553</v>
      </c>
      <c r="E1626" s="1087">
        <v>0.98369770835398174</v>
      </c>
      <c r="F1626" s="1087">
        <v>0.99482310272554308</v>
      </c>
      <c r="G1626" s="1087">
        <v>0.98381124862756164</v>
      </c>
      <c r="H1626" s="1087">
        <v>1.0064341102869112</v>
      </c>
      <c r="I1626" s="1087">
        <v>0.96286668956680455</v>
      </c>
      <c r="K1626">
        <v>1.8696709817006301</v>
      </c>
      <c r="L1626">
        <v>0</v>
      </c>
      <c r="M1626">
        <v>3.9184033317955285E-3</v>
      </c>
      <c r="N1626">
        <v>0.35399511350779156</v>
      </c>
      <c r="O1626">
        <v>0.24189762699294828</v>
      </c>
      <c r="P1626">
        <v>1.3054496200844451E-2</v>
      </c>
      <c r="Q1626">
        <v>1.6128600249674047E-3</v>
      </c>
      <c r="R1626">
        <v>3.9117069700035922E-3</v>
      </c>
      <c r="S1626">
        <v>0.36501331398680004</v>
      </c>
      <c r="T1626">
        <v>0.4005113287287333</v>
      </c>
      <c r="U1626">
        <v>0</v>
      </c>
      <c r="V1626">
        <v>0.20301961580502176</v>
      </c>
      <c r="W1626">
        <v>0.22780969903685547</v>
      </c>
      <c r="X1626">
        <v>5.2117246899964706E-2</v>
      </c>
      <c r="Y1626">
        <v>1.0646376878493674E-2</v>
      </c>
    </row>
    <row r="1627" spans="1:25" x14ac:dyDescent="0.25">
      <c r="A1627" s="1083"/>
      <c r="B1627" s="1455">
        <v>1377</v>
      </c>
      <c r="C1627" s="1087">
        <v>0.99468541373740105</v>
      </c>
      <c r="D1627" s="1087">
        <v>1.0123879131248212</v>
      </c>
      <c r="E1627" s="1087">
        <v>1.0109595118904162</v>
      </c>
      <c r="F1627" s="1087">
        <v>0.98426868774929888</v>
      </c>
      <c r="G1627" s="1087">
        <v>0.99167439275521785</v>
      </c>
      <c r="H1627" s="1087">
        <v>1.0206360366441913</v>
      </c>
      <c r="I1627" s="1087">
        <v>0.96793802913810933</v>
      </c>
      <c r="K1627">
        <v>1.8470679998088249</v>
      </c>
      <c r="L1627">
        <v>0</v>
      </c>
      <c r="M1627">
        <v>3.6249726009630764E-3</v>
      </c>
      <c r="N1627">
        <v>0.35591036055945263</v>
      </c>
      <c r="O1627">
        <v>0.23646893290455179</v>
      </c>
      <c r="P1627">
        <v>1.3088782362051007E-2</v>
      </c>
      <c r="Q1627">
        <v>1.6029008434807672E-3</v>
      </c>
      <c r="R1627">
        <v>3.6188588588283543E-3</v>
      </c>
      <c r="S1627">
        <v>0.35668382709846963</v>
      </c>
      <c r="T1627">
        <v>0.39642444028820134</v>
      </c>
      <c r="U1627">
        <v>0</v>
      </c>
      <c r="V1627">
        <v>0.19839758529964238</v>
      </c>
      <c r="W1627">
        <v>0.22516601283963536</v>
      </c>
      <c r="X1627">
        <v>5.3481930498243548E-2</v>
      </c>
      <c r="Y1627">
        <v>9.8493408572285779E-3</v>
      </c>
    </row>
    <row r="1628" spans="1:25" x14ac:dyDescent="0.25">
      <c r="A1628" s="1083"/>
      <c r="B1628" s="1455">
        <v>1378</v>
      </c>
      <c r="C1628" s="1087">
        <v>0.99272422845405983</v>
      </c>
      <c r="D1628" s="1087">
        <v>0.9760364298539479</v>
      </c>
      <c r="E1628" s="1087">
        <v>1.0098748133904163</v>
      </c>
      <c r="F1628" s="1087">
        <v>1.0005646343862959</v>
      </c>
      <c r="G1628" s="1087">
        <v>0.96443682665561559</v>
      </c>
      <c r="H1628" s="1087">
        <v>0.95855154219120653</v>
      </c>
      <c r="I1628" s="1087">
        <v>0.96457536389253218</v>
      </c>
      <c r="K1628">
        <v>1.8350798133006727</v>
      </c>
      <c r="L1628">
        <v>0</v>
      </c>
      <c r="M1628">
        <v>3.4868767515372884E-3</v>
      </c>
      <c r="N1628">
        <v>0.34118698065293612</v>
      </c>
      <c r="O1628">
        <v>0.24224810892675563</v>
      </c>
      <c r="P1628">
        <v>1.3157332908204573E-2</v>
      </c>
      <c r="Q1628">
        <v>1.6278593452726446E-3</v>
      </c>
      <c r="R1628">
        <v>3.4806468413677905E-3</v>
      </c>
      <c r="S1628">
        <v>0.3523259977854919</v>
      </c>
      <c r="T1628">
        <v>0.40298117761190433</v>
      </c>
      <c r="U1628">
        <v>0</v>
      </c>
      <c r="V1628">
        <v>0.20194958375977362</v>
      </c>
      <c r="W1628">
        <v>0.21599649485287895</v>
      </c>
      <c r="X1628">
        <v>5.4139334060341347E-2</v>
      </c>
      <c r="Y1628">
        <v>9.4731733072802356E-3</v>
      </c>
    </row>
    <row r="1629" spans="1:25" x14ac:dyDescent="0.25">
      <c r="A1629" s="1083"/>
      <c r="B1629" s="1455">
        <v>1379</v>
      </c>
      <c r="C1629" s="1087">
        <v>1.0057610916338573</v>
      </c>
      <c r="D1629" s="1087">
        <v>1.0238470282364813</v>
      </c>
      <c r="E1629" s="1087">
        <v>0.96630757367081432</v>
      </c>
      <c r="F1629" s="1087">
        <v>1.0044433052102255</v>
      </c>
      <c r="G1629" s="1087">
        <v>1.0229970022190873</v>
      </c>
      <c r="H1629" s="1087">
        <v>0.99328673547587587</v>
      </c>
      <c r="I1629" s="1087">
        <v>0.99103165271147875</v>
      </c>
      <c r="K1629">
        <v>1.8024171526948709</v>
      </c>
      <c r="L1629">
        <v>0</v>
      </c>
      <c r="M1629">
        <v>3.7984506151415871E-3</v>
      </c>
      <c r="N1629">
        <v>0.325381633316907</v>
      </c>
      <c r="O1629">
        <v>0.2357317989169597</v>
      </c>
      <c r="P1629">
        <v>1.2714926686837085E-2</v>
      </c>
      <c r="Q1629">
        <v>1.5043743432937606E-3</v>
      </c>
      <c r="R1629">
        <v>3.7918567779508068E-3</v>
      </c>
      <c r="S1629">
        <v>0.35359181217900881</v>
      </c>
      <c r="T1629">
        <v>0.40428045174276678</v>
      </c>
      <c r="U1629">
        <v>0</v>
      </c>
      <c r="V1629">
        <v>0.1980733652689364</v>
      </c>
      <c r="W1629">
        <v>0.21172726808964629</v>
      </c>
      <c r="X1629">
        <v>4.9097931823373332E-2</v>
      </c>
      <c r="Y1629">
        <v>1.0320184164331184E-2</v>
      </c>
    </row>
    <row r="1630" spans="1:25" x14ac:dyDescent="0.25">
      <c r="A1630" s="1083"/>
      <c r="B1630" s="1455">
        <v>1380</v>
      </c>
      <c r="C1630" s="1087">
        <v>1.0149784189375439</v>
      </c>
      <c r="D1630" s="1087">
        <v>0.99469666143650226</v>
      </c>
      <c r="E1630" s="1087">
        <v>0.99597913451563991</v>
      </c>
      <c r="F1630" s="1087">
        <v>1.0006388780564612</v>
      </c>
      <c r="G1630" s="1087">
        <v>1.0057567452176261</v>
      </c>
      <c r="H1630" s="1087">
        <v>0.97454310244151765</v>
      </c>
      <c r="I1630" s="1087">
        <v>1.0072482354630217</v>
      </c>
      <c r="K1630">
        <v>1.8165412685314333</v>
      </c>
      <c r="L1630">
        <v>0</v>
      </c>
      <c r="M1630">
        <v>3.5309978257544762E-3</v>
      </c>
      <c r="N1630">
        <v>0.33117042466470498</v>
      </c>
      <c r="O1630">
        <v>0.23749100231692297</v>
      </c>
      <c r="P1630">
        <v>1.3062540101861295E-2</v>
      </c>
      <c r="Q1630">
        <v>1.5569618799354018E-3</v>
      </c>
      <c r="R1630">
        <v>3.5247760578812314E-3</v>
      </c>
      <c r="S1630">
        <v>0.35881373629199037</v>
      </c>
      <c r="T1630">
        <v>0.4029266549562715</v>
      </c>
      <c r="U1630">
        <v>0</v>
      </c>
      <c r="V1630">
        <v>0.1984890372132922</v>
      </c>
      <c r="W1630">
        <v>0.21147947321022514</v>
      </c>
      <c r="X1630">
        <v>5.1964381176666227E-2</v>
      </c>
      <c r="Y1630">
        <v>9.593278487437509E-3</v>
      </c>
    </row>
    <row r="1631" spans="1:25" x14ac:dyDescent="0.25">
      <c r="A1631" s="1083"/>
      <c r="B1631" s="1455">
        <v>1381</v>
      </c>
      <c r="C1631" s="1087">
        <v>0.99295351155454314</v>
      </c>
      <c r="D1631" s="1087">
        <v>1.0186391763094425</v>
      </c>
      <c r="E1631" s="1087">
        <v>1.001580434245483</v>
      </c>
      <c r="F1631" s="1087">
        <v>1.0146770207925979</v>
      </c>
      <c r="G1631" s="1087">
        <v>1.0227760103045376</v>
      </c>
      <c r="H1631" s="1087">
        <v>0.99957564649452257</v>
      </c>
      <c r="I1631" s="1087">
        <v>0.99194852696982283</v>
      </c>
      <c r="K1631">
        <v>1.8517755571179515</v>
      </c>
      <c r="L1631">
        <v>0</v>
      </c>
      <c r="M1631">
        <v>3.6131555987851754E-3</v>
      </c>
      <c r="N1631">
        <v>0.34473209131714505</v>
      </c>
      <c r="O1631">
        <v>0.23948950335674843</v>
      </c>
      <c r="P1631">
        <v>1.3256894398341828E-2</v>
      </c>
      <c r="Q1631">
        <v>1.5858706357459766E-3</v>
      </c>
      <c r="R1631">
        <v>3.606927797211913E-3</v>
      </c>
      <c r="S1631">
        <v>0.36103354187233055</v>
      </c>
      <c r="T1631">
        <v>0.40861379287243876</v>
      </c>
      <c r="U1631">
        <v>0</v>
      </c>
      <c r="V1631">
        <v>0.20080438886587723</v>
      </c>
      <c r="W1631">
        <v>0.2193699012916959</v>
      </c>
      <c r="X1631">
        <v>5.3078931868616806E-2</v>
      </c>
      <c r="Y1631">
        <v>9.8168684405820338E-3</v>
      </c>
    </row>
    <row r="1632" spans="1:25" x14ac:dyDescent="0.25">
      <c r="A1632" s="1083"/>
      <c r="B1632" s="1455">
        <v>1382</v>
      </c>
      <c r="C1632" s="1087">
        <v>0.99872485277061429</v>
      </c>
      <c r="D1632" s="1087">
        <v>0.99200678187985369</v>
      </c>
      <c r="E1632" s="1087">
        <v>0.99046895345041863</v>
      </c>
      <c r="F1632" s="1087">
        <v>1.0043635776220552</v>
      </c>
      <c r="G1632" s="1087">
        <v>1.0139390914021431</v>
      </c>
      <c r="H1632" s="1087">
        <v>0.99423384394329339</v>
      </c>
      <c r="I1632" s="1087">
        <v>1.0195169501747288</v>
      </c>
      <c r="K1632">
        <v>1.8566210287276004</v>
      </c>
      <c r="L1632">
        <v>0</v>
      </c>
      <c r="M1632">
        <v>3.7080284707959729E-3</v>
      </c>
      <c r="N1632">
        <v>0.34198434147497847</v>
      </c>
      <c r="O1632">
        <v>0.24007492173672015</v>
      </c>
      <c r="P1632">
        <v>1.3253455679721275E-2</v>
      </c>
      <c r="Q1632">
        <v>1.5747093769437818E-3</v>
      </c>
      <c r="R1632">
        <v>3.7016269229762635E-3</v>
      </c>
      <c r="S1632">
        <v>0.37325555668732618</v>
      </c>
      <c r="T1632">
        <v>0.40439310692469421</v>
      </c>
      <c r="U1632">
        <v>0</v>
      </c>
      <c r="V1632">
        <v>0.20064815431256716</v>
      </c>
      <c r="W1632">
        <v>0.21914207542974062</v>
      </c>
      <c r="X1632">
        <v>5.2226500409374557E-2</v>
      </c>
      <c r="Y1632">
        <v>1.0074608243354176E-2</v>
      </c>
    </row>
    <row r="1633" spans="1:25" x14ac:dyDescent="0.25">
      <c r="A1633" s="1083"/>
      <c r="B1633" s="1455">
        <v>1383</v>
      </c>
      <c r="C1633" s="1087">
        <v>1.0160143705183091</v>
      </c>
      <c r="D1633" s="1087">
        <v>1.0278216022680726</v>
      </c>
      <c r="E1633" s="1087">
        <v>0.99063174759755868</v>
      </c>
      <c r="F1633" s="1087">
        <v>0.9979911124665154</v>
      </c>
      <c r="G1633" s="1087">
        <v>0.98145750754191918</v>
      </c>
      <c r="H1633" s="1087">
        <v>0.99701542718461644</v>
      </c>
      <c r="I1633" s="1087">
        <v>1.0261658051118601</v>
      </c>
      <c r="K1633">
        <v>1.8122598512764199</v>
      </c>
      <c r="L1633">
        <v>0</v>
      </c>
      <c r="M1633">
        <v>3.5838671898063617E-3</v>
      </c>
      <c r="N1633">
        <v>0.33069618739667517</v>
      </c>
      <c r="O1633">
        <v>0.23373064197039251</v>
      </c>
      <c r="P1633">
        <v>1.3018143712350426E-2</v>
      </c>
      <c r="Q1633">
        <v>1.5263737422909435E-3</v>
      </c>
      <c r="R1633">
        <v>3.5776652812954659E-3</v>
      </c>
      <c r="S1633">
        <v>0.36259290038644271</v>
      </c>
      <c r="T1633">
        <v>0.40182829970773815</v>
      </c>
      <c r="U1633">
        <v>0</v>
      </c>
      <c r="V1633">
        <v>0.19638973306779037</v>
      </c>
      <c r="W1633">
        <v>0.21188696786791736</v>
      </c>
      <c r="X1633">
        <v>5.0859579814688076E-2</v>
      </c>
      <c r="Y1633">
        <v>9.7372255186432416E-3</v>
      </c>
    </row>
    <row r="1634" spans="1:25" x14ac:dyDescent="0.25">
      <c r="A1634" s="1083"/>
      <c r="B1634" s="1455">
        <v>1384</v>
      </c>
      <c r="C1634" s="1087">
        <v>0.99300362332644898</v>
      </c>
      <c r="D1634" s="1087">
        <v>0.96871972793281191</v>
      </c>
      <c r="E1634" s="1087">
        <v>0.96772968847492946</v>
      </c>
      <c r="F1634" s="1087">
        <v>1.0271797220867382</v>
      </c>
      <c r="G1634" s="1087">
        <v>0.99807952577763026</v>
      </c>
      <c r="H1634" s="1087">
        <v>1.027924011988337</v>
      </c>
      <c r="I1634" s="1087">
        <v>0.97802349064722438</v>
      </c>
      <c r="K1634">
        <v>1.8922127637256667</v>
      </c>
      <c r="L1634">
        <v>0</v>
      </c>
      <c r="M1634">
        <v>4.091110328813004E-3</v>
      </c>
      <c r="N1634">
        <v>0.35200455223824073</v>
      </c>
      <c r="O1634">
        <v>0.24554195925525552</v>
      </c>
      <c r="P1634">
        <v>1.3163654493374697E-2</v>
      </c>
      <c r="Q1634">
        <v>1.560214005029481E-3</v>
      </c>
      <c r="R1634">
        <v>4.0843020035770646E-3</v>
      </c>
      <c r="S1634">
        <v>0.37077528239477814</v>
      </c>
      <c r="T1634">
        <v>0.41344031829727557</v>
      </c>
      <c r="U1634">
        <v>0</v>
      </c>
      <c r="V1634">
        <v>0.20438502848368567</v>
      </c>
      <c r="W1634">
        <v>0.22884235409825265</v>
      </c>
      <c r="X1634">
        <v>5.1390085121067068E-2</v>
      </c>
      <c r="Y1634">
        <v>1.111612366394314E-2</v>
      </c>
    </row>
    <row r="1635" spans="1:25" x14ac:dyDescent="0.25">
      <c r="A1635" s="1083"/>
      <c r="B1635" s="1455">
        <v>1385</v>
      </c>
      <c r="C1635" s="1087">
        <v>0.98736042224949006</v>
      </c>
      <c r="D1635" s="1087">
        <v>0.97466871763670648</v>
      </c>
      <c r="E1635" s="1087">
        <v>1.0099955112648094</v>
      </c>
      <c r="F1635" s="1087">
        <v>1.0156578883865439</v>
      </c>
      <c r="G1635" s="1087">
        <v>1.0128113771482485</v>
      </c>
      <c r="H1635" s="1087">
        <v>1.0210129882177565</v>
      </c>
      <c r="I1635" s="1087">
        <v>1.0147124647400698</v>
      </c>
      <c r="K1635">
        <v>1.9207453983730793</v>
      </c>
      <c r="L1635">
        <v>0</v>
      </c>
      <c r="M1635">
        <v>3.7363943102055935E-3</v>
      </c>
      <c r="N1635">
        <v>0.3657767888595973</v>
      </c>
      <c r="O1635">
        <v>0.24487174101280382</v>
      </c>
      <c r="P1635">
        <v>1.3715279434011839E-2</v>
      </c>
      <c r="Q1635">
        <v>1.6378304980381377E-3</v>
      </c>
      <c r="R1635">
        <v>3.7301285913846514E-3</v>
      </c>
      <c r="S1635">
        <v>0.3847662293854946</v>
      </c>
      <c r="T1635">
        <v>0.40906079054344724</v>
      </c>
      <c r="U1635">
        <v>0</v>
      </c>
      <c r="V1635">
        <v>0.20393133980081085</v>
      </c>
      <c r="W1635">
        <v>0.23154632224330404</v>
      </c>
      <c r="X1635">
        <v>5.5293161925203393E-2</v>
      </c>
      <c r="Y1635">
        <v>1.0152180389189339E-2</v>
      </c>
    </row>
    <row r="1636" spans="1:25" x14ac:dyDescent="0.25">
      <c r="A1636" s="1083"/>
      <c r="B1636" s="1455">
        <v>1386</v>
      </c>
      <c r="C1636" s="1087">
        <v>0.98776001962165372</v>
      </c>
      <c r="D1636" s="1087">
        <v>1.0323497062022973</v>
      </c>
      <c r="E1636" s="1087">
        <v>1.01888797491748</v>
      </c>
      <c r="F1636" s="1087">
        <v>1.0267691309557023</v>
      </c>
      <c r="G1636" s="1087">
        <v>1.034271137096846</v>
      </c>
      <c r="H1636" s="1087">
        <v>1.0233648570329208</v>
      </c>
      <c r="I1636" s="1087">
        <v>1.0240790584064436</v>
      </c>
      <c r="K1636">
        <v>1.8963798709973783</v>
      </c>
      <c r="L1636">
        <v>0</v>
      </c>
      <c r="M1636">
        <v>3.5628614639432862E-3</v>
      </c>
      <c r="N1636">
        <v>0.35836956113853113</v>
      </c>
      <c r="O1636">
        <v>0.24040368485815722</v>
      </c>
      <c r="P1636">
        <v>1.3723980760621037E-2</v>
      </c>
      <c r="Q1636">
        <v>1.6150648150121964E-3</v>
      </c>
      <c r="R1636">
        <v>3.5568512519101505E-3</v>
      </c>
      <c r="S1636">
        <v>0.37651674866190699</v>
      </c>
      <c r="T1636">
        <v>0.41359177994577562</v>
      </c>
      <c r="U1636">
        <v>0</v>
      </c>
      <c r="V1636">
        <v>0.20177227674342271</v>
      </c>
      <c r="W1636">
        <v>0.22561389754922159</v>
      </c>
      <c r="X1636">
        <v>5.5098310144761457E-2</v>
      </c>
      <c r="Y1636">
        <v>9.6805765919993573E-3</v>
      </c>
    </row>
    <row r="1637" spans="1:25" x14ac:dyDescent="0.25">
      <c r="A1637" s="1083"/>
      <c r="B1637" s="1455">
        <v>1387</v>
      </c>
      <c r="C1637" s="1087">
        <v>1.0008824306399478</v>
      </c>
      <c r="D1637" s="1087">
        <v>1.0012521910630383</v>
      </c>
      <c r="E1637" s="1087">
        <v>1.0243488717477733</v>
      </c>
      <c r="F1637" s="1087">
        <v>0.99751218528762498</v>
      </c>
      <c r="G1637" s="1087">
        <v>1.0220304505889082</v>
      </c>
      <c r="H1637" s="1087">
        <v>0.97108156782604471</v>
      </c>
      <c r="I1637" s="1087">
        <v>0.96175993459687026</v>
      </c>
      <c r="K1637">
        <v>1.8227423451356297</v>
      </c>
      <c r="L1637">
        <v>0</v>
      </c>
      <c r="M1637">
        <v>3.3547405142689969E-3</v>
      </c>
      <c r="N1637">
        <v>0.34306872028571594</v>
      </c>
      <c r="O1637">
        <v>0.23857254080157406</v>
      </c>
      <c r="P1637">
        <v>1.3159054313810243E-2</v>
      </c>
      <c r="Q1637">
        <v>1.6228218064624144E-3</v>
      </c>
      <c r="R1637">
        <v>3.3488030085380449E-3</v>
      </c>
      <c r="S1637">
        <v>0.34588421800878577</v>
      </c>
      <c r="T1637">
        <v>0.40184032783443446</v>
      </c>
      <c r="U1637">
        <v>0</v>
      </c>
      <c r="V1637">
        <v>0.1995383671157899</v>
      </c>
      <c r="W1637">
        <v>0.21525727757821933</v>
      </c>
      <c r="X1637">
        <v>5.4690617039942636E-2</v>
      </c>
      <c r="Y1637">
        <v>9.1143378566254825E-3</v>
      </c>
    </row>
    <row r="1638" spans="1:25" x14ac:dyDescent="0.25">
      <c r="A1638" s="1083"/>
      <c r="B1638" s="1455">
        <v>1388</v>
      </c>
      <c r="C1638" s="1087">
        <v>1.009677916143616</v>
      </c>
      <c r="D1638" s="1087">
        <v>1.012654064122577</v>
      </c>
      <c r="E1638" s="1087">
        <v>0.983151475510182</v>
      </c>
      <c r="F1638" s="1087">
        <v>0.98939191272952631</v>
      </c>
      <c r="G1638" s="1087">
        <v>1.0298015743386928</v>
      </c>
      <c r="H1638" s="1087">
        <v>1.01476010560608</v>
      </c>
      <c r="I1638" s="1087">
        <v>0.97386798448300238</v>
      </c>
      <c r="K1638">
        <v>1.8144823100235323</v>
      </c>
      <c r="L1638">
        <v>0</v>
      </c>
      <c r="M1638">
        <v>3.7576242642257209E-3</v>
      </c>
      <c r="N1638">
        <v>0.33890821775326374</v>
      </c>
      <c r="O1638">
        <v>0.23485522741206141</v>
      </c>
      <c r="P1638">
        <v>1.2766056312641025E-2</v>
      </c>
      <c r="Q1638">
        <v>1.5327639459920485E-3</v>
      </c>
      <c r="R1638">
        <v>3.751249612660143E-3</v>
      </c>
      <c r="S1638">
        <v>0.35215320739152217</v>
      </c>
      <c r="T1638">
        <v>0.39832152031359408</v>
      </c>
      <c r="U1638">
        <v>0</v>
      </c>
      <c r="V1638">
        <v>0.19706266374499531</v>
      </c>
      <c r="W1638">
        <v>0.21817607784885312</v>
      </c>
      <c r="X1638">
        <v>5.0503285105616129E-2</v>
      </c>
      <c r="Y1638">
        <v>1.0209664846558438E-2</v>
      </c>
    </row>
    <row r="1639" spans="1:25" x14ac:dyDescent="0.25">
      <c r="A1639" s="1083"/>
      <c r="B1639" s="1455">
        <v>1389</v>
      </c>
      <c r="C1639" s="1087">
        <v>0.97631988262061542</v>
      </c>
      <c r="D1639" s="1087">
        <v>0.98572312018830788</v>
      </c>
      <c r="E1639" s="1087">
        <v>1.0421859621075762</v>
      </c>
      <c r="F1639" s="1087">
        <v>0.96793099172170161</v>
      </c>
      <c r="G1639" s="1087">
        <v>0.97993519448251798</v>
      </c>
      <c r="H1639" s="1087">
        <v>1.0368888814834192</v>
      </c>
      <c r="I1639" s="1087">
        <v>0.99581907865496988</v>
      </c>
      <c r="K1639">
        <v>1.9202882307316664</v>
      </c>
      <c r="L1639">
        <v>0</v>
      </c>
      <c r="M1639">
        <v>3.5687141592883587E-3</v>
      </c>
      <c r="N1639">
        <v>0.38536031593066344</v>
      </c>
      <c r="O1639">
        <v>0.23973319508393309</v>
      </c>
      <c r="P1639">
        <v>1.3696825919543944E-2</v>
      </c>
      <c r="Q1639">
        <v>1.7056567959437842E-3</v>
      </c>
      <c r="R1639">
        <v>3.5628096512472563E-3</v>
      </c>
      <c r="S1639">
        <v>0.38276380384655689</v>
      </c>
      <c r="T1639">
        <v>0.39003080166106768</v>
      </c>
      <c r="U1639">
        <v>0</v>
      </c>
      <c r="V1639">
        <v>0.20052719076907247</v>
      </c>
      <c r="W1639">
        <v>0.23917875133993752</v>
      </c>
      <c r="X1639">
        <v>5.7600800502181367E-2</v>
      </c>
      <c r="Y1639">
        <v>9.6967933908091476E-3</v>
      </c>
    </row>
    <row r="1640" spans="1:25" x14ac:dyDescent="0.25">
      <c r="A1640" s="1083"/>
      <c r="B1640" s="1455">
        <v>1390</v>
      </c>
      <c r="C1640" s="1087">
        <v>0.98926719580839584</v>
      </c>
      <c r="D1640" s="1087">
        <v>1.0306789385072181</v>
      </c>
      <c r="E1640" s="1087">
        <v>0.97873338205539828</v>
      </c>
      <c r="F1640" s="1087">
        <v>1.0022828537963031</v>
      </c>
      <c r="G1640" s="1087">
        <v>1.008271476190157</v>
      </c>
      <c r="H1640" s="1087">
        <v>1.034385767601582</v>
      </c>
      <c r="I1640" s="1087">
        <v>1.0068059078494762</v>
      </c>
      <c r="K1640">
        <v>1.859539179579178</v>
      </c>
      <c r="L1640">
        <v>0</v>
      </c>
      <c r="M1640">
        <v>3.9074420531919635E-3</v>
      </c>
      <c r="N1640">
        <v>0.34770419592560536</v>
      </c>
      <c r="O1640">
        <v>0.23700500353961532</v>
      </c>
      <c r="P1640">
        <v>1.3083626148305709E-2</v>
      </c>
      <c r="Q1640">
        <v>1.54601867748408E-3</v>
      </c>
      <c r="R1640">
        <v>3.9009231608910172E-3</v>
      </c>
      <c r="S1640">
        <v>0.37149215213682701</v>
      </c>
      <c r="T1640">
        <v>0.40348484999693107</v>
      </c>
      <c r="U1640">
        <v>0</v>
      </c>
      <c r="V1640">
        <v>0.19938922029374301</v>
      </c>
      <c r="W1640">
        <v>0.22446632303344582</v>
      </c>
      <c r="X1640">
        <v>5.0757281814549041E-2</v>
      </c>
      <c r="Y1640">
        <v>1.0617026904970964E-2</v>
      </c>
    </row>
    <row r="1641" spans="1:25" x14ac:dyDescent="0.25">
      <c r="A1641" s="1083"/>
      <c r="B1641" s="1455">
        <v>1391</v>
      </c>
      <c r="C1641" s="1087">
        <v>0.98341070774270911</v>
      </c>
      <c r="D1641" s="1087">
        <v>1.0070698257211776</v>
      </c>
      <c r="E1641" s="1087">
        <v>0.98182127786048023</v>
      </c>
      <c r="F1641" s="1087">
        <v>0.97952581805688221</v>
      </c>
      <c r="G1641" s="1087">
        <v>1.0104639623201457</v>
      </c>
      <c r="H1641" s="1087">
        <v>1.0185343419880486</v>
      </c>
      <c r="I1641" s="1087">
        <v>0.9890445484361744</v>
      </c>
      <c r="K1641">
        <v>1.8513849106397551</v>
      </c>
      <c r="L1641">
        <v>0</v>
      </c>
      <c r="M1641">
        <v>3.894447699675326E-3</v>
      </c>
      <c r="N1641">
        <v>0.3498265053593313</v>
      </c>
      <c r="O1641">
        <v>0.23735668778649885</v>
      </c>
      <c r="P1641">
        <v>1.2956387345171893E-2</v>
      </c>
      <c r="Q1641">
        <v>1.5749349443059993E-3</v>
      </c>
      <c r="R1641">
        <v>3.8878704639040309E-3</v>
      </c>
      <c r="S1641">
        <v>0.36898677871333302</v>
      </c>
      <c r="T1641">
        <v>0.39434171149317798</v>
      </c>
      <c r="U1641">
        <v>0</v>
      </c>
      <c r="V1641">
        <v>0.19930257095550921</v>
      </c>
      <c r="W1641">
        <v>0.22539459493421499</v>
      </c>
      <c r="X1641">
        <v>5.1069814577391737E-2</v>
      </c>
      <c r="Y1641">
        <v>1.0581501766592795E-2</v>
      </c>
    </row>
    <row r="1642" spans="1:25" x14ac:dyDescent="0.25">
      <c r="A1642" s="1083"/>
      <c r="B1642" s="1455">
        <v>1392</v>
      </c>
      <c r="C1642" s="1087">
        <v>1.0401863932322561</v>
      </c>
      <c r="D1642" s="1087">
        <v>1.0298300496544199</v>
      </c>
      <c r="E1642" s="1087">
        <v>0.9656097471661913</v>
      </c>
      <c r="F1642" s="1087">
        <v>0.99310970015890387</v>
      </c>
      <c r="G1642" s="1087">
        <v>0.99917851239615119</v>
      </c>
      <c r="H1642" s="1087">
        <v>1.0105004244563323</v>
      </c>
      <c r="I1642" s="1087">
        <v>0.97908601263951978</v>
      </c>
      <c r="K1642">
        <v>1.7603152619919309</v>
      </c>
      <c r="L1642">
        <v>0</v>
      </c>
      <c r="M1642">
        <v>3.7286850507280921E-3</v>
      </c>
      <c r="N1642">
        <v>0.31873305457206869</v>
      </c>
      <c r="O1642">
        <v>0.22981419431964412</v>
      </c>
      <c r="P1642">
        <v>1.239612962022993E-2</v>
      </c>
      <c r="Q1642">
        <v>1.4501024647428687E-3</v>
      </c>
      <c r="R1642">
        <v>3.7223152442806217E-3</v>
      </c>
      <c r="S1642">
        <v>0.33950938504629474</v>
      </c>
      <c r="T1642">
        <v>0.3997146703350607</v>
      </c>
      <c r="U1642">
        <v>0</v>
      </c>
      <c r="V1642">
        <v>0.19325501991081634</v>
      </c>
      <c r="W1642">
        <v>0.20749381472969397</v>
      </c>
      <c r="X1642">
        <v>4.7824345765785259E-2</v>
      </c>
      <c r="Y1642">
        <v>1.0130915034041356E-2</v>
      </c>
    </row>
    <row r="1643" spans="1:25" x14ac:dyDescent="0.25">
      <c r="A1643" s="1083"/>
      <c r="B1643" s="1455">
        <v>1393</v>
      </c>
      <c r="C1643" s="1087">
        <v>1.0300375123060481</v>
      </c>
      <c r="D1643" s="1087">
        <v>1.0351900442814987</v>
      </c>
      <c r="E1643" s="1087">
        <v>1.0122541331157806</v>
      </c>
      <c r="F1643" s="1087">
        <v>0.95567456716505539</v>
      </c>
      <c r="G1643" s="1087">
        <v>0.9687886432999584</v>
      </c>
      <c r="H1643" s="1087">
        <v>1.0239748560395932</v>
      </c>
      <c r="I1643" s="1087">
        <v>0.99972312164101873</v>
      </c>
      <c r="K1643">
        <v>1.7868123925889794</v>
      </c>
      <c r="L1643">
        <v>0</v>
      </c>
      <c r="M1643">
        <v>3.460474584351269E-3</v>
      </c>
      <c r="N1643">
        <v>0.34110332431072266</v>
      </c>
      <c r="O1643">
        <v>0.2268597053051955</v>
      </c>
      <c r="P1643">
        <v>1.2778099951567999E-2</v>
      </c>
      <c r="Q1643">
        <v>1.5362632789678277E-3</v>
      </c>
      <c r="R1643">
        <v>3.454638542472621E-3</v>
      </c>
      <c r="S1643">
        <v>0.35198101728973985</v>
      </c>
      <c r="T1643">
        <v>0.38491541921065658</v>
      </c>
      <c r="U1643">
        <v>0</v>
      </c>
      <c r="V1643">
        <v>0.19113673961582059</v>
      </c>
      <c r="W1643">
        <v>0.21562539306167161</v>
      </c>
      <c r="X1643">
        <v>5.1479879315194571E-2</v>
      </c>
      <c r="Y1643">
        <v>9.4023872913210141E-3</v>
      </c>
    </row>
    <row r="1644" spans="1:25" x14ac:dyDescent="0.25">
      <c r="A1644" s="1083"/>
      <c r="B1644" s="1455">
        <v>1394</v>
      </c>
      <c r="C1644" s="1087">
        <v>0.95277290099308232</v>
      </c>
      <c r="D1644" s="1087">
        <v>0.99089685888935353</v>
      </c>
      <c r="E1644" s="1087">
        <v>1.0263083989328725</v>
      </c>
      <c r="F1644" s="1087">
        <v>0.99910541706666955</v>
      </c>
      <c r="G1644" s="1087">
        <v>0.98607684567013709</v>
      </c>
      <c r="H1644" s="1087">
        <v>1.0032589676669117</v>
      </c>
      <c r="I1644" s="1087">
        <v>0.99369406477502054</v>
      </c>
      <c r="K1644">
        <v>1.9303227986676028</v>
      </c>
      <c r="L1644">
        <v>0</v>
      </c>
      <c r="M1644">
        <v>3.6461223504425811E-3</v>
      </c>
      <c r="N1644">
        <v>0.37512095360695141</v>
      </c>
      <c r="O1644">
        <v>0.24581320542431445</v>
      </c>
      <c r="P1644">
        <v>1.3797332900747092E-2</v>
      </c>
      <c r="Q1644">
        <v>1.7154006775525921E-3</v>
      </c>
      <c r="R1644">
        <v>3.6398841956087344E-3</v>
      </c>
      <c r="S1644">
        <v>0.38369804216935571</v>
      </c>
      <c r="T1644">
        <v>0.40249422226469384</v>
      </c>
      <c r="U1644">
        <v>0</v>
      </c>
      <c r="V1644">
        <v>0.20559582124250073</v>
      </c>
      <c r="W1644">
        <v>0.23508575721184771</v>
      </c>
      <c r="X1644">
        <v>5.7101736431527654E-2</v>
      </c>
      <c r="Y1644">
        <v>9.9065648929443691E-3</v>
      </c>
    </row>
    <row r="1645" spans="1:25" x14ac:dyDescent="0.25">
      <c r="A1645" s="1083"/>
      <c r="B1645" s="1455">
        <v>1395</v>
      </c>
      <c r="C1645" s="1087">
        <v>1.0047406914539874</v>
      </c>
      <c r="D1645" s="1087">
        <v>1.0157652143746831</v>
      </c>
      <c r="E1645" s="1087">
        <v>1.0048972618199212</v>
      </c>
      <c r="F1645" s="1087">
        <v>1.0432478221281538</v>
      </c>
      <c r="G1645" s="1087">
        <v>0.99139303453434358</v>
      </c>
      <c r="H1645" s="1087">
        <v>1.0219719519912898</v>
      </c>
      <c r="I1645" s="1087">
        <v>1.0148149230621388</v>
      </c>
      <c r="K1645">
        <v>1.8845265145614944</v>
      </c>
      <c r="L1645">
        <v>0</v>
      </c>
      <c r="M1645">
        <v>3.6304145883442329E-3</v>
      </c>
      <c r="N1645">
        <v>0.3499150462690061</v>
      </c>
      <c r="O1645">
        <v>0.24159834623742354</v>
      </c>
      <c r="P1645">
        <v>1.358288592918306E-2</v>
      </c>
      <c r="Q1645">
        <v>1.5745841386698679E-3</v>
      </c>
      <c r="R1645">
        <v>3.6242945736722314E-3</v>
      </c>
      <c r="S1645">
        <v>0.36963914998151692</v>
      </c>
      <c r="T1645">
        <v>0.4201403636609512</v>
      </c>
      <c r="U1645">
        <v>0</v>
      </c>
      <c r="V1645">
        <v>0.20208820599001978</v>
      </c>
      <c r="W1645">
        <v>0.22220820334719124</v>
      </c>
      <c r="X1645">
        <v>5.392171394105192E-2</v>
      </c>
      <c r="Y1645">
        <v>9.8641350811506986E-3</v>
      </c>
    </row>
    <row r="1646" spans="1:25" x14ac:dyDescent="0.25">
      <c r="A1646" s="1083"/>
      <c r="B1646" s="1455">
        <v>1396</v>
      </c>
      <c r="C1646" s="1087">
        <v>1.0346609513632594</v>
      </c>
      <c r="D1646" s="1087">
        <v>1.018129172356528</v>
      </c>
      <c r="E1646" s="1087">
        <v>1.004659394618874</v>
      </c>
      <c r="F1646" s="1087">
        <v>1.0188406298881991</v>
      </c>
      <c r="G1646" s="1087">
        <v>1.0054312853723437</v>
      </c>
      <c r="H1646" s="1087">
        <v>0.97127311680191986</v>
      </c>
      <c r="I1646" s="1087">
        <v>0.9977813271836754</v>
      </c>
      <c r="K1646">
        <v>1.7885180968921095</v>
      </c>
      <c r="L1646">
        <v>0</v>
      </c>
      <c r="M1646">
        <v>3.3473414303202722E-3</v>
      </c>
      <c r="N1646">
        <v>0.32236849131498369</v>
      </c>
      <c r="O1646">
        <v>0.23500511289084641</v>
      </c>
      <c r="P1646">
        <v>1.3017425137051319E-2</v>
      </c>
      <c r="Q1646">
        <v>1.5272431266779697E-3</v>
      </c>
      <c r="R1646">
        <v>3.3414010254147418E-3</v>
      </c>
      <c r="S1646">
        <v>0.34365711921081848</v>
      </c>
      <c r="T1646">
        <v>0.41030954155337385</v>
      </c>
      <c r="U1646">
        <v>0</v>
      </c>
      <c r="V1646">
        <v>0.19677889063129478</v>
      </c>
      <c r="W1646">
        <v>0.20474550343563283</v>
      </c>
      <c r="X1646">
        <v>5.2020517897709485E-2</v>
      </c>
      <c r="Y1646">
        <v>9.0941920986269305E-3</v>
      </c>
    </row>
    <row r="1647" spans="1:25" x14ac:dyDescent="0.25">
      <c r="A1647" s="1083"/>
      <c r="B1647" s="1455">
        <v>1397</v>
      </c>
      <c r="C1647" s="1087">
        <v>0.99368040081952547</v>
      </c>
      <c r="D1647" s="1087">
        <v>0.97015121701812357</v>
      </c>
      <c r="E1647" s="1087">
        <v>1.0073591011895076</v>
      </c>
      <c r="F1647" s="1087">
        <v>0.97999297617793824</v>
      </c>
      <c r="G1647" s="1087">
        <v>1.0067226003051377</v>
      </c>
      <c r="H1647" s="1087">
        <v>1.007357715749404</v>
      </c>
      <c r="I1647" s="1087">
        <v>1.0088439772996405</v>
      </c>
      <c r="K1647">
        <v>1.8783481668386892</v>
      </c>
      <c r="L1647">
        <v>0</v>
      </c>
      <c r="M1647">
        <v>3.6911533562527803E-3</v>
      </c>
      <c r="N1647">
        <v>0.35844623983952206</v>
      </c>
      <c r="O1647">
        <v>0.24017113958142128</v>
      </c>
      <c r="P1647">
        <v>1.3355347337183621E-2</v>
      </c>
      <c r="Q1647">
        <v>1.6258870622467036E-3</v>
      </c>
      <c r="R1647">
        <v>3.6848821340390624E-3</v>
      </c>
      <c r="S1647">
        <v>0.37845494352428449</v>
      </c>
      <c r="T1647">
        <v>0.39468083551289895</v>
      </c>
      <c r="U1647">
        <v>0</v>
      </c>
      <c r="V1647">
        <v>0.20033374065126405</v>
      </c>
      <c r="W1647">
        <v>0.22727754631465422</v>
      </c>
      <c r="X1647">
        <v>5.397972378964265E-2</v>
      </c>
      <c r="Y1647">
        <v>1.0029034447785303E-2</v>
      </c>
    </row>
    <row r="1648" spans="1:25" x14ac:dyDescent="0.25">
      <c r="A1648" s="1083"/>
      <c r="B1648" s="1455">
        <v>1398</v>
      </c>
      <c r="C1648" s="1087">
        <v>1.0102188764930335</v>
      </c>
      <c r="D1648" s="1087">
        <v>1.0109993107549455</v>
      </c>
      <c r="E1648" s="1087">
        <v>1.021959867617628</v>
      </c>
      <c r="F1648" s="1087">
        <v>0.97770024410052658</v>
      </c>
      <c r="G1648" s="1087">
        <v>0.97746992892455342</v>
      </c>
      <c r="H1648" s="1087">
        <v>1.0082824796509195</v>
      </c>
      <c r="I1648" s="1087">
        <v>0.99924683411878645</v>
      </c>
      <c r="K1648">
        <v>1.8334176831780262</v>
      </c>
      <c r="L1648">
        <v>0</v>
      </c>
      <c r="M1648">
        <v>3.4498213065380281E-3</v>
      </c>
      <c r="N1648">
        <v>0.35025575568709216</v>
      </c>
      <c r="O1648">
        <v>0.23412837907733405</v>
      </c>
      <c r="P1648">
        <v>1.31867477430418E-2</v>
      </c>
      <c r="Q1648">
        <v>1.5975814684287182E-3</v>
      </c>
      <c r="R1648">
        <v>3.4439326182011953E-3</v>
      </c>
      <c r="S1648">
        <v>0.36074878270380933</v>
      </c>
      <c r="T1648">
        <v>0.39384485302511624</v>
      </c>
      <c r="U1648">
        <v>0</v>
      </c>
      <c r="V1648">
        <v>0.19631810360765453</v>
      </c>
      <c r="W1648">
        <v>0.22008939268083971</v>
      </c>
      <c r="X1648">
        <v>5.3880726578383192E-2</v>
      </c>
      <c r="Y1648">
        <v>9.373249294661181E-3</v>
      </c>
    </row>
    <row r="1649" spans="1:25" x14ac:dyDescent="0.25">
      <c r="A1649" s="1083"/>
      <c r="B1649" s="1455">
        <v>1399</v>
      </c>
      <c r="C1649" s="1087">
        <v>0.99158939478666053</v>
      </c>
      <c r="D1649" s="1087">
        <v>1.0177600865744867</v>
      </c>
      <c r="E1649" s="1087">
        <v>1.0152330131322325</v>
      </c>
      <c r="F1649" s="1087">
        <v>1.0416621066474365</v>
      </c>
      <c r="G1649" s="1087">
        <v>0.99420929360411447</v>
      </c>
      <c r="H1649" s="1087">
        <v>0.99123317691908364</v>
      </c>
      <c r="I1649" s="1087">
        <v>0.99544729769730256</v>
      </c>
      <c r="K1649">
        <v>1.8733661654418308</v>
      </c>
      <c r="L1649">
        <v>0</v>
      </c>
      <c r="M1649">
        <v>3.4900656361595631E-3</v>
      </c>
      <c r="N1649">
        <v>0.34714061741876739</v>
      </c>
      <c r="O1649">
        <v>0.24302199648113976</v>
      </c>
      <c r="P1649">
        <v>1.358562022608399E-2</v>
      </c>
      <c r="Q1649">
        <v>1.6117789986393577E-3</v>
      </c>
      <c r="R1649">
        <v>3.4839991465697886E-3</v>
      </c>
      <c r="S1649">
        <v>0.3616004198201313</v>
      </c>
      <c r="T1649">
        <v>0.41956745792934319</v>
      </c>
      <c r="U1649">
        <v>0</v>
      </c>
      <c r="V1649">
        <v>0.20335364231182868</v>
      </c>
      <c r="W1649">
        <v>0.21903793864042861</v>
      </c>
      <c r="X1649">
        <v>5.4970462928105861E-2</v>
      </c>
      <c r="Y1649">
        <v>9.4822971769529633E-3</v>
      </c>
    </row>
    <row r="1650" spans="1:25" x14ac:dyDescent="0.25">
      <c r="A1650" s="1083"/>
      <c r="B1650" s="1455">
        <v>1400</v>
      </c>
      <c r="C1650" s="1087">
        <v>0.99486683875563142</v>
      </c>
      <c r="D1650" s="1087">
        <v>1.0075551349325802</v>
      </c>
      <c r="E1650" s="1087">
        <v>0.99802355197353132</v>
      </c>
      <c r="F1650" s="1087">
        <v>1.0089810949654026</v>
      </c>
      <c r="G1650" s="1087">
        <v>0.98267699529872354</v>
      </c>
      <c r="H1650" s="1087">
        <v>0.97815501491981482</v>
      </c>
      <c r="I1650" s="1087">
        <v>0.96224391838709555</v>
      </c>
      <c r="K1650">
        <v>1.8241284060298932</v>
      </c>
      <c r="L1650">
        <v>0</v>
      </c>
      <c r="M1650">
        <v>3.5759077692097152E-3</v>
      </c>
      <c r="N1650">
        <v>0.33748309150932998</v>
      </c>
      <c r="O1650">
        <v>0.23964050654159419</v>
      </c>
      <c r="P1650">
        <v>1.3009433616722086E-2</v>
      </c>
      <c r="Q1650">
        <v>1.583748219649713E-3</v>
      </c>
      <c r="R1650">
        <v>3.5696190955324305E-3</v>
      </c>
      <c r="S1650">
        <v>0.34789367389130532</v>
      </c>
      <c r="T1650">
        <v>0.40629828245004551</v>
      </c>
      <c r="U1650">
        <v>0</v>
      </c>
      <c r="V1650">
        <v>0.20067470031513618</v>
      </c>
      <c r="W1650">
        <v>0.21523489042945165</v>
      </c>
      <c r="X1650">
        <v>5.2601041276915055E-2</v>
      </c>
      <c r="Y1650">
        <v>9.7153264534206845E-3</v>
      </c>
    </row>
    <row r="1651" spans="1:25" x14ac:dyDescent="0.25">
      <c r="A1651" s="1083"/>
      <c r="B1651" s="1455">
        <v>1401</v>
      </c>
      <c r="C1651" s="1087">
        <v>0.95740868899088483</v>
      </c>
      <c r="D1651" s="1087">
        <v>0.96911817041275916</v>
      </c>
      <c r="E1651" s="1087">
        <v>1.0129776444391885</v>
      </c>
      <c r="F1651" s="1087">
        <v>0.97692138548339968</v>
      </c>
      <c r="G1651" s="1087">
        <v>1.0364841271132232</v>
      </c>
      <c r="H1651" s="1087">
        <v>1.0178514320193637</v>
      </c>
      <c r="I1651" s="1087">
        <v>1.0002014399102579</v>
      </c>
      <c r="K1651">
        <v>1.9321264781696976</v>
      </c>
      <c r="L1651">
        <v>0</v>
      </c>
      <c r="M1651">
        <v>3.827162755683382E-3</v>
      </c>
      <c r="N1651">
        <v>0.37808305116464547</v>
      </c>
      <c r="O1651">
        <v>0.24441742711233458</v>
      </c>
      <c r="P1651">
        <v>1.362903981508787E-2</v>
      </c>
      <c r="Q1651">
        <v>1.6982879017387398E-3</v>
      </c>
      <c r="R1651">
        <v>3.8207256978000049E-3</v>
      </c>
      <c r="S1651">
        <v>0.39166625035960745</v>
      </c>
      <c r="T1651">
        <v>0.39347728490691097</v>
      </c>
      <c r="U1651">
        <v>0</v>
      </c>
      <c r="V1651">
        <v>0.20415900810084689</v>
      </c>
      <c r="W1651">
        <v>0.23889479247622017</v>
      </c>
      <c r="X1651">
        <v>5.5709017542663837E-2</v>
      </c>
      <c r="Y1651">
        <v>1.0398755847523833E-2</v>
      </c>
    </row>
    <row r="1652" spans="1:25" x14ac:dyDescent="0.25">
      <c r="A1652" s="1083"/>
      <c r="B1652" s="1455">
        <v>1402</v>
      </c>
      <c r="C1652" s="1087">
        <v>0.99743764434858029</v>
      </c>
      <c r="D1652" s="1087">
        <v>1.0158944991287737</v>
      </c>
      <c r="E1652" s="1087">
        <v>0.96561045248908428</v>
      </c>
      <c r="F1652" s="1087">
        <v>1.0092199192765139</v>
      </c>
      <c r="G1652" s="1087">
        <v>1.0193412654597571</v>
      </c>
      <c r="H1652" s="1087">
        <v>0.98334159075687855</v>
      </c>
      <c r="I1652" s="1087">
        <v>1.0252759839802998</v>
      </c>
      <c r="K1652">
        <v>1.8252110900202896</v>
      </c>
      <c r="L1652">
        <v>0</v>
      </c>
      <c r="M1652">
        <v>3.8134952429134407E-3</v>
      </c>
      <c r="N1652">
        <v>0.32596937032929862</v>
      </c>
      <c r="O1652">
        <v>0.2380636266774375</v>
      </c>
      <c r="P1652">
        <v>1.2956197480554701E-2</v>
      </c>
      <c r="Q1652">
        <v>1.5205167792742746E-3</v>
      </c>
      <c r="R1652">
        <v>3.8068161450480792E-3</v>
      </c>
      <c r="S1652">
        <v>0.36862352336518106</v>
      </c>
      <c r="T1652">
        <v>0.40619884333130279</v>
      </c>
      <c r="U1652">
        <v>0</v>
      </c>
      <c r="V1652">
        <v>0.19978341879246952</v>
      </c>
      <c r="W1652">
        <v>0.21220452843707122</v>
      </c>
      <c r="X1652">
        <v>4.9536845295350643E-2</v>
      </c>
      <c r="Y1652">
        <v>1.0360898630215925E-2</v>
      </c>
    </row>
    <row r="1653" spans="1:25" x14ac:dyDescent="0.25">
      <c r="A1653" s="1083"/>
      <c r="B1653" s="1455">
        <v>1403</v>
      </c>
      <c r="C1653" s="1087">
        <v>0.9952541601396192</v>
      </c>
      <c r="D1653" s="1087">
        <v>1.0118893491119207</v>
      </c>
      <c r="E1653" s="1087">
        <v>0.99836788560269152</v>
      </c>
      <c r="F1653" s="1087">
        <v>0.997815527784502</v>
      </c>
      <c r="G1653" s="1087">
        <v>0.96546696822830669</v>
      </c>
      <c r="H1653" s="1087">
        <v>1.0176417940332558</v>
      </c>
      <c r="I1653" s="1087">
        <v>0.97391558251676624</v>
      </c>
      <c r="K1653">
        <v>1.8481952637841566</v>
      </c>
      <c r="L1653">
        <v>0</v>
      </c>
      <c r="M1653">
        <v>3.7076070592211058E-3</v>
      </c>
      <c r="N1653">
        <v>0.35030398260527346</v>
      </c>
      <c r="O1653">
        <v>0.23786620983834997</v>
      </c>
      <c r="P1653">
        <v>1.3074134120200051E-2</v>
      </c>
      <c r="Q1653">
        <v>1.5809965013433064E-3</v>
      </c>
      <c r="R1653">
        <v>3.7013360343365002E-3</v>
      </c>
      <c r="S1653">
        <v>0.35811071167505532</v>
      </c>
      <c r="T1653">
        <v>0.40180419135908096</v>
      </c>
      <c r="U1653">
        <v>0</v>
      </c>
      <c r="V1653">
        <v>0.19945240302439377</v>
      </c>
      <c r="W1653">
        <v>0.22336347899262188</v>
      </c>
      <c r="X1653">
        <v>5.2571610152353405E-2</v>
      </c>
      <c r="Y1653">
        <v>1.0073816540368154E-2</v>
      </c>
    </row>
    <row r="1654" spans="1:25" x14ac:dyDescent="0.25">
      <c r="A1654" s="1083"/>
      <c r="B1654" s="1455">
        <v>1404</v>
      </c>
      <c r="C1654" s="1087">
        <v>1.013278387815673</v>
      </c>
      <c r="D1654" s="1087">
        <v>1.0044546655096347</v>
      </c>
      <c r="E1654" s="1087">
        <v>0.98730691704727014</v>
      </c>
      <c r="F1654" s="1087">
        <v>1.0039553132200572</v>
      </c>
      <c r="G1654" s="1087">
        <v>1.0008946873464963</v>
      </c>
      <c r="H1654" s="1087">
        <v>1.0462647815583677</v>
      </c>
      <c r="I1654" s="1087">
        <v>0.99463571885894453</v>
      </c>
      <c r="K1654">
        <v>1.8584933051966148</v>
      </c>
      <c r="L1654">
        <v>0</v>
      </c>
      <c r="M1654">
        <v>3.8446348296654097E-3</v>
      </c>
      <c r="N1654">
        <v>0.35120455851426796</v>
      </c>
      <c r="O1654">
        <v>0.23698576015238418</v>
      </c>
      <c r="P1654">
        <v>1.308580511706112E-2</v>
      </c>
      <c r="Q1654">
        <v>1.5391447351329507E-3</v>
      </c>
      <c r="R1654">
        <v>3.8383159525466146E-3</v>
      </c>
      <c r="S1654">
        <v>0.36563380794263267</v>
      </c>
      <c r="T1654">
        <v>0.40420964280750549</v>
      </c>
      <c r="U1654">
        <v>0</v>
      </c>
      <c r="V1654">
        <v>0.19838176525987489</v>
      </c>
      <c r="W1654">
        <v>0.22549916898227557</v>
      </c>
      <c r="X1654">
        <v>5.1513339840280635E-2</v>
      </c>
      <c r="Y1654">
        <v>1.0446630722318186E-2</v>
      </c>
    </row>
    <row r="1655" spans="1:25" x14ac:dyDescent="0.25">
      <c r="A1655" s="1083"/>
      <c r="B1655" s="1455">
        <v>1405</v>
      </c>
      <c r="C1655" s="1087">
        <v>0.98292059045293345</v>
      </c>
      <c r="D1655" s="1087">
        <v>1.0328746803803175</v>
      </c>
      <c r="E1655" s="1087">
        <v>1.0016109652137575</v>
      </c>
      <c r="F1655" s="1087">
        <v>1.0066946719794885</v>
      </c>
      <c r="G1655" s="1087">
        <v>1.0338625479925672</v>
      </c>
      <c r="H1655" s="1087">
        <v>1.0097342297392267</v>
      </c>
      <c r="I1655" s="1087">
        <v>0.99401998073491882</v>
      </c>
      <c r="K1655">
        <v>1.858007757497274</v>
      </c>
      <c r="L1655">
        <v>0</v>
      </c>
      <c r="M1655">
        <v>3.6595674600117447E-3</v>
      </c>
      <c r="N1655">
        <v>0.34919772488480544</v>
      </c>
      <c r="O1655">
        <v>0.23841627264841558</v>
      </c>
      <c r="P1655">
        <v>1.325676688881244E-2</v>
      </c>
      <c r="Q1655">
        <v>1.5932409327557679E-3</v>
      </c>
      <c r="R1655">
        <v>3.653311309075018E-3</v>
      </c>
      <c r="S1655">
        <v>0.36453385635378605</v>
      </c>
      <c r="T1655">
        <v>0.40539946104138669</v>
      </c>
      <c r="U1655">
        <v>0</v>
      </c>
      <c r="V1655">
        <v>0.20048624615899827</v>
      </c>
      <c r="W1655">
        <v>0.222207368602932</v>
      </c>
      <c r="X1655">
        <v>5.2979967066762786E-2</v>
      </c>
      <c r="Y1655">
        <v>9.9431090695528291E-3</v>
      </c>
    </row>
    <row r="1656" spans="1:25" x14ac:dyDescent="0.25">
      <c r="A1656" s="1083"/>
      <c r="B1656" s="1455">
        <v>1406</v>
      </c>
      <c r="C1656" s="1087">
        <v>0.9852190473623581</v>
      </c>
      <c r="D1656" s="1087">
        <v>1.0108518885181152</v>
      </c>
      <c r="E1656" s="1087">
        <v>0.99166239701566561</v>
      </c>
      <c r="F1656" s="1087">
        <v>0.98320354195793469</v>
      </c>
      <c r="G1656" s="1087">
        <v>1.0356443956732708</v>
      </c>
      <c r="H1656" s="1087">
        <v>0.96096015448864436</v>
      </c>
      <c r="I1656" s="1087">
        <v>0.9917396433114033</v>
      </c>
      <c r="K1656">
        <v>1.8112450319220408</v>
      </c>
      <c r="L1656">
        <v>0</v>
      </c>
      <c r="M1656">
        <v>3.5874894690784385E-3</v>
      </c>
      <c r="N1656">
        <v>0.33205380662475203</v>
      </c>
      <c r="O1656">
        <v>0.2373518828112601</v>
      </c>
      <c r="P1656">
        <v>1.2927588839353323E-2</v>
      </c>
      <c r="Q1656">
        <v>1.586350578345258E-3</v>
      </c>
      <c r="R1656">
        <v>3.5810645128035961E-3</v>
      </c>
      <c r="S1656">
        <v>0.35822026125836359</v>
      </c>
      <c r="T1656">
        <v>0.39588037556004496</v>
      </c>
      <c r="U1656">
        <v>0</v>
      </c>
      <c r="V1656">
        <v>0.19928751660998914</v>
      </c>
      <c r="W1656">
        <v>0.21261895389424287</v>
      </c>
      <c r="X1656">
        <v>5.1578243595710498E-2</v>
      </c>
      <c r="Y1656">
        <v>9.7464771062520088E-3</v>
      </c>
    </row>
    <row r="1657" spans="1:25" x14ac:dyDescent="0.25">
      <c r="A1657" s="1083"/>
      <c r="B1657" s="1455">
        <v>1407</v>
      </c>
      <c r="C1657" s="1087">
        <v>0.96886598863203377</v>
      </c>
      <c r="D1657" s="1087">
        <v>0.99710975593639206</v>
      </c>
      <c r="E1657" s="1087">
        <v>1.0107929647721881</v>
      </c>
      <c r="F1657" s="1087">
        <v>1.0161928924022998</v>
      </c>
      <c r="G1657" s="1087">
        <v>0.98852802450153421</v>
      </c>
      <c r="H1657" s="1087">
        <v>0.97840739795038711</v>
      </c>
      <c r="I1657" s="1087">
        <v>1.0054786770745876</v>
      </c>
      <c r="K1657">
        <v>1.8913777454617968</v>
      </c>
      <c r="L1657">
        <v>0</v>
      </c>
      <c r="M1657">
        <v>3.5984518480534403E-3</v>
      </c>
      <c r="N1657">
        <v>0.35310270719553605</v>
      </c>
      <c r="O1657">
        <v>0.2449779179577706</v>
      </c>
      <c r="P1657">
        <v>1.3613197792101756E-2</v>
      </c>
      <c r="Q1657">
        <v>1.6553645426875406E-3</v>
      </c>
      <c r="R1657">
        <v>3.5921347305489827E-3</v>
      </c>
      <c r="S1657">
        <v>0.37564827808699075</v>
      </c>
      <c r="T1657">
        <v>0.40928121203842371</v>
      </c>
      <c r="U1657">
        <v>0</v>
      </c>
      <c r="V1657">
        <v>0.2048203714387577</v>
      </c>
      <c r="W1657">
        <v>0.22341281477562155</v>
      </c>
      <c r="X1657">
        <v>5.5095592161751292E-2</v>
      </c>
      <c r="Y1657">
        <v>9.7766065896586485E-3</v>
      </c>
    </row>
    <row r="1658" spans="1:25" x14ac:dyDescent="0.25">
      <c r="A1658" s="1083"/>
      <c r="B1658" s="1455">
        <v>1408</v>
      </c>
      <c r="C1658" s="1087">
        <v>1.0046706101889427</v>
      </c>
      <c r="D1658" s="1087">
        <v>1.0041277487295133</v>
      </c>
      <c r="E1658" s="1087">
        <v>1.0188432333999109</v>
      </c>
      <c r="F1658" s="1087">
        <v>0.99181865479495324</v>
      </c>
      <c r="G1658" s="1087">
        <v>1.0043232941908364</v>
      </c>
      <c r="H1658" s="1087">
        <v>0.95669731882445397</v>
      </c>
      <c r="I1658" s="1087">
        <v>1.0072698936637341</v>
      </c>
      <c r="K1658">
        <v>1.8151999840846356</v>
      </c>
      <c r="L1658">
        <v>0</v>
      </c>
      <c r="M1658">
        <v>3.3248061876133433E-3</v>
      </c>
      <c r="N1658">
        <v>0.33434227700586511</v>
      </c>
      <c r="O1658">
        <v>0.23708168786595826</v>
      </c>
      <c r="P1658">
        <v>1.3221679230475014E-2</v>
      </c>
      <c r="Q1658">
        <v>1.6055075227950927E-3</v>
      </c>
      <c r="R1658">
        <v>3.3188307110108882E-3</v>
      </c>
      <c r="S1658">
        <v>0.35763659775049894</v>
      </c>
      <c r="T1658">
        <v>0.39951314342697869</v>
      </c>
      <c r="U1658">
        <v>0</v>
      </c>
      <c r="V1658">
        <v>0.19845953437465913</v>
      </c>
      <c r="W1658">
        <v>0.21049316554595057</v>
      </c>
      <c r="X1658">
        <v>5.3819603694935228E-2</v>
      </c>
      <c r="Y1658">
        <v>9.0327631431217879E-3</v>
      </c>
    </row>
    <row r="1659" spans="1:25" x14ac:dyDescent="0.25">
      <c r="A1659" s="1083"/>
      <c r="B1659" s="1455">
        <v>1409</v>
      </c>
      <c r="C1659" s="1087">
        <v>0.99102193660971394</v>
      </c>
      <c r="D1659" s="1087">
        <v>0.99396511893010131</v>
      </c>
      <c r="E1659" s="1087">
        <v>1.006089869171207</v>
      </c>
      <c r="F1659" s="1087">
        <v>1.0248867017091607</v>
      </c>
      <c r="G1659" s="1087">
        <v>1.0075552814148674</v>
      </c>
      <c r="H1659" s="1087">
        <v>0.99501719523687326</v>
      </c>
      <c r="I1659" s="1087">
        <v>1.019533604029077</v>
      </c>
      <c r="K1659">
        <v>1.8870632861246455</v>
      </c>
      <c r="L1659">
        <v>0</v>
      </c>
      <c r="M1659">
        <v>3.6184262532937277E-3</v>
      </c>
      <c r="N1659">
        <v>0.35001673237351449</v>
      </c>
      <c r="O1659">
        <v>0.24346361776921416</v>
      </c>
      <c r="P1659">
        <v>1.3597785323878134E-2</v>
      </c>
      <c r="Q1659">
        <v>1.6123369839979712E-3</v>
      </c>
      <c r="R1659">
        <v>3.6121827019875946E-3</v>
      </c>
      <c r="S1659">
        <v>0.37608628912778919</v>
      </c>
      <c r="T1659">
        <v>0.41275334475864339</v>
      </c>
      <c r="U1659">
        <v>0</v>
      </c>
      <c r="V1659">
        <v>0.2032362503688698</v>
      </c>
      <c r="W1659">
        <v>0.22210789076850326</v>
      </c>
      <c r="X1659">
        <v>5.4364111642437644E-2</v>
      </c>
      <c r="Y1659">
        <v>9.8311705591025457E-3</v>
      </c>
    </row>
    <row r="1660" spans="1:25" x14ac:dyDescent="0.25">
      <c r="A1660" s="1083"/>
      <c r="B1660" s="1455">
        <v>1410</v>
      </c>
      <c r="C1660" s="1087">
        <v>0.99757894072252196</v>
      </c>
      <c r="D1660" s="1087">
        <v>1.0146926461084285</v>
      </c>
      <c r="E1660" s="1087">
        <v>0.98705843684269345</v>
      </c>
      <c r="F1660" s="1087">
        <v>0.98383280463797429</v>
      </c>
      <c r="G1660" s="1087">
        <v>1.0105183400080731</v>
      </c>
      <c r="H1660" s="1087">
        <v>0.96563006246599792</v>
      </c>
      <c r="I1660" s="1087">
        <v>0.98720924040864111</v>
      </c>
      <c r="K1660">
        <v>1.7939918945590207</v>
      </c>
      <c r="L1660">
        <v>0</v>
      </c>
      <c r="M1660">
        <v>3.586564190720658E-3</v>
      </c>
      <c r="N1660">
        <v>0.32733562702856345</v>
      </c>
      <c r="O1660">
        <v>0.23550582851452542</v>
      </c>
      <c r="P1660">
        <v>1.2784439182752429E-2</v>
      </c>
      <c r="Q1660">
        <v>1.5566233596336653E-3</v>
      </c>
      <c r="R1660">
        <v>3.5801686091498455E-3</v>
      </c>
      <c r="S1660">
        <v>0.35221020387711877</v>
      </c>
      <c r="T1660">
        <v>0.39610650779361972</v>
      </c>
      <c r="U1660">
        <v>0</v>
      </c>
      <c r="V1660">
        <v>0.19778783516286505</v>
      </c>
      <c r="W1660">
        <v>0.21020650853705916</v>
      </c>
      <c r="X1660">
        <v>5.0760677932613948E-2</v>
      </c>
      <c r="Y1660">
        <v>9.7440387518410616E-3</v>
      </c>
    </row>
    <row r="1661" spans="1:25" x14ac:dyDescent="0.25">
      <c r="A1661" s="1083"/>
      <c r="B1661" s="1455">
        <v>1411</v>
      </c>
      <c r="C1661" s="1087">
        <v>1.0173426910789298</v>
      </c>
      <c r="D1661" s="1087">
        <v>1.033276724694778</v>
      </c>
      <c r="E1661" s="1087">
        <v>1.0273606956372592</v>
      </c>
      <c r="F1661" s="1087">
        <v>0.98752769855720479</v>
      </c>
      <c r="G1661" s="1087">
        <v>0.97244695195141795</v>
      </c>
      <c r="H1661" s="1087">
        <v>1.0111241987188133</v>
      </c>
      <c r="I1661" s="1087">
        <v>0.99343725218803025</v>
      </c>
      <c r="K1661">
        <v>1.819232786212913</v>
      </c>
      <c r="L1661">
        <v>0</v>
      </c>
      <c r="M1661">
        <v>3.3572537255927419E-3</v>
      </c>
      <c r="N1661">
        <v>0.34651147017278056</v>
      </c>
      <c r="O1661">
        <v>0.23237522921010928</v>
      </c>
      <c r="P1661">
        <v>1.3164268683174638E-2</v>
      </c>
      <c r="Q1661">
        <v>1.5815856544485394E-3</v>
      </c>
      <c r="R1661">
        <v>3.351520958315471E-3</v>
      </c>
      <c r="S1661">
        <v>0.35241375873953523</v>
      </c>
      <c r="T1661">
        <v>0.39783649974917173</v>
      </c>
      <c r="U1661">
        <v>0</v>
      </c>
      <c r="V1661">
        <v>0.19531024001794622</v>
      </c>
      <c r="W1661">
        <v>0.21701649713672069</v>
      </c>
      <c r="X1661">
        <v>5.3907234396352692E-2</v>
      </c>
      <c r="Y1661">
        <v>9.1217352199477325E-3</v>
      </c>
    </row>
    <row r="1662" spans="1:25" x14ac:dyDescent="0.25">
      <c r="A1662" s="1083"/>
      <c r="B1662" s="1455">
        <v>1412</v>
      </c>
      <c r="C1662" s="1087">
        <v>0.99242672221041328</v>
      </c>
      <c r="D1662" s="1087">
        <v>1.0395166755963949</v>
      </c>
      <c r="E1662" s="1087">
        <v>0.97972501194663753</v>
      </c>
      <c r="F1662" s="1087">
        <v>0.99811437420317661</v>
      </c>
      <c r="G1662" s="1087">
        <v>0.98519268984926756</v>
      </c>
      <c r="H1662" s="1087">
        <v>0.99170890262031264</v>
      </c>
      <c r="I1662" s="1087">
        <v>1.0071911582559747</v>
      </c>
      <c r="K1662">
        <v>1.8158218746623291</v>
      </c>
      <c r="L1662">
        <v>0</v>
      </c>
      <c r="M1662">
        <v>3.7094988101216823E-3</v>
      </c>
      <c r="N1662">
        <v>0.3310676102130416</v>
      </c>
      <c r="O1662">
        <v>0.23530431064949697</v>
      </c>
      <c r="P1662">
        <v>1.2915068353403671E-2</v>
      </c>
      <c r="Q1662">
        <v>1.5374837675999058E-3</v>
      </c>
      <c r="R1662">
        <v>3.7030359059689018E-3</v>
      </c>
      <c r="S1662">
        <v>0.36102966116636709</v>
      </c>
      <c r="T1662">
        <v>0.40181266991224868</v>
      </c>
      <c r="U1662">
        <v>0</v>
      </c>
      <c r="V1662">
        <v>0.19824779887837474</v>
      </c>
      <c r="W1662">
        <v>0.21359182252578213</v>
      </c>
      <c r="X1662">
        <v>5.0243469069576836E-2</v>
      </c>
      <c r="Y1662">
        <v>1.0078443030589024E-2</v>
      </c>
    </row>
    <row r="1663" spans="1:25" x14ac:dyDescent="0.25">
      <c r="A1663" s="1083"/>
      <c r="B1663" s="1455">
        <v>1413</v>
      </c>
      <c r="C1663" s="1087">
        <v>0.99388009076817796</v>
      </c>
      <c r="D1663" s="1087">
        <v>0.99380055365336362</v>
      </c>
      <c r="E1663" s="1087">
        <v>1.0167758773461186</v>
      </c>
      <c r="F1663" s="1087">
        <v>1.0355281694446721</v>
      </c>
      <c r="G1663" s="1087">
        <v>0.98777950108447188</v>
      </c>
      <c r="H1663" s="1087">
        <v>1.0274275084405866</v>
      </c>
      <c r="I1663" s="1087">
        <v>1.0157849821135685</v>
      </c>
      <c r="K1663">
        <v>1.9204251401928791</v>
      </c>
      <c r="L1663">
        <v>0</v>
      </c>
      <c r="M1663">
        <v>3.6450250776581907E-3</v>
      </c>
      <c r="N1663">
        <v>0.36428726161434133</v>
      </c>
      <c r="O1663">
        <v>0.24451990076006605</v>
      </c>
      <c r="P1663">
        <v>1.3826247711697229E-2</v>
      </c>
      <c r="Q1663">
        <v>1.6261102005617597E-3</v>
      </c>
      <c r="R1663">
        <v>3.6389339207996791E-3</v>
      </c>
      <c r="S1663">
        <v>0.37981001489960631</v>
      </c>
      <c r="T1663">
        <v>0.41710658042384702</v>
      </c>
      <c r="U1663">
        <v>0</v>
      </c>
      <c r="V1663">
        <v>0.20390507359691748</v>
      </c>
      <c r="W1663">
        <v>0.22963825113071806</v>
      </c>
      <c r="X1663">
        <v>5.5807812453810814E-2</v>
      </c>
      <c r="Y1663">
        <v>9.9039785581721291E-3</v>
      </c>
    </row>
    <row r="1664" spans="1:25" x14ac:dyDescent="0.25">
      <c r="A1664" s="1083"/>
      <c r="B1664" s="1455">
        <v>1414</v>
      </c>
      <c r="C1664" s="1087">
        <v>1.0235796955437444</v>
      </c>
      <c r="D1664" s="1087">
        <v>0.98956953204368447</v>
      </c>
      <c r="E1664" s="1087">
        <v>1.0024392507658519</v>
      </c>
      <c r="F1664" s="1087">
        <v>1.0420883056708683</v>
      </c>
      <c r="G1664" s="1087">
        <v>1.0055347433330797</v>
      </c>
      <c r="H1664" s="1087">
        <v>0.97526967196884895</v>
      </c>
      <c r="I1664" s="1087">
        <v>0.98851353745384518</v>
      </c>
      <c r="K1664">
        <v>1.8332811431524951</v>
      </c>
      <c r="L1664">
        <v>0</v>
      </c>
      <c r="M1664">
        <v>3.4666774426902348E-3</v>
      </c>
      <c r="N1664">
        <v>0.33161239133039583</v>
      </c>
      <c r="O1664">
        <v>0.24181563130091746</v>
      </c>
      <c r="P1664">
        <v>1.3278165119321681E-2</v>
      </c>
      <c r="Q1664">
        <v>1.5577639904931573E-3</v>
      </c>
      <c r="R1664">
        <v>3.4605763382092969E-3</v>
      </c>
      <c r="S1664">
        <v>0.35033525124761677</v>
      </c>
      <c r="T1664">
        <v>0.41965783844421067</v>
      </c>
      <c r="U1664">
        <v>0</v>
      </c>
      <c r="V1664">
        <v>0.20139731907930924</v>
      </c>
      <c r="W1664">
        <v>0.21090815976040828</v>
      </c>
      <c r="X1664">
        <v>5.3306175970379198E-2</v>
      </c>
      <c r="Y1664">
        <v>9.4185480139224054E-3</v>
      </c>
    </row>
    <row r="1665" spans="1:25" x14ac:dyDescent="0.25">
      <c r="A1665" s="1083"/>
      <c r="B1665" s="1455">
        <v>1415</v>
      </c>
      <c r="C1665" s="1087">
        <v>0.99913377828981909</v>
      </c>
      <c r="D1665" s="1087">
        <v>0.98252569844626692</v>
      </c>
      <c r="E1665" s="1087">
        <v>0.9850424207954056</v>
      </c>
      <c r="F1665" s="1087">
        <v>0.98206571271766929</v>
      </c>
      <c r="G1665" s="1087">
        <v>1.0286366513428333</v>
      </c>
      <c r="H1665" s="1087">
        <v>1.0250591674806544</v>
      </c>
      <c r="I1665" s="1087">
        <v>1.0206538309100943</v>
      </c>
      <c r="K1665">
        <v>1.8696529073615464</v>
      </c>
      <c r="L1665">
        <v>0</v>
      </c>
      <c r="M1665">
        <v>3.8836734986526411E-3</v>
      </c>
      <c r="N1665">
        <v>0.35231486130484341</v>
      </c>
      <c r="O1665">
        <v>0.23821643178502566</v>
      </c>
      <c r="P1665">
        <v>1.3164498029109011E-2</v>
      </c>
      <c r="Q1665">
        <v>1.5709547937149439E-3</v>
      </c>
      <c r="R1665">
        <v>3.8771783825149388E-3</v>
      </c>
      <c r="S1665">
        <v>0.3811927696388015</v>
      </c>
      <c r="T1665">
        <v>0.39538317256333078</v>
      </c>
      <c r="U1665">
        <v>0</v>
      </c>
      <c r="V1665">
        <v>0.19913514407925223</v>
      </c>
      <c r="W1665">
        <v>0.22653571716846829</v>
      </c>
      <c r="X1665">
        <v>5.1593451669441584E-2</v>
      </c>
      <c r="Y1665">
        <v>1.0552401445695367E-2</v>
      </c>
    </row>
    <row r="1666" spans="1:25" x14ac:dyDescent="0.25">
      <c r="A1666" s="1083"/>
      <c r="B1666" s="1455">
        <v>1416</v>
      </c>
      <c r="C1666" s="1087">
        <v>0.99669146671539399</v>
      </c>
      <c r="D1666" s="1087">
        <v>0.98772439181952998</v>
      </c>
      <c r="E1666" s="1087">
        <v>1.0008685536967976</v>
      </c>
      <c r="F1666" s="1087">
        <v>0.99341342801357668</v>
      </c>
      <c r="G1666" s="1087">
        <v>1.0095921563436474</v>
      </c>
      <c r="H1666" s="1087">
        <v>0.98107664453096688</v>
      </c>
      <c r="I1666" s="1087">
        <v>0.98169542869067927</v>
      </c>
      <c r="K1666">
        <v>1.8365406536095175</v>
      </c>
      <c r="L1666">
        <v>0</v>
      </c>
      <c r="M1666">
        <v>3.5975764268953874E-3</v>
      </c>
      <c r="N1666">
        <v>0.34249232754342868</v>
      </c>
      <c r="O1666">
        <v>0.23959374064599165</v>
      </c>
      <c r="P1666">
        <v>1.3093624372154632E-2</v>
      </c>
      <c r="Q1666">
        <v>1.5983082492126788E-3</v>
      </c>
      <c r="R1666">
        <v>3.5912858668526101E-3</v>
      </c>
      <c r="S1666">
        <v>0.35875175504387691</v>
      </c>
      <c r="T1666">
        <v>0.40004658499478329</v>
      </c>
      <c r="U1666">
        <v>0</v>
      </c>
      <c r="V1666">
        <v>0.20020876073320334</v>
      </c>
      <c r="W1666">
        <v>0.21804150382715598</v>
      </c>
      <c r="X1666">
        <v>5.2946042497248373E-2</v>
      </c>
      <c r="Y1666">
        <v>9.7742962625049674E-3</v>
      </c>
    </row>
    <row r="1667" spans="1:25" x14ac:dyDescent="0.25">
      <c r="A1667" s="1083"/>
      <c r="B1667" s="1455">
        <v>1417</v>
      </c>
      <c r="C1667" s="1087">
        <v>0.98981395125444971</v>
      </c>
      <c r="D1667" s="1087">
        <v>1.0029445290357977</v>
      </c>
      <c r="E1667" s="1087">
        <v>1.0305158542551842</v>
      </c>
      <c r="F1667" s="1087">
        <v>0.96381853255870709</v>
      </c>
      <c r="G1667" s="1087">
        <v>0.97301172496826638</v>
      </c>
      <c r="H1667" s="1087">
        <v>0.97262395192371653</v>
      </c>
      <c r="I1667" s="1087">
        <v>1.0010487874864651</v>
      </c>
      <c r="K1667">
        <v>1.832219952587395</v>
      </c>
      <c r="L1667">
        <v>0</v>
      </c>
      <c r="M1667">
        <v>3.3513042336490734E-3</v>
      </c>
      <c r="N1667">
        <v>0.34921584949037265</v>
      </c>
      <c r="O1667">
        <v>0.23576977054551654</v>
      </c>
      <c r="P1667">
        <v>1.325735872437561E-2</v>
      </c>
      <c r="Q1667">
        <v>1.6505201770915879E-3</v>
      </c>
      <c r="R1667">
        <v>3.3453799138330564E-3</v>
      </c>
      <c r="S1667">
        <v>0.36402580471126378</v>
      </c>
      <c r="T1667">
        <v>0.38830379750056293</v>
      </c>
      <c r="U1667">
        <v>0</v>
      </c>
      <c r="V1667">
        <v>0.19773431826206378</v>
      </c>
      <c r="W1667">
        <v>0.21828871203083777</v>
      </c>
      <c r="X1667">
        <v>5.4874724143863227E-2</v>
      </c>
      <c r="Y1667">
        <v>9.1050213212613713E-3</v>
      </c>
    </row>
    <row r="1668" spans="1:25" x14ac:dyDescent="0.25">
      <c r="A1668" s="1083"/>
      <c r="B1668" s="1455">
        <v>1418</v>
      </c>
      <c r="C1668" s="1087">
        <v>1.0089054867086955</v>
      </c>
      <c r="D1668" s="1087">
        <v>0.96411103666783882</v>
      </c>
      <c r="E1668" s="1087">
        <v>1.0069881807650989</v>
      </c>
      <c r="F1668" s="1087">
        <v>0.96726882127383829</v>
      </c>
      <c r="G1668" s="1087">
        <v>0.97401997187260925</v>
      </c>
      <c r="H1668" s="1087">
        <v>0.99917430195753665</v>
      </c>
      <c r="I1668" s="1087">
        <v>0.9868815383268057</v>
      </c>
      <c r="K1668">
        <v>1.8408875943759546</v>
      </c>
      <c r="L1668">
        <v>0</v>
      </c>
      <c r="M1668">
        <v>3.6206227133980186E-3</v>
      </c>
      <c r="N1668">
        <v>0.35119508271510097</v>
      </c>
      <c r="O1668">
        <v>0.23739144933131592</v>
      </c>
      <c r="P1668">
        <v>1.3055357403671719E-2</v>
      </c>
      <c r="Q1668">
        <v>1.604724743803142E-3</v>
      </c>
      <c r="R1668">
        <v>3.6144259735720447E-3</v>
      </c>
      <c r="S1668">
        <v>0.36440060418601089</v>
      </c>
      <c r="T1668">
        <v>0.38955414435630559</v>
      </c>
      <c r="U1668">
        <v>0</v>
      </c>
      <c r="V1668">
        <v>0.19791088299527032</v>
      </c>
      <c r="W1668">
        <v>0.22273119147990159</v>
      </c>
      <c r="X1668">
        <v>5.3213077899537158E-2</v>
      </c>
      <c r="Y1668">
        <v>9.8372760048611382E-3</v>
      </c>
    </row>
    <row r="1669" spans="1:25" x14ac:dyDescent="0.25">
      <c r="A1669" s="1083"/>
      <c r="B1669" s="1455">
        <v>1419</v>
      </c>
      <c r="C1669" s="1087">
        <v>1.0308242367989029</v>
      </c>
      <c r="D1669" s="1087">
        <v>0.98023962357992245</v>
      </c>
      <c r="E1669" s="1087">
        <v>1.0305036988629783</v>
      </c>
      <c r="F1669" s="1087">
        <v>1.0264487616684028</v>
      </c>
      <c r="G1669" s="1087">
        <v>0.97615987857982733</v>
      </c>
      <c r="H1669" s="1087">
        <v>1.0099567028958409</v>
      </c>
      <c r="I1669" s="1087">
        <v>0.9927345555652286</v>
      </c>
      <c r="K1669">
        <v>1.8649048166947368</v>
      </c>
      <c r="L1669">
        <v>0</v>
      </c>
      <c r="M1669">
        <v>3.3831278725053072E-3</v>
      </c>
      <c r="N1669">
        <v>0.35254391540078939</v>
      </c>
      <c r="O1669">
        <v>0.24055391602239395</v>
      </c>
      <c r="P1669">
        <v>1.3552395861760545E-2</v>
      </c>
      <c r="Q1669">
        <v>1.5994184957994803E-3</v>
      </c>
      <c r="R1669">
        <v>3.3773867586730541E-3</v>
      </c>
      <c r="S1669">
        <v>0.3576646468256181</v>
      </c>
      <c r="T1669">
        <v>0.41353622514510935</v>
      </c>
      <c r="U1669">
        <v>0</v>
      </c>
      <c r="V1669">
        <v>0.20001869440540138</v>
      </c>
      <c r="W1669">
        <v>0.22037066361420579</v>
      </c>
      <c r="X1669">
        <v>5.5878548635628793E-2</v>
      </c>
      <c r="Y1669">
        <v>9.1921334018622795E-3</v>
      </c>
    </row>
    <row r="1670" spans="1:25" x14ac:dyDescent="0.25">
      <c r="A1670" s="1083"/>
      <c r="B1670" s="1455">
        <v>1420</v>
      </c>
      <c r="C1670" s="1087">
        <v>0.99860463903666585</v>
      </c>
      <c r="D1670" s="1087">
        <v>0.99852945210251032</v>
      </c>
      <c r="E1670" s="1087">
        <v>0.97197172042149593</v>
      </c>
      <c r="F1670" s="1087">
        <v>1.0272468341208081</v>
      </c>
      <c r="G1670" s="1087">
        <v>0.99679955293158395</v>
      </c>
      <c r="H1670" s="1087">
        <v>0.98469010450549266</v>
      </c>
      <c r="I1670" s="1087">
        <v>1.0006805857456214</v>
      </c>
      <c r="K1670">
        <v>1.8423303865595746</v>
      </c>
      <c r="L1670">
        <v>0</v>
      </c>
      <c r="M1670">
        <v>3.8004184214875418E-3</v>
      </c>
      <c r="N1670">
        <v>0.33123629722992154</v>
      </c>
      <c r="O1670">
        <v>0.24183260626922745</v>
      </c>
      <c r="P1670">
        <v>1.3075133324171836E-2</v>
      </c>
      <c r="Q1670">
        <v>1.5398215536951132E-3</v>
      </c>
      <c r="R1670">
        <v>3.7937873743482679E-3</v>
      </c>
      <c r="S1670">
        <v>0.36312103052079958</v>
      </c>
      <c r="T1670">
        <v>0.41349315816908389</v>
      </c>
      <c r="U1670">
        <v>0</v>
      </c>
      <c r="V1670">
        <v>0.20215341930231689</v>
      </c>
      <c r="W1670">
        <v>0.21475755165540097</v>
      </c>
      <c r="X1670">
        <v>5.0802560970789945E-2</v>
      </c>
      <c r="Y1670">
        <v>1.0325438611304145E-2</v>
      </c>
    </row>
    <row r="1671" spans="1:25" x14ac:dyDescent="0.25">
      <c r="A1671" s="1083"/>
      <c r="B1671" s="1455">
        <v>1421</v>
      </c>
      <c r="C1671" s="1087">
        <v>1.0239027696682974</v>
      </c>
      <c r="D1671" s="1087">
        <v>0.99483177332757988</v>
      </c>
      <c r="E1671" s="1087">
        <v>1.0203230617710182</v>
      </c>
      <c r="F1671" s="1087">
        <v>0.98564907407914437</v>
      </c>
      <c r="G1671" s="1087">
        <v>1.0298728749134716</v>
      </c>
      <c r="H1671" s="1087">
        <v>0.99277436471912062</v>
      </c>
      <c r="I1671" s="1087">
        <v>1.0012834781990512</v>
      </c>
      <c r="K1671">
        <v>1.8214150648194583</v>
      </c>
      <c r="L1671">
        <v>0</v>
      </c>
      <c r="M1671">
        <v>3.3919667847780383E-3</v>
      </c>
      <c r="N1671">
        <v>0.3426607672384599</v>
      </c>
      <c r="O1671">
        <v>0.23501676952338957</v>
      </c>
      <c r="P1671">
        <v>1.3165493427876958E-2</v>
      </c>
      <c r="Q1671">
        <v>1.5836930091522093E-3</v>
      </c>
      <c r="R1671">
        <v>3.3860995340396541E-3</v>
      </c>
      <c r="S1671">
        <v>0.35706555692828024</v>
      </c>
      <c r="T1671">
        <v>0.39703694237356751</v>
      </c>
      <c r="U1671">
        <v>0</v>
      </c>
      <c r="V1671">
        <v>0.19641482798930987</v>
      </c>
      <c r="W1671">
        <v>0.21553379858226909</v>
      </c>
      <c r="X1671">
        <v>5.3727236293645356E-2</v>
      </c>
      <c r="Y1671">
        <v>9.2158467042445357E-3</v>
      </c>
    </row>
    <row r="1672" spans="1:25" x14ac:dyDescent="0.25">
      <c r="A1672" s="1083"/>
      <c r="B1672" s="1455">
        <v>1422</v>
      </c>
      <c r="C1672" s="1087">
        <v>0.98477958696403245</v>
      </c>
      <c r="D1672" s="1087">
        <v>1.0308818861367035</v>
      </c>
      <c r="E1672" s="1087">
        <v>0.99880103484149441</v>
      </c>
      <c r="F1672" s="1087">
        <v>1.0000546226036531</v>
      </c>
      <c r="G1672" s="1087">
        <v>1.0015320028614243</v>
      </c>
      <c r="H1672" s="1087">
        <v>1.0456935734820187</v>
      </c>
      <c r="I1672" s="1087">
        <v>0.96615450892668775</v>
      </c>
      <c r="K1672">
        <v>1.8682043122860772</v>
      </c>
      <c r="L1672">
        <v>0</v>
      </c>
      <c r="M1672">
        <v>3.8085631169845367E-3</v>
      </c>
      <c r="N1672">
        <v>0.3603334205026783</v>
      </c>
      <c r="O1672">
        <v>0.23756717601050112</v>
      </c>
      <c r="P1672">
        <v>1.3125136640101762E-2</v>
      </c>
      <c r="Q1672">
        <v>1.586704728714083E-3</v>
      </c>
      <c r="R1672">
        <v>3.8022779267744456E-3</v>
      </c>
      <c r="S1672">
        <v>0.36028887388546127</v>
      </c>
      <c r="T1672">
        <v>0.40270846069086991</v>
      </c>
      <c r="U1672">
        <v>0</v>
      </c>
      <c r="V1672">
        <v>0.19980103278141145</v>
      </c>
      <c r="W1672">
        <v>0.22969628516564519</v>
      </c>
      <c r="X1672">
        <v>5.2754959974806122E-2</v>
      </c>
      <c r="Y1672">
        <v>1.0348547096098342E-2</v>
      </c>
    </row>
    <row r="1673" spans="1:25" x14ac:dyDescent="0.25">
      <c r="A1673" s="1083"/>
      <c r="B1673" s="1455">
        <v>1423</v>
      </c>
      <c r="C1673" s="1087">
        <v>1.0045401956465099</v>
      </c>
      <c r="D1673" s="1087">
        <v>0.97506147367165052</v>
      </c>
      <c r="E1673" s="1087">
        <v>0.95705794440106873</v>
      </c>
      <c r="F1673" s="1087">
        <v>0.96843612235519094</v>
      </c>
      <c r="G1673" s="1087">
        <v>1.002729648429648</v>
      </c>
      <c r="H1673" s="1087">
        <v>1.0213380367620812</v>
      </c>
      <c r="I1673" s="1087">
        <v>0.98668853512167209</v>
      </c>
      <c r="K1673">
        <v>1.8281032492542395</v>
      </c>
      <c r="L1673">
        <v>0</v>
      </c>
      <c r="M1673">
        <v>4.0907229383295206E-3</v>
      </c>
      <c r="N1673">
        <v>0.34065837631649004</v>
      </c>
      <c r="O1673">
        <v>0.23625121589959397</v>
      </c>
      <c r="P1673">
        <v>1.2603970141411699E-2</v>
      </c>
      <c r="Q1673">
        <v>1.520540858792261E-3</v>
      </c>
      <c r="R1673">
        <v>4.0838631060276633E-3</v>
      </c>
      <c r="S1673">
        <v>0.36706268354755045</v>
      </c>
      <c r="T1673">
        <v>0.38973508350884689</v>
      </c>
      <c r="U1673">
        <v>0</v>
      </c>
      <c r="V1673">
        <v>0.19759214336396594</v>
      </c>
      <c r="W1673">
        <v>0.22299058120725915</v>
      </c>
      <c r="X1673">
        <v>4.858058511313245E-2</v>
      </c>
      <c r="Y1673">
        <v>1.1114929129496206E-2</v>
      </c>
    </row>
    <row r="1674" spans="1:25" x14ac:dyDescent="0.25">
      <c r="A1674" s="1083"/>
      <c r="B1674" s="1455">
        <v>1424</v>
      </c>
      <c r="C1674" s="1087">
        <v>1.0351257822700319</v>
      </c>
      <c r="D1674" s="1087">
        <v>0.99329040050866713</v>
      </c>
      <c r="E1674" s="1087">
        <v>1.0372604284281381</v>
      </c>
      <c r="F1674" s="1087">
        <v>1.0230631646957173</v>
      </c>
      <c r="G1674" s="1087">
        <v>1.0130458799378577</v>
      </c>
      <c r="H1674" s="1087">
        <v>1.0138013038466507</v>
      </c>
      <c r="I1674" s="1087">
        <v>1.0047765661647532</v>
      </c>
      <c r="K1674">
        <v>1.859508350908792</v>
      </c>
      <c r="L1674">
        <v>0</v>
      </c>
      <c r="M1674">
        <v>3.3110027471280759E-3</v>
      </c>
      <c r="N1674">
        <v>0.35219931922885561</v>
      </c>
      <c r="O1674">
        <v>0.23840599816714153</v>
      </c>
      <c r="P1674">
        <v>1.3593604245842239E-2</v>
      </c>
      <c r="Q1674">
        <v>1.5956175780594114E-3</v>
      </c>
      <c r="R1674">
        <v>3.3053941217296777E-3</v>
      </c>
      <c r="S1674">
        <v>0.3585945113302621</v>
      </c>
      <c r="T1674">
        <v>0.41221510711974541</v>
      </c>
      <c r="U1674">
        <v>0</v>
      </c>
      <c r="V1674">
        <v>0.19861293332478508</v>
      </c>
      <c r="W1674">
        <v>0.21925097528916584</v>
      </c>
      <c r="X1674">
        <v>5.6049700073864055E-2</v>
      </c>
      <c r="Y1674">
        <v>8.9961931764688009E-3</v>
      </c>
    </row>
    <row r="1675" spans="1:25" x14ac:dyDescent="0.25">
      <c r="A1675" s="1083"/>
      <c r="B1675" s="1455">
        <v>1425</v>
      </c>
      <c r="C1675" s="1087">
        <v>1.0237164750792471</v>
      </c>
      <c r="D1675" s="1087">
        <v>1.0450014018870426</v>
      </c>
      <c r="E1675" s="1087">
        <v>1.0109064799368681</v>
      </c>
      <c r="F1675" s="1087">
        <v>1.0068377204791488</v>
      </c>
      <c r="G1675" s="1087">
        <v>1.0238172133765038</v>
      </c>
      <c r="H1675" s="1087">
        <v>1.0297368287854827</v>
      </c>
      <c r="I1675" s="1087">
        <v>0.98176093284457244</v>
      </c>
      <c r="K1675">
        <v>1.8165487213353058</v>
      </c>
      <c r="L1675">
        <v>0</v>
      </c>
      <c r="M1675">
        <v>3.4917413950153043E-3</v>
      </c>
      <c r="N1675">
        <v>0.34277615094574376</v>
      </c>
      <c r="O1675">
        <v>0.23242888705650824</v>
      </c>
      <c r="P1675">
        <v>1.303934770443519E-2</v>
      </c>
      <c r="Q1675">
        <v>1.5377309018108475E-3</v>
      </c>
      <c r="R1675">
        <v>3.4858752553722882E-3</v>
      </c>
      <c r="S1675">
        <v>0.34687699486349666</v>
      </c>
      <c r="T1675">
        <v>0.40551402668088676</v>
      </c>
      <c r="U1675">
        <v>0</v>
      </c>
      <c r="V1675">
        <v>0.19556072956913859</v>
      </c>
      <c r="W1675">
        <v>0.21686380711120254</v>
      </c>
      <c r="X1675">
        <v>5.2469509315070731E-2</v>
      </c>
      <c r="Y1675">
        <v>9.487403326654268E-3</v>
      </c>
    </row>
    <row r="1676" spans="1:25" x14ac:dyDescent="0.25">
      <c r="A1676" s="1083"/>
      <c r="B1676" s="1455">
        <v>1426</v>
      </c>
      <c r="C1676" s="1087">
        <v>0.95340061505955309</v>
      </c>
      <c r="D1676" s="1087">
        <v>0.99511278275520243</v>
      </c>
      <c r="E1676" s="1087">
        <v>0.99082916839033941</v>
      </c>
      <c r="F1676" s="1087">
        <v>0.98872457499762445</v>
      </c>
      <c r="G1676" s="1087">
        <v>1.0043773076001574</v>
      </c>
      <c r="H1676" s="1087">
        <v>1.0151628978809726</v>
      </c>
      <c r="I1676" s="1087">
        <v>0.99742475896010951</v>
      </c>
      <c r="K1676">
        <v>1.9098418535164132</v>
      </c>
      <c r="L1676">
        <v>0</v>
      </c>
      <c r="M1676">
        <v>3.9555219005146785E-3</v>
      </c>
      <c r="N1676">
        <v>0.36522430465094968</v>
      </c>
      <c r="O1676">
        <v>0.24349939808396454</v>
      </c>
      <c r="P1676">
        <v>1.3389313391104373E-2</v>
      </c>
      <c r="Q1676">
        <v>1.6481444955194398E-3</v>
      </c>
      <c r="R1676">
        <v>3.9488293319808153E-3</v>
      </c>
      <c r="S1676">
        <v>0.38580448232203574</v>
      </c>
      <c r="T1676">
        <v>0.39809842232799209</v>
      </c>
      <c r="U1676">
        <v>0</v>
      </c>
      <c r="V1676">
        <v>0.20415204809877918</v>
      </c>
      <c r="W1676">
        <v>0.23398110217029658</v>
      </c>
      <c r="X1676">
        <v>5.3303918833893633E-2</v>
      </c>
      <c r="Y1676">
        <v>1.074741171041234E-2</v>
      </c>
    </row>
    <row r="1677" spans="1:25" x14ac:dyDescent="0.25">
      <c r="A1677" s="1083"/>
      <c r="B1677" s="1455">
        <v>1427</v>
      </c>
      <c r="C1677" s="1087">
        <v>1.0061724038626607</v>
      </c>
      <c r="D1677" s="1087">
        <v>0.98312775089377968</v>
      </c>
      <c r="E1677" s="1087">
        <v>0.98755801519089492</v>
      </c>
      <c r="F1677" s="1087">
        <v>1.0224155493970082</v>
      </c>
      <c r="G1677" s="1087">
        <v>0.98954809808755528</v>
      </c>
      <c r="H1677" s="1087">
        <v>1.0394080676808426</v>
      </c>
      <c r="I1677" s="1087">
        <v>1.0106471302373403</v>
      </c>
      <c r="K1677">
        <v>1.8950070771179341</v>
      </c>
      <c r="L1677">
        <v>0</v>
      </c>
      <c r="M1677">
        <v>3.889563017755946E-3</v>
      </c>
      <c r="N1677">
        <v>0.35557928655556159</v>
      </c>
      <c r="O1677">
        <v>0.24214708106064151</v>
      </c>
      <c r="P1677">
        <v>1.3394517160644962E-2</v>
      </c>
      <c r="Q1677">
        <v>1.5637990801910966E-3</v>
      </c>
      <c r="R1677">
        <v>3.8831479415821464E-3</v>
      </c>
      <c r="S1677">
        <v>0.37737353708895854</v>
      </c>
      <c r="T1677">
        <v>0.41164359232257575</v>
      </c>
      <c r="U1677">
        <v>0</v>
      </c>
      <c r="V1677">
        <v>0.20186173976654301</v>
      </c>
      <c r="W1677">
        <v>0.228271908763376</v>
      </c>
      <c r="X1677">
        <v>5.2609381778001715E-2</v>
      </c>
      <c r="Y1677">
        <v>1.0568648617611691E-2</v>
      </c>
    </row>
    <row r="1678" spans="1:25" x14ac:dyDescent="0.25">
      <c r="A1678" s="1083"/>
      <c r="B1678" s="1455">
        <v>1428</v>
      </c>
      <c r="C1678" s="1087">
        <v>1.0159341964879489</v>
      </c>
      <c r="D1678" s="1087">
        <v>1.0211211582761592</v>
      </c>
      <c r="E1678" s="1087">
        <v>0.99088385933300649</v>
      </c>
      <c r="F1678" s="1087">
        <v>1.0031507226039529</v>
      </c>
      <c r="G1678" s="1087">
        <v>0.97547374102768158</v>
      </c>
      <c r="H1678" s="1087">
        <v>1.0253411288743306</v>
      </c>
      <c r="I1678" s="1087">
        <v>1.0190504033586634</v>
      </c>
      <c r="K1678">
        <v>1.8387244904867199</v>
      </c>
      <c r="L1678">
        <v>0</v>
      </c>
      <c r="M1678">
        <v>3.6971411717862811E-3</v>
      </c>
      <c r="N1678">
        <v>0.34142800860640016</v>
      </c>
      <c r="O1678">
        <v>0.23498319773189924</v>
      </c>
      <c r="P1678">
        <v>1.3112543024786325E-2</v>
      </c>
      <c r="Q1678">
        <v>1.5309061744941074E-3</v>
      </c>
      <c r="R1678">
        <v>3.6909257275787337E-3</v>
      </c>
      <c r="S1678">
        <v>0.36650700528337765</v>
      </c>
      <c r="T1678">
        <v>0.40390727271628446</v>
      </c>
      <c r="U1678">
        <v>0</v>
      </c>
      <c r="V1678">
        <v>0.19718027670099947</v>
      </c>
      <c r="W1678">
        <v>0.21872846905685281</v>
      </c>
      <c r="X1678">
        <v>5.1307543518704125E-2</v>
      </c>
      <c r="Y1678">
        <v>1.0045483117130213E-2</v>
      </c>
    </row>
    <row r="1679" spans="1:25" x14ac:dyDescent="0.25">
      <c r="A1679" s="1083"/>
      <c r="B1679" s="1455">
        <v>1429</v>
      </c>
      <c r="C1679" s="1087">
        <v>1.0207000637391919</v>
      </c>
      <c r="D1679" s="1087">
        <v>1.0103136140820226</v>
      </c>
      <c r="E1679" s="1087">
        <v>0.98125089539277111</v>
      </c>
      <c r="F1679" s="1087">
        <v>0.98550084923280257</v>
      </c>
      <c r="G1679" s="1087">
        <v>1.0036773380146151</v>
      </c>
      <c r="H1679" s="1087">
        <v>0.97351251547337381</v>
      </c>
      <c r="I1679" s="1087">
        <v>0.97659101258733738</v>
      </c>
      <c r="K1679">
        <v>1.7704574572479299</v>
      </c>
      <c r="L1679">
        <v>0</v>
      </c>
      <c r="M1679">
        <v>3.5841434004848936E-3</v>
      </c>
      <c r="N1679">
        <v>0.32136671669378991</v>
      </c>
      <c r="O1679">
        <v>0.23330999658806559</v>
      </c>
      <c r="P1679">
        <v>1.2579929219483192E-2</v>
      </c>
      <c r="Q1679">
        <v>1.5145173940065194E-3</v>
      </c>
      <c r="R1679">
        <v>3.5778072311165336E-3</v>
      </c>
      <c r="S1679">
        <v>0.34262920368124966</v>
      </c>
      <c r="T1679">
        <v>0.39674380448590968</v>
      </c>
      <c r="U1679">
        <v>0</v>
      </c>
      <c r="V1679">
        <v>0.19569564181255267</v>
      </c>
      <c r="W1679">
        <v>0.20713268173969063</v>
      </c>
      <c r="X1679">
        <v>4.9753689943289721E-2</v>
      </c>
      <c r="Y1679">
        <v>9.7376118592624444E-3</v>
      </c>
    </row>
    <row r="1680" spans="1:25" x14ac:dyDescent="0.25">
      <c r="A1680" s="1083"/>
      <c r="B1680" s="1455">
        <v>1430</v>
      </c>
      <c r="C1680" s="1087">
        <v>0.99601879023628914</v>
      </c>
      <c r="D1680" s="1087">
        <v>0.99523312049420487</v>
      </c>
      <c r="E1680" s="1087">
        <v>0.99969232585503109</v>
      </c>
      <c r="F1680" s="1087">
        <v>1.00829246101661</v>
      </c>
      <c r="G1680" s="1087">
        <v>0.9544629580831161</v>
      </c>
      <c r="H1680" s="1087">
        <v>0.98666434382360146</v>
      </c>
      <c r="I1680" s="1087">
        <v>0.97146461527603656</v>
      </c>
      <c r="K1680">
        <v>1.8415319685371698</v>
      </c>
      <c r="L1680">
        <v>0</v>
      </c>
      <c r="M1680">
        <v>3.6145660913595727E-3</v>
      </c>
      <c r="N1680">
        <v>0.34287961216890855</v>
      </c>
      <c r="O1680">
        <v>0.24067846612818317</v>
      </c>
      <c r="P1680">
        <v>1.3122174588157027E-2</v>
      </c>
      <c r="Q1680">
        <v>1.5925529619745995E-3</v>
      </c>
      <c r="R1680">
        <v>3.6082752045834693E-3</v>
      </c>
      <c r="S1680">
        <v>0.35474979788510291</v>
      </c>
      <c r="T1680">
        <v>0.40603116907072906</v>
      </c>
      <c r="U1680">
        <v>0</v>
      </c>
      <c r="V1680">
        <v>0.20116123570758809</v>
      </c>
      <c r="W1680">
        <v>0.21844851388250491</v>
      </c>
      <c r="X1680">
        <v>5.3054201391523101E-2</v>
      </c>
      <c r="Y1680">
        <v>9.8205356392746888E-3</v>
      </c>
    </row>
    <row r="1681" spans="1:25" x14ac:dyDescent="0.25">
      <c r="A1681" s="1083"/>
      <c r="B1681" s="1455">
        <v>1431</v>
      </c>
      <c r="C1681" s="1087">
        <v>0.98313652314092059</v>
      </c>
      <c r="D1681" s="1087">
        <v>1.0269606995557574</v>
      </c>
      <c r="E1681" s="1087">
        <v>1.0228465476854525</v>
      </c>
      <c r="F1681" s="1087">
        <v>0.98640439839926297</v>
      </c>
      <c r="G1681" s="1087">
        <v>1.0030010033357364</v>
      </c>
      <c r="H1681" s="1087">
        <v>1.0000608969651279</v>
      </c>
      <c r="I1681" s="1087">
        <v>0.97068089964839777</v>
      </c>
      <c r="K1681">
        <v>1.8446049940687956</v>
      </c>
      <c r="L1681">
        <v>0</v>
      </c>
      <c r="M1681">
        <v>3.4802536987484705E-3</v>
      </c>
      <c r="N1681">
        <v>0.35429507918382919</v>
      </c>
      <c r="O1681">
        <v>0.23689043317030276</v>
      </c>
      <c r="P1681">
        <v>1.3211389807455922E-2</v>
      </c>
      <c r="Q1681">
        <v>1.6328605595072945E-3</v>
      </c>
      <c r="R1681">
        <v>3.4742515243254214E-3</v>
      </c>
      <c r="S1681">
        <v>0.3555590141896437</v>
      </c>
      <c r="T1681">
        <v>0.39735651128288146</v>
      </c>
      <c r="U1681">
        <v>0</v>
      </c>
      <c r="V1681">
        <v>0.19915680652674148</v>
      </c>
      <c r="W1681">
        <v>0.22250632201801235</v>
      </c>
      <c r="X1681">
        <v>5.4546812142334963E-2</v>
      </c>
      <c r="Y1681">
        <v>9.4557673625066067E-3</v>
      </c>
    </row>
    <row r="1682" spans="1:25" x14ac:dyDescent="0.25">
      <c r="A1682" s="1083"/>
      <c r="B1682" s="1455">
        <v>1432</v>
      </c>
      <c r="C1682" s="1087">
        <v>1.0003137038064143</v>
      </c>
      <c r="D1682" s="1087">
        <v>1.0085614335467874</v>
      </c>
      <c r="E1682" s="1087">
        <v>1.0304934638875149</v>
      </c>
      <c r="F1682" s="1087">
        <v>1.0131575847924699</v>
      </c>
      <c r="G1682" s="1087">
        <v>1.0074040836807447</v>
      </c>
      <c r="H1682" s="1087">
        <v>1.0024584679942004</v>
      </c>
      <c r="I1682" s="1087">
        <v>0.97953102125866942</v>
      </c>
      <c r="K1682">
        <v>1.8625363402565425</v>
      </c>
      <c r="L1682">
        <v>0</v>
      </c>
      <c r="M1682">
        <v>3.4080948268858245E-3</v>
      </c>
      <c r="N1682">
        <v>0.3551276939793413</v>
      </c>
      <c r="O1682">
        <v>0.23983125256923116</v>
      </c>
      <c r="P1682">
        <v>1.3471676242390934E-2</v>
      </c>
      <c r="Q1682">
        <v>1.6295129362792304E-3</v>
      </c>
      <c r="R1682">
        <v>3.4022455032057539E-3</v>
      </c>
      <c r="S1682">
        <v>0.35667369819579431</v>
      </c>
      <c r="T1682">
        <v>0.40818140453954999</v>
      </c>
      <c r="U1682">
        <v>0</v>
      </c>
      <c r="V1682">
        <v>0.20058627626957992</v>
      </c>
      <c r="W1682">
        <v>0.22198713787738275</v>
      </c>
      <c r="X1682">
        <v>5.5793746260874855E-2</v>
      </c>
      <c r="Y1682">
        <v>9.2597907097973532E-3</v>
      </c>
    </row>
    <row r="1683" spans="1:25" x14ac:dyDescent="0.25">
      <c r="A1683" s="1083"/>
      <c r="B1683" s="1455">
        <v>1433</v>
      </c>
      <c r="C1683" s="1087">
        <v>0.99753507099813665</v>
      </c>
      <c r="D1683" s="1087">
        <v>0.96711589034363565</v>
      </c>
      <c r="E1683" s="1087">
        <v>0.99515997741505025</v>
      </c>
      <c r="F1683" s="1087">
        <v>1.0015708287812399</v>
      </c>
      <c r="G1683" s="1087">
        <v>0.97888498298831095</v>
      </c>
      <c r="H1683" s="1087">
        <v>1.0318531902779136</v>
      </c>
      <c r="I1683" s="1087">
        <v>1.0105887246452558</v>
      </c>
      <c r="K1683">
        <v>1.9026912134297238</v>
      </c>
      <c r="L1683">
        <v>0</v>
      </c>
      <c r="M1683">
        <v>3.8687198582742516E-3</v>
      </c>
      <c r="N1683">
        <v>0.36197684827344856</v>
      </c>
      <c r="O1683">
        <v>0.24247857844423704</v>
      </c>
      <c r="P1683">
        <v>1.3431950802410672E-2</v>
      </c>
      <c r="Q1683">
        <v>1.6007057928779983E-3</v>
      </c>
      <c r="R1683">
        <v>3.8623069578122681E-3</v>
      </c>
      <c r="S1683">
        <v>0.38277456636766477</v>
      </c>
      <c r="T1683">
        <v>0.40329696748600413</v>
      </c>
      <c r="U1683">
        <v>0</v>
      </c>
      <c r="V1683">
        <v>0.20191611578775301</v>
      </c>
      <c r="W1683">
        <v>0.23127063651474858</v>
      </c>
      <c r="X1683">
        <v>5.3439330531022344E-2</v>
      </c>
      <c r="Y1683">
        <v>1.0511926330018533E-2</v>
      </c>
    </row>
    <row r="1684" spans="1:25" x14ac:dyDescent="0.25">
      <c r="A1684" s="1083"/>
      <c r="B1684" s="1455">
        <v>1434</v>
      </c>
      <c r="C1684" s="1087">
        <v>0.98044116616520949</v>
      </c>
      <c r="D1684" s="1087">
        <v>1.0266355665429268</v>
      </c>
      <c r="E1684" s="1087">
        <v>0.99110578575496278</v>
      </c>
      <c r="F1684" s="1087">
        <v>0.9671982720155835</v>
      </c>
      <c r="G1684" s="1087">
        <v>1.0215505705746724</v>
      </c>
      <c r="H1684" s="1087">
        <v>0.99505965227417914</v>
      </c>
      <c r="I1684" s="1087">
        <v>0.98107400249012344</v>
      </c>
      <c r="K1684">
        <v>1.8181546711596464</v>
      </c>
      <c r="L1684">
        <v>0</v>
      </c>
      <c r="M1684">
        <v>3.7059644678572698E-3</v>
      </c>
      <c r="N1684">
        <v>0.34245694574273838</v>
      </c>
      <c r="O1684">
        <v>0.23449980813692756</v>
      </c>
      <c r="P1684">
        <v>1.2824673872180012E-2</v>
      </c>
      <c r="Q1684">
        <v>1.5832889656150679E-3</v>
      </c>
      <c r="R1684">
        <v>3.6995407903540282E-3</v>
      </c>
      <c r="S1684">
        <v>0.35915216509280368</v>
      </c>
      <c r="T1684">
        <v>0.38943271803896745</v>
      </c>
      <c r="U1684">
        <v>0</v>
      </c>
      <c r="V1684">
        <v>0.19760818673234096</v>
      </c>
      <c r="W1684">
        <v>0.21935700922554954</v>
      </c>
      <c r="X1684">
        <v>5.1177368551974599E-2</v>
      </c>
      <c r="Y1684">
        <v>1.0068930478049886E-2</v>
      </c>
    </row>
    <row r="1685" spans="1:25" x14ac:dyDescent="0.25">
      <c r="A1685" s="1083"/>
      <c r="B1685" s="1455">
        <v>1435</v>
      </c>
      <c r="C1685" s="1087">
        <v>1.0001100383441779</v>
      </c>
      <c r="D1685" s="1087">
        <v>1.0113541277607252</v>
      </c>
      <c r="E1685" s="1087">
        <v>1.0362613036878727</v>
      </c>
      <c r="F1685" s="1087">
        <v>1.0399802891459669</v>
      </c>
      <c r="G1685" s="1087">
        <v>1.0268082726207453</v>
      </c>
      <c r="H1685" s="1087">
        <v>1.0185089758747736</v>
      </c>
      <c r="I1685" s="1087">
        <v>1.0075129309893773</v>
      </c>
      <c r="K1685">
        <v>1.9037836719931343</v>
      </c>
      <c r="L1685">
        <v>0</v>
      </c>
      <c r="M1685">
        <v>3.4167994050949722E-3</v>
      </c>
      <c r="N1685">
        <v>0.36235097808839717</v>
      </c>
      <c r="O1685">
        <v>0.24272148513808592</v>
      </c>
      <c r="P1685">
        <v>1.3887618589015443E-2</v>
      </c>
      <c r="Q1685">
        <v>1.63790850529632E-3</v>
      </c>
      <c r="R1685">
        <v>3.4110242513529024E-3</v>
      </c>
      <c r="S1685">
        <v>0.369327585180864</v>
      </c>
      <c r="T1685">
        <v>0.41902493931202961</v>
      </c>
      <c r="U1685">
        <v>0</v>
      </c>
      <c r="V1685">
        <v>0.20275128984641957</v>
      </c>
      <c r="W1685">
        <v>0.22570761773184519</v>
      </c>
      <c r="X1685">
        <v>5.7096341186582536E-2</v>
      </c>
      <c r="Y1685">
        <v>9.283683568340341E-3</v>
      </c>
    </row>
    <row r="1686" spans="1:25" x14ac:dyDescent="0.25">
      <c r="A1686" s="1083"/>
      <c r="B1686" s="1455">
        <v>1436</v>
      </c>
      <c r="C1686" s="1087">
        <v>0.99612628729326791</v>
      </c>
      <c r="D1686" s="1087">
        <v>0.9967009772475679</v>
      </c>
      <c r="E1686" s="1087">
        <v>1.0275697907582475</v>
      </c>
      <c r="F1686" s="1087">
        <v>1.030068891902195</v>
      </c>
      <c r="G1686" s="1087">
        <v>0.9840065204689652</v>
      </c>
      <c r="H1686" s="1087">
        <v>0.96214437766855887</v>
      </c>
      <c r="I1686" s="1087">
        <v>0.96721485301389909</v>
      </c>
      <c r="K1686">
        <v>1.8489864145771906</v>
      </c>
      <c r="L1686">
        <v>0</v>
      </c>
      <c r="M1686">
        <v>3.3258260732048741E-3</v>
      </c>
      <c r="N1686">
        <v>0.34345968839113761</v>
      </c>
      <c r="O1686">
        <v>0.24346786213219226</v>
      </c>
      <c r="P1686">
        <v>1.3463686401470802E-2</v>
      </c>
      <c r="Q1686">
        <v>1.6390858270965616E-3</v>
      </c>
      <c r="R1686">
        <v>3.3198887410307932E-3</v>
      </c>
      <c r="S1686">
        <v>0.34884377699653896</v>
      </c>
      <c r="T1686">
        <v>0.41497602201273515</v>
      </c>
      <c r="U1686">
        <v>0</v>
      </c>
      <c r="V1686">
        <v>0.20310199659951053</v>
      </c>
      <c r="W1686">
        <v>0.2150776698489856</v>
      </c>
      <c r="X1686">
        <v>5.5926920947639652E-2</v>
      </c>
      <c r="Y1686">
        <v>9.0356427520564657E-3</v>
      </c>
    </row>
    <row r="1687" spans="1:25" x14ac:dyDescent="0.25">
      <c r="A1687" s="1083"/>
      <c r="B1687" s="1455">
        <v>1437</v>
      </c>
      <c r="C1687" s="1087">
        <v>1.0006228859651154</v>
      </c>
      <c r="D1687" s="1087">
        <v>1.0128485460984329</v>
      </c>
      <c r="E1687" s="1087">
        <v>1.0279699199189496</v>
      </c>
      <c r="F1687" s="1087">
        <v>0.98131107380990779</v>
      </c>
      <c r="G1687" s="1087">
        <v>0.97993598995715558</v>
      </c>
      <c r="H1687" s="1087">
        <v>1.0269068351073301</v>
      </c>
      <c r="I1687" s="1087">
        <v>0.98733181452953844</v>
      </c>
      <c r="K1687">
        <v>1.859366138794829</v>
      </c>
      <c r="L1687">
        <v>0</v>
      </c>
      <c r="M1687">
        <v>3.5003521300333881E-3</v>
      </c>
      <c r="N1687">
        <v>0.36196331147729577</v>
      </c>
      <c r="O1687">
        <v>0.23560190178413315</v>
      </c>
      <c r="P1687">
        <v>1.3312842113487501E-2</v>
      </c>
      <c r="Q1687">
        <v>1.6219458630125003E-3</v>
      </c>
      <c r="R1687">
        <v>3.4944841789315718E-3</v>
      </c>
      <c r="S1687">
        <v>0.36288768930010945</v>
      </c>
      <c r="T1687">
        <v>0.39533575592785752</v>
      </c>
      <c r="U1687">
        <v>0</v>
      </c>
      <c r="V1687">
        <v>0.19758355173680361</v>
      </c>
      <c r="W1687">
        <v>0.22660931772261428</v>
      </c>
      <c r="X1687">
        <v>5.4944856841962701E-2</v>
      </c>
      <c r="Y1687">
        <v>9.510833978651748E-3</v>
      </c>
    </row>
    <row r="1688" spans="1:25" x14ac:dyDescent="0.25">
      <c r="A1688" s="1083"/>
      <c r="B1688" s="1455">
        <v>1438</v>
      </c>
      <c r="C1688" s="1087">
        <v>0.97915697914946598</v>
      </c>
      <c r="D1688" s="1087">
        <v>1.0122762091674948</v>
      </c>
      <c r="E1688" s="1087">
        <v>1.0252523689364892</v>
      </c>
      <c r="F1688" s="1087">
        <v>0.96609192527824406</v>
      </c>
      <c r="G1688" s="1087">
        <v>0.99301922764895978</v>
      </c>
      <c r="H1688" s="1087">
        <v>0.96148191162188124</v>
      </c>
      <c r="I1688" s="1087">
        <v>1.0072244174480545</v>
      </c>
      <c r="K1688">
        <v>1.8309511967798202</v>
      </c>
      <c r="L1688">
        <v>0</v>
      </c>
      <c r="M1688">
        <v>3.3685918951568174E-3</v>
      </c>
      <c r="N1688">
        <v>0.34542747977543559</v>
      </c>
      <c r="O1688">
        <v>0.2363609784043984</v>
      </c>
      <c r="P1688">
        <v>1.3261588182539072E-2</v>
      </c>
      <c r="Q1688">
        <v>1.6531496248028698E-3</v>
      </c>
      <c r="R1688">
        <v>3.3625603739572147E-3</v>
      </c>
      <c r="S1688">
        <v>0.36624360175212439</v>
      </c>
      <c r="T1688">
        <v>0.38918829165185076</v>
      </c>
      <c r="U1688">
        <v>0</v>
      </c>
      <c r="V1688">
        <v>0.19857966057978815</v>
      </c>
      <c r="W1688">
        <v>0.21661720735416165</v>
      </c>
      <c r="X1688">
        <v>5.4473490105737828E-2</v>
      </c>
      <c r="Y1688">
        <v>9.1517808701821711E-3</v>
      </c>
    </row>
    <row r="1689" spans="1:25" x14ac:dyDescent="0.25">
      <c r="A1689" s="1083"/>
      <c r="B1689" s="1455">
        <v>1439</v>
      </c>
      <c r="C1689" s="1087">
        <v>0.99509259186719501</v>
      </c>
      <c r="D1689" s="1087">
        <v>0.99338434433404188</v>
      </c>
      <c r="E1689" s="1087">
        <v>0.98208749274598228</v>
      </c>
      <c r="F1689" s="1087">
        <v>0.99951764057861081</v>
      </c>
      <c r="G1689" s="1087">
        <v>1.0169482711073847</v>
      </c>
      <c r="H1689" s="1087">
        <v>0.98360415052892813</v>
      </c>
      <c r="I1689" s="1087">
        <v>0.98924603688638357</v>
      </c>
      <c r="K1689">
        <v>1.832916864998694</v>
      </c>
      <c r="L1689">
        <v>0</v>
      </c>
      <c r="M1689">
        <v>3.7424772352586048E-3</v>
      </c>
      <c r="N1689">
        <v>0.33642998629259002</v>
      </c>
      <c r="O1689">
        <v>0.23967806122869864</v>
      </c>
      <c r="P1689">
        <v>1.297850822144913E-2</v>
      </c>
      <c r="Q1689">
        <v>1.565436019780141E-3</v>
      </c>
      <c r="R1689">
        <v>3.7359450884201823E-3</v>
      </c>
      <c r="S1689">
        <v>0.36119672511325063</v>
      </c>
      <c r="T1689">
        <v>0.40239169663318097</v>
      </c>
      <c r="U1689">
        <v>0</v>
      </c>
      <c r="V1689">
        <v>0.20049354787018814</v>
      </c>
      <c r="W1689">
        <v>0.21672661846830082</v>
      </c>
      <c r="X1689">
        <v>5.1294806321381954E-2</v>
      </c>
      <c r="Y1689">
        <v>1.0168010976712327E-2</v>
      </c>
    </row>
    <row r="1690" spans="1:25" x14ac:dyDescent="0.25">
      <c r="A1690" s="1083"/>
      <c r="B1690" s="1455">
        <v>1440</v>
      </c>
      <c r="C1690" s="1087">
        <v>0.99527679877917175</v>
      </c>
      <c r="D1690" s="1087">
        <v>0.98065704152840427</v>
      </c>
      <c r="E1690" s="1087">
        <v>0.98607200777378035</v>
      </c>
      <c r="F1690" s="1087">
        <v>1.0080918129207295</v>
      </c>
      <c r="G1690" s="1087">
        <v>0.99223678700179596</v>
      </c>
      <c r="H1690" s="1087">
        <v>1.0301879591691157</v>
      </c>
      <c r="I1690" s="1087">
        <v>1.0068167414371363</v>
      </c>
      <c r="K1690">
        <v>1.8918027228042242</v>
      </c>
      <c r="L1690">
        <v>0</v>
      </c>
      <c r="M1690">
        <v>3.91447704721301E-3</v>
      </c>
      <c r="N1690">
        <v>0.35623114413840457</v>
      </c>
      <c r="O1690">
        <v>0.24201876270301786</v>
      </c>
      <c r="P1690">
        <v>1.3322586816459028E-2</v>
      </c>
      <c r="Q1690">
        <v>1.579989495954535E-3</v>
      </c>
      <c r="R1690">
        <v>3.9079654904837502E-3</v>
      </c>
      <c r="S1690">
        <v>0.37886561440385724</v>
      </c>
      <c r="T1690">
        <v>0.40586759748067158</v>
      </c>
      <c r="U1690">
        <v>0</v>
      </c>
      <c r="V1690">
        <v>0.20192892607689727</v>
      </c>
      <c r="W1690">
        <v>0.22890494026027675</v>
      </c>
      <c r="X1690">
        <v>5.2453479180794051E-2</v>
      </c>
      <c r="Y1690">
        <v>1.0636193804619058E-2</v>
      </c>
    </row>
    <row r="1691" spans="1:25" x14ac:dyDescent="0.25">
      <c r="A1691" s="1083"/>
      <c r="B1691" s="1455">
        <v>1441</v>
      </c>
      <c r="C1691" s="1087">
        <v>1.0026737456059505</v>
      </c>
      <c r="D1691" s="1087">
        <v>0.99127180913972623</v>
      </c>
      <c r="E1691" s="1087">
        <v>0.99721940005140475</v>
      </c>
      <c r="F1691" s="1087">
        <v>0.97135677074359528</v>
      </c>
      <c r="G1691" s="1087">
        <v>1.0035214726335855</v>
      </c>
      <c r="H1691" s="1087">
        <v>1.0401422139541037</v>
      </c>
      <c r="I1691" s="1087">
        <v>1.0357481844313035</v>
      </c>
      <c r="K1691">
        <v>1.8764626346801436</v>
      </c>
      <c r="L1691">
        <v>0</v>
      </c>
      <c r="M1691">
        <v>3.8120820226164483E-3</v>
      </c>
      <c r="N1691">
        <v>0.35892949130949103</v>
      </c>
      <c r="O1691">
        <v>0.23581569995425444</v>
      </c>
      <c r="P1691">
        <v>1.327767421951901E-2</v>
      </c>
      <c r="Q1691">
        <v>1.580335438314784E-3</v>
      </c>
      <c r="R1691">
        <v>3.8057911786858107E-3</v>
      </c>
      <c r="S1691">
        <v>0.38655783902089041</v>
      </c>
      <c r="T1691">
        <v>0.39114292846412774</v>
      </c>
      <c r="U1691">
        <v>0</v>
      </c>
      <c r="V1691">
        <v>0.19743407452666253</v>
      </c>
      <c r="W1691">
        <v>0.22902790544840138</v>
      </c>
      <c r="X1691">
        <v>5.2344868132753637E-2</v>
      </c>
      <c r="Y1691">
        <v>1.0358109009657899E-2</v>
      </c>
    </row>
    <row r="1692" spans="1:25" x14ac:dyDescent="0.25">
      <c r="A1692" s="1083"/>
      <c r="B1692" s="1455">
        <v>1442</v>
      </c>
      <c r="C1692" s="1087">
        <v>1.0227634367547467</v>
      </c>
      <c r="D1692" s="1087">
        <v>0.96567219843218155</v>
      </c>
      <c r="E1692" s="1087">
        <v>0.97348998498080563</v>
      </c>
      <c r="F1692" s="1087">
        <v>1.006301213697808</v>
      </c>
      <c r="G1692" s="1087">
        <v>1.0369263138132627</v>
      </c>
      <c r="H1692" s="1087">
        <v>1.0084403041232921</v>
      </c>
      <c r="I1692" s="1087">
        <v>0.97969511751042471</v>
      </c>
      <c r="K1692">
        <v>1.8344585433924145</v>
      </c>
      <c r="L1692">
        <v>0</v>
      </c>
      <c r="M1692">
        <v>3.8576723106239796E-3</v>
      </c>
      <c r="N1692">
        <v>0.33780761513533114</v>
      </c>
      <c r="O1692">
        <v>0.23985464854459426</v>
      </c>
      <c r="P1692">
        <v>1.287297378401674E-2</v>
      </c>
      <c r="Q1692">
        <v>1.5262084875237703E-3</v>
      </c>
      <c r="R1692">
        <v>3.851130920548433E-3</v>
      </c>
      <c r="S1692">
        <v>0.35784075840139984</v>
      </c>
      <c r="T1692">
        <v>0.40507108449662899</v>
      </c>
      <c r="U1692">
        <v>0</v>
      </c>
      <c r="V1692">
        <v>0.19960500596675446</v>
      </c>
      <c r="W1692">
        <v>0.21880608779985217</v>
      </c>
      <c r="X1692">
        <v>5.0599193325622932E-2</v>
      </c>
      <c r="Y1692">
        <v>1.0481508840766067E-2</v>
      </c>
    </row>
    <row r="1693" spans="1:25" x14ac:dyDescent="0.25">
      <c r="A1693" s="1083"/>
      <c r="B1693" s="1455">
        <v>1443</v>
      </c>
      <c r="C1693" s="1087">
        <v>1.0127250210634513</v>
      </c>
      <c r="D1693" s="1087">
        <v>0.97611333542733525</v>
      </c>
      <c r="E1693" s="1087">
        <v>1.0076229670503354</v>
      </c>
      <c r="F1693" s="1087">
        <v>0.99248250362069612</v>
      </c>
      <c r="G1693" s="1087">
        <v>0.98626554950934431</v>
      </c>
      <c r="H1693" s="1087">
        <v>0.98833488563787042</v>
      </c>
      <c r="I1693" s="1087">
        <v>1.0011895506118287</v>
      </c>
      <c r="K1693">
        <v>1.8415073615286233</v>
      </c>
      <c r="L1693">
        <v>0</v>
      </c>
      <c r="M1693">
        <v>3.5403588851635301E-3</v>
      </c>
      <c r="N1693">
        <v>0.34406778812359301</v>
      </c>
      <c r="O1693">
        <v>0.23882525634963123</v>
      </c>
      <c r="P1693">
        <v>1.3209470521252299E-2</v>
      </c>
      <c r="Q1693">
        <v>1.5918526785535154E-3</v>
      </c>
      <c r="R1693">
        <v>3.5342239727682444E-3</v>
      </c>
      <c r="S1693">
        <v>0.36384896408834211</v>
      </c>
      <c r="T1693">
        <v>0.3997124434275775</v>
      </c>
      <c r="U1693">
        <v>0</v>
      </c>
      <c r="V1693">
        <v>0.19908931001142741</v>
      </c>
      <c r="W1693">
        <v>0.21812493699952723</v>
      </c>
      <c r="X1693">
        <v>5.3424481643855729E-2</v>
      </c>
      <c r="Y1693">
        <v>9.6189925972556562E-3</v>
      </c>
    </row>
    <row r="1694" spans="1:25" x14ac:dyDescent="0.25">
      <c r="A1694" s="1083"/>
      <c r="B1694" s="1455">
        <v>1444</v>
      </c>
      <c r="C1694" s="1087">
        <v>1.0092291697517402</v>
      </c>
      <c r="D1694" s="1087">
        <v>0.98556835541909538</v>
      </c>
      <c r="E1694" s="1087">
        <v>1.01896476008805</v>
      </c>
      <c r="F1694" s="1087">
        <v>1.0013566292916838</v>
      </c>
      <c r="G1694" s="1087">
        <v>0.97611835879344933</v>
      </c>
      <c r="H1694" s="1087">
        <v>1.0057220692950668</v>
      </c>
      <c r="I1694" s="1087">
        <v>0.98951190398915578</v>
      </c>
      <c r="K1694">
        <v>1.8600989618265857</v>
      </c>
      <c r="L1694">
        <v>0</v>
      </c>
      <c r="M1694">
        <v>3.5137871698272313E-3</v>
      </c>
      <c r="N1694">
        <v>0.35350968685803547</v>
      </c>
      <c r="O1694">
        <v>0.23950769604894925</v>
      </c>
      <c r="P1694">
        <v>1.3357150696460728E-2</v>
      </c>
      <c r="Q1694">
        <v>1.6104336235564002E-3</v>
      </c>
      <c r="R1694">
        <v>3.5077956215222843E-3</v>
      </c>
      <c r="S1694">
        <v>0.36217584211269654</v>
      </c>
      <c r="T1694">
        <v>0.40335586930436546</v>
      </c>
      <c r="U1694">
        <v>0</v>
      </c>
      <c r="V1694">
        <v>0.19978284757193812</v>
      </c>
      <c r="W1694">
        <v>0.22254380529151743</v>
      </c>
      <c r="X1694">
        <v>5.4714558530103589E-2</v>
      </c>
      <c r="Y1694">
        <v>9.5470633372678002E-3</v>
      </c>
    </row>
    <row r="1695" spans="1:25" x14ac:dyDescent="0.25">
      <c r="A1695" s="1083"/>
      <c r="B1695" s="1455">
        <v>1445</v>
      </c>
      <c r="C1695" s="1087">
        <v>0.98042114924128576</v>
      </c>
      <c r="D1695" s="1087">
        <v>0.95920197901118998</v>
      </c>
      <c r="E1695" s="1087">
        <v>0.96853587845340483</v>
      </c>
      <c r="F1695" s="1087">
        <v>1.0130780085031701</v>
      </c>
      <c r="G1695" s="1087">
        <v>1.0046004189517528</v>
      </c>
      <c r="H1695" s="1087">
        <v>1.0207261062379269</v>
      </c>
      <c r="I1695" s="1087">
        <v>1.0114175438715174</v>
      </c>
      <c r="K1695">
        <v>1.9138325775934826</v>
      </c>
      <c r="L1695">
        <v>0</v>
      </c>
      <c r="M1695">
        <v>4.1292632545601301E-3</v>
      </c>
      <c r="N1695">
        <v>0.35616105180836616</v>
      </c>
      <c r="O1695">
        <v>0.24641264451454994</v>
      </c>
      <c r="P1695">
        <v>1.3349704851403753E-2</v>
      </c>
      <c r="Q1695">
        <v>1.5878770520499734E-3</v>
      </c>
      <c r="R1695">
        <v>4.1223516140287998E-3</v>
      </c>
      <c r="S1695">
        <v>0.38910093812861146</v>
      </c>
      <c r="T1695">
        <v>0.40776920643761244</v>
      </c>
      <c r="U1695">
        <v>0</v>
      </c>
      <c r="V1695">
        <v>0.20508012296403444</v>
      </c>
      <c r="W1695">
        <v>0.23142509957206772</v>
      </c>
      <c r="X1695">
        <v>5.1733161744772424E-2</v>
      </c>
      <c r="Y1695">
        <v>1.1219682160542048E-2</v>
      </c>
    </row>
    <row r="1696" spans="1:25" x14ac:dyDescent="0.25">
      <c r="A1696" s="1083"/>
      <c r="B1696" s="1455">
        <v>1446</v>
      </c>
      <c r="C1696" s="1087">
        <v>1.0011961281994213</v>
      </c>
      <c r="D1696" s="1087">
        <v>1.0092246633652491</v>
      </c>
      <c r="E1696" s="1087">
        <v>1.0250896614709815</v>
      </c>
      <c r="F1696" s="1087">
        <v>1.0051356806839546</v>
      </c>
      <c r="G1696" s="1087">
        <v>1.015516812853956</v>
      </c>
      <c r="H1696" s="1087">
        <v>1.0067790247876831</v>
      </c>
      <c r="I1696" s="1087">
        <v>1.0323565984241461</v>
      </c>
      <c r="K1696">
        <v>1.8758472605205374</v>
      </c>
      <c r="L1696">
        <v>0</v>
      </c>
      <c r="M1696">
        <v>3.4567717000163587E-3</v>
      </c>
      <c r="N1696">
        <v>0.35432302234273616</v>
      </c>
      <c r="O1696">
        <v>0.23864785598231525</v>
      </c>
      <c r="P1696">
        <v>1.3632916615722877E-2</v>
      </c>
      <c r="Q1696">
        <v>1.6184357702206129E-3</v>
      </c>
      <c r="R1696">
        <v>3.450863848174876E-3</v>
      </c>
      <c r="S1696">
        <v>0.37618515294233096</v>
      </c>
      <c r="T1696">
        <v>0.40491598573097665</v>
      </c>
      <c r="U1696">
        <v>0</v>
      </c>
      <c r="V1696">
        <v>0.19974045599285345</v>
      </c>
      <c r="W1696">
        <v>0.22221776051790898</v>
      </c>
      <c r="X1696">
        <v>5.5179468659545379E-2</v>
      </c>
      <c r="Y1696">
        <v>9.3921138177701941E-3</v>
      </c>
    </row>
    <row r="1697" spans="1:25" x14ac:dyDescent="0.25">
      <c r="A1697" s="1083"/>
      <c r="B1697" s="1455">
        <v>1447</v>
      </c>
      <c r="C1697" s="1087">
        <v>0.99329321469054566</v>
      </c>
      <c r="D1697" s="1087">
        <v>1.0254803395259535</v>
      </c>
      <c r="E1697" s="1087">
        <v>0.98191644606206541</v>
      </c>
      <c r="F1697" s="1087">
        <v>1.010268520307267</v>
      </c>
      <c r="G1697" s="1087">
        <v>1.0047437461880802</v>
      </c>
      <c r="H1697" s="1087">
        <v>1.0065305847495847</v>
      </c>
      <c r="I1697" s="1087">
        <v>0.9958820046675626</v>
      </c>
      <c r="K1697">
        <v>1.8398503830293702</v>
      </c>
      <c r="L1697">
        <v>0</v>
      </c>
      <c r="M1697">
        <v>3.7724268327641391E-3</v>
      </c>
      <c r="N1697">
        <v>0.33895598436453211</v>
      </c>
      <c r="O1697">
        <v>0.23798227262998897</v>
      </c>
      <c r="P1697">
        <v>1.3038476715191366E-2</v>
      </c>
      <c r="Q1697">
        <v>1.548165689072309E-3</v>
      </c>
      <c r="R1697">
        <v>3.7659633071993118E-3</v>
      </c>
      <c r="S1697">
        <v>0.36202758545225605</v>
      </c>
      <c r="T1697">
        <v>0.40671881559331158</v>
      </c>
      <c r="U1697">
        <v>0</v>
      </c>
      <c r="V1697">
        <v>0.19991633490245003</v>
      </c>
      <c r="W1697">
        <v>0.21837751092487609</v>
      </c>
      <c r="X1697">
        <v>5.1041989610529276E-2</v>
      </c>
      <c r="Y1697">
        <v>1.0249710672725959E-2</v>
      </c>
    </row>
    <row r="1698" spans="1:25" x14ac:dyDescent="0.25">
      <c r="A1698" s="1083"/>
      <c r="B1698" s="1455">
        <v>1448</v>
      </c>
      <c r="C1698" s="1087">
        <v>0.9844777270999755</v>
      </c>
      <c r="D1698" s="1087">
        <v>1.0004048426510543</v>
      </c>
      <c r="E1698" s="1087">
        <v>1.0032562175281894</v>
      </c>
      <c r="F1698" s="1087">
        <v>1.0040156973538954</v>
      </c>
      <c r="G1698" s="1087">
        <v>0.9965605344602354</v>
      </c>
      <c r="H1698" s="1087">
        <v>1.0046156472705543</v>
      </c>
      <c r="I1698" s="1087">
        <v>1.0068657179996376</v>
      </c>
      <c r="K1698">
        <v>1.8785199808739588</v>
      </c>
      <c r="L1698">
        <v>0</v>
      </c>
      <c r="M1698">
        <v>3.6861315789074914E-3</v>
      </c>
      <c r="N1698">
        <v>0.3535022320156655</v>
      </c>
      <c r="O1698">
        <v>0.24112302061019417</v>
      </c>
      <c r="P1698">
        <v>1.3409808476057562E-2</v>
      </c>
      <c r="Q1698">
        <v>1.6139986029611324E-3</v>
      </c>
      <c r="R1698">
        <v>3.6798262702062733E-3</v>
      </c>
      <c r="S1698">
        <v>0.37429491816344168</v>
      </c>
      <c r="T1698">
        <v>0.40433065479469499</v>
      </c>
      <c r="U1698">
        <v>0</v>
      </c>
      <c r="V1698">
        <v>0.20179509509090834</v>
      </c>
      <c r="W1698">
        <v>0.22471578323401478</v>
      </c>
      <c r="X1698">
        <v>5.3725501141623493E-2</v>
      </c>
      <c r="Y1698">
        <v>1.0015274053097517E-2</v>
      </c>
    </row>
    <row r="1699" spans="1:25" x14ac:dyDescent="0.25">
      <c r="A1699" s="1083"/>
      <c r="B1699" s="1455">
        <v>1449</v>
      </c>
      <c r="C1699" s="1087">
        <v>0.9948091823317754</v>
      </c>
      <c r="D1699" s="1087">
        <v>1.0336774991602331</v>
      </c>
      <c r="E1699" s="1087">
        <v>0.99548372985938205</v>
      </c>
      <c r="F1699" s="1087">
        <v>1.0260787768501969</v>
      </c>
      <c r="G1699" s="1087">
        <v>1.0017797947262486</v>
      </c>
      <c r="H1699" s="1087">
        <v>1.0086244230624686</v>
      </c>
      <c r="I1699" s="1087">
        <v>0.97563027862332663</v>
      </c>
      <c r="K1699">
        <v>1.8439243904383975</v>
      </c>
      <c r="L1699">
        <v>0</v>
      </c>
      <c r="M1699">
        <v>3.6549721685844015E-3</v>
      </c>
      <c r="N1699">
        <v>0.34229704549899259</v>
      </c>
      <c r="O1699">
        <v>0.23897550475771398</v>
      </c>
      <c r="P1699">
        <v>1.3149125164442738E-2</v>
      </c>
      <c r="Q1699">
        <v>1.563462519421783E-3</v>
      </c>
      <c r="R1699">
        <v>3.6487147836692575E-3</v>
      </c>
      <c r="S1699">
        <v>0.3530576749636033</v>
      </c>
      <c r="T1699">
        <v>0.41316745304537805</v>
      </c>
      <c r="U1699">
        <v>0</v>
      </c>
      <c r="V1699">
        <v>0.20072939082469979</v>
      </c>
      <c r="W1699">
        <v>0.21865262199531102</v>
      </c>
      <c r="X1699">
        <v>5.2407770211104668E-2</v>
      </c>
      <c r="Y1699">
        <v>9.9305988426425431E-3</v>
      </c>
    </row>
    <row r="1700" spans="1:25" x14ac:dyDescent="0.25">
      <c r="A1700" s="1083"/>
      <c r="B1700" s="1455">
        <v>1450</v>
      </c>
      <c r="C1700" s="1087">
        <v>0.98457548915709148</v>
      </c>
      <c r="D1700" s="1087">
        <v>0.99566660968062348</v>
      </c>
      <c r="E1700" s="1087">
        <v>0.95894746743826287</v>
      </c>
      <c r="F1700" s="1087">
        <v>0.99952325808367004</v>
      </c>
      <c r="G1700" s="1087">
        <v>1.0076458841478861</v>
      </c>
      <c r="H1700" s="1087">
        <v>1.0002794841269027</v>
      </c>
      <c r="I1700" s="1087">
        <v>0.98701814948115141</v>
      </c>
      <c r="K1700">
        <v>1.8432029528909659</v>
      </c>
      <c r="L1700">
        <v>0</v>
      </c>
      <c r="M1700">
        <v>4.0271368265813162E-3</v>
      </c>
      <c r="N1700">
        <v>0.33729504628935514</v>
      </c>
      <c r="O1700">
        <v>0.24040732922900523</v>
      </c>
      <c r="P1700">
        <v>1.2831252719319059E-2</v>
      </c>
      <c r="Q1700">
        <v>1.5416200042085619E-3</v>
      </c>
      <c r="R1700">
        <v>4.0202227884989523E-3</v>
      </c>
      <c r="S1700">
        <v>0.3665425991453175</v>
      </c>
      <c r="T1700">
        <v>0.40225680813500914</v>
      </c>
      <c r="U1700">
        <v>0</v>
      </c>
      <c r="V1700">
        <v>0.20138135161943155</v>
      </c>
      <c r="W1700">
        <v>0.22052007757948133</v>
      </c>
      <c r="X1700">
        <v>4.949206104371421E-2</v>
      </c>
      <c r="Y1700">
        <v>1.094172116420809E-2</v>
      </c>
    </row>
    <row r="1701" spans="1:25" x14ac:dyDescent="0.25">
      <c r="A1701" s="1083"/>
      <c r="B1701" s="1455">
        <v>1451</v>
      </c>
      <c r="C1701" s="1087">
        <v>0.99744922834963923</v>
      </c>
      <c r="D1701" s="1087">
        <v>1.0387852865196479</v>
      </c>
      <c r="E1701" s="1087">
        <v>1.0050122769437888</v>
      </c>
      <c r="F1701" s="1087">
        <v>1.0288048775042817</v>
      </c>
      <c r="G1701" s="1087">
        <v>1.0228838961798301</v>
      </c>
      <c r="H1701" s="1087">
        <v>0.97670848770966046</v>
      </c>
      <c r="I1701" s="1087">
        <v>1.0018152801204574</v>
      </c>
      <c r="K1701">
        <v>1.8297211873026851</v>
      </c>
      <c r="L1701">
        <v>0</v>
      </c>
      <c r="M1701">
        <v>3.4522211956099056E-3</v>
      </c>
      <c r="N1701">
        <v>0.33282888321957194</v>
      </c>
      <c r="O1701">
        <v>0.23858147671451624</v>
      </c>
      <c r="P1701">
        <v>1.328133886284253E-2</v>
      </c>
      <c r="Q1701">
        <v>1.5721326001307198E-3</v>
      </c>
      <c r="R1701">
        <v>3.4461128947455891E-3</v>
      </c>
      <c r="S1701">
        <v>0.35498540001776979</v>
      </c>
      <c r="T1701">
        <v>0.41432457064176659</v>
      </c>
      <c r="U1701">
        <v>0</v>
      </c>
      <c r="V1701">
        <v>0.20045584192597196</v>
      </c>
      <c r="W1701">
        <v>0.21134276456402831</v>
      </c>
      <c r="X1701">
        <v>5.2975703768263903E-2</v>
      </c>
      <c r="Y1701">
        <v>9.3791832886870492E-3</v>
      </c>
    </row>
    <row r="1702" spans="1:25" x14ac:dyDescent="0.25">
      <c r="A1702" s="1083"/>
      <c r="B1702" s="1455">
        <v>1452</v>
      </c>
      <c r="C1702" s="1087">
        <v>1.0177885023750275</v>
      </c>
      <c r="D1702" s="1087">
        <v>0.99714033919402056</v>
      </c>
      <c r="E1702" s="1087">
        <v>0.95109150386064523</v>
      </c>
      <c r="F1702" s="1087">
        <v>0.99432104436171564</v>
      </c>
      <c r="G1702" s="1087">
        <v>1.0031563719430647</v>
      </c>
      <c r="H1702" s="1087">
        <v>0.98323500464344404</v>
      </c>
      <c r="I1702" s="1087">
        <v>1.0125419158617566</v>
      </c>
      <c r="K1702">
        <v>1.7922799959997275</v>
      </c>
      <c r="L1702">
        <v>0</v>
      </c>
      <c r="M1702">
        <v>3.8875982623549081E-3</v>
      </c>
      <c r="N1702">
        <v>0.31785990808337217</v>
      </c>
      <c r="O1702">
        <v>0.2355383185051238</v>
      </c>
      <c r="P1702">
        <v>1.2588527676670701E-2</v>
      </c>
      <c r="Q1702">
        <v>1.4777137009144056E-3</v>
      </c>
      <c r="R1702">
        <v>3.8808063087757932E-3</v>
      </c>
      <c r="S1702">
        <v>0.36027807037637044</v>
      </c>
      <c r="T1702">
        <v>0.40011740857006484</v>
      </c>
      <c r="U1702">
        <v>0</v>
      </c>
      <c r="V1702">
        <v>0.19725881568581233</v>
      </c>
      <c r="W1702">
        <v>0.20887163016967686</v>
      </c>
      <c r="X1702">
        <v>4.7734119720269787E-2</v>
      </c>
      <c r="Y1702">
        <v>1.0562275465031846E-2</v>
      </c>
    </row>
    <row r="1703" spans="1:25" x14ac:dyDescent="0.25">
      <c r="A1703" s="1083"/>
      <c r="B1703" s="1455">
        <v>1453</v>
      </c>
      <c r="C1703" s="1087">
        <v>1.0102767567114503</v>
      </c>
      <c r="D1703" s="1087">
        <v>1.0060995289463071</v>
      </c>
      <c r="E1703" s="1087">
        <v>0.98466147029656037</v>
      </c>
      <c r="F1703" s="1087">
        <v>0.970932529716238</v>
      </c>
      <c r="G1703" s="1087">
        <v>0.97750192042451101</v>
      </c>
      <c r="H1703" s="1087">
        <v>1.0057702112280569</v>
      </c>
      <c r="I1703" s="1087">
        <v>1.0198813491294958</v>
      </c>
      <c r="K1703">
        <v>1.8174827862845324</v>
      </c>
      <c r="L1703">
        <v>0</v>
      </c>
      <c r="M1703">
        <v>3.7236758893358828E-3</v>
      </c>
      <c r="N1703">
        <v>0.33739472841500273</v>
      </c>
      <c r="O1703">
        <v>0.23326339853622916</v>
      </c>
      <c r="P1703">
        <v>1.2880415690153614E-2</v>
      </c>
      <c r="Q1703">
        <v>1.5383334180415762E-3</v>
      </c>
      <c r="R1703">
        <v>3.7173080953744261E-3</v>
      </c>
      <c r="S1703">
        <v>0.36827425992676033</v>
      </c>
      <c r="T1703">
        <v>0.39089869643003905</v>
      </c>
      <c r="U1703">
        <v>0</v>
      </c>
      <c r="V1703">
        <v>0.19575869018494471</v>
      </c>
      <c r="W1703">
        <v>0.21699442478140529</v>
      </c>
      <c r="X1703">
        <v>5.0368919470592195E-2</v>
      </c>
      <c r="Y1703">
        <v>1.0117287225324881E-2</v>
      </c>
    </row>
    <row r="1704" spans="1:25" x14ac:dyDescent="0.25">
      <c r="A1704" s="1083"/>
      <c r="B1704" s="1455">
        <v>1454</v>
      </c>
      <c r="C1704" s="1087">
        <v>0.96292605461241532</v>
      </c>
      <c r="D1704" s="1087">
        <v>0.99973180615825141</v>
      </c>
      <c r="E1704" s="1087">
        <v>0.98691460685176291</v>
      </c>
      <c r="F1704" s="1087">
        <v>0.99953405800139039</v>
      </c>
      <c r="G1704" s="1087">
        <v>0.97251608614280705</v>
      </c>
      <c r="H1704" s="1087">
        <v>0.99282093949709127</v>
      </c>
      <c r="I1704" s="1087">
        <v>0.9825589837104397</v>
      </c>
      <c r="K1704">
        <v>1.8754971398351081</v>
      </c>
      <c r="L1704">
        <v>0</v>
      </c>
      <c r="M1704">
        <v>3.8520390009206484E-3</v>
      </c>
      <c r="N1704">
        <v>0.35142878522300347</v>
      </c>
      <c r="O1704">
        <v>0.2431071491363383</v>
      </c>
      <c r="P1704">
        <v>1.3205453205887395E-2</v>
      </c>
      <c r="Q1704">
        <v>1.6220015639118134E-3</v>
      </c>
      <c r="R1704">
        <v>3.8453718192476938E-3</v>
      </c>
      <c r="S1704">
        <v>0.3711873989808353</v>
      </c>
      <c r="T1704">
        <v>0.40242721553875105</v>
      </c>
      <c r="U1704">
        <v>0</v>
      </c>
      <c r="V1704">
        <v>0.20375116429855145</v>
      </c>
      <c r="W1704">
        <v>0.22569899623337814</v>
      </c>
      <c r="X1704">
        <v>5.2609808370608829E-2</v>
      </c>
      <c r="Y1704">
        <v>1.0465834465512693E-2</v>
      </c>
    </row>
    <row r="1705" spans="1:25" x14ac:dyDescent="0.25">
      <c r="A1705" s="1083"/>
      <c r="B1705" s="1455">
        <v>1455</v>
      </c>
      <c r="C1705" s="1087">
        <v>1.0355167150435498</v>
      </c>
      <c r="D1705" s="1087">
        <v>1.0052822805725266</v>
      </c>
      <c r="E1705" s="1087">
        <v>1.0102271342345948</v>
      </c>
      <c r="F1705" s="1087">
        <v>0.97674395714205486</v>
      </c>
      <c r="G1705" s="1087">
        <v>1.0038770142276889</v>
      </c>
      <c r="H1705" s="1087">
        <v>0.98876991980724926</v>
      </c>
      <c r="I1705" s="1087">
        <v>1.0189047502811512</v>
      </c>
      <c r="K1705">
        <v>1.7932415832886652</v>
      </c>
      <c r="L1705">
        <v>0</v>
      </c>
      <c r="M1705">
        <v>3.3908634238534884E-3</v>
      </c>
      <c r="N1705">
        <v>0.33216457722682252</v>
      </c>
      <c r="O1705">
        <v>0.2314757759475507</v>
      </c>
      <c r="P1705">
        <v>1.2973330932986702E-2</v>
      </c>
      <c r="Q1705">
        <v>1.5428431832236742E-3</v>
      </c>
      <c r="R1705">
        <v>3.3849653390397526E-3</v>
      </c>
      <c r="S1705">
        <v>0.3563647474180473</v>
      </c>
      <c r="T1705">
        <v>0.39338941001147371</v>
      </c>
      <c r="U1705">
        <v>0</v>
      </c>
      <c r="V1705">
        <v>0.19386904595996712</v>
      </c>
      <c r="W1705">
        <v>0.21023871040755199</v>
      </c>
      <c r="X1705">
        <v>5.2016280486513307E-2</v>
      </c>
      <c r="Y1705">
        <v>9.2127597993420848E-3</v>
      </c>
    </row>
    <row r="1706" spans="1:25" x14ac:dyDescent="0.25">
      <c r="A1706" s="1083"/>
      <c r="B1706" s="1455">
        <v>1456</v>
      </c>
      <c r="C1706" s="1087">
        <v>1.0050345212704523</v>
      </c>
      <c r="D1706" s="1087">
        <v>1.0232299157414289</v>
      </c>
      <c r="E1706" s="1087">
        <v>1.0048320488828897</v>
      </c>
      <c r="F1706" s="1087">
        <v>1.0098586199124577</v>
      </c>
      <c r="G1706" s="1087">
        <v>0.96246535922069731</v>
      </c>
      <c r="H1706" s="1087">
        <v>1.0453915774705715</v>
      </c>
      <c r="I1706" s="1087">
        <v>1.0198748921996921</v>
      </c>
      <c r="K1706">
        <v>1.8778893842359257</v>
      </c>
      <c r="L1706">
        <v>0</v>
      </c>
      <c r="M1706">
        <v>3.6992224066102783E-3</v>
      </c>
      <c r="N1706">
        <v>0.35648913486080058</v>
      </c>
      <c r="O1706">
        <v>0.2370481426363448</v>
      </c>
      <c r="P1706">
        <v>1.3416161695942284E-2</v>
      </c>
      <c r="Q1706">
        <v>1.5694114763442216E-3</v>
      </c>
      <c r="R1706">
        <v>3.6931212595248198E-3</v>
      </c>
      <c r="S1706">
        <v>0.37417563078527261</v>
      </c>
      <c r="T1706">
        <v>0.40669334849474637</v>
      </c>
      <c r="U1706">
        <v>0</v>
      </c>
      <c r="V1706">
        <v>0.19886940962287014</v>
      </c>
      <c r="W1706">
        <v>0.2263921686841531</v>
      </c>
      <c r="X1706">
        <v>5.3190618495205462E-2</v>
      </c>
      <c r="Y1706">
        <v>1.0051458631330551E-2</v>
      </c>
    </row>
    <row r="1707" spans="1:25" x14ac:dyDescent="0.25">
      <c r="A1707" s="1083"/>
      <c r="B1707" s="1455">
        <v>1457</v>
      </c>
      <c r="C1707" s="1087">
        <v>0.99420698416351105</v>
      </c>
      <c r="D1707" s="1087">
        <v>1.0112511562465651</v>
      </c>
      <c r="E1707" s="1087">
        <v>1.0222166088880038</v>
      </c>
      <c r="F1707" s="1087">
        <v>0.99901049177884949</v>
      </c>
      <c r="G1707" s="1087">
        <v>1.0059672624988036</v>
      </c>
      <c r="H1707" s="1087">
        <v>0.97933985337768603</v>
      </c>
      <c r="I1707" s="1087">
        <v>1.0150500526346795</v>
      </c>
      <c r="K1707">
        <v>1.849705700870419</v>
      </c>
      <c r="L1707">
        <v>0</v>
      </c>
      <c r="M1707">
        <v>3.4026605050748084E-3</v>
      </c>
      <c r="N1707">
        <v>0.3457204599575896</v>
      </c>
      <c r="O1707">
        <v>0.23854049252253925</v>
      </c>
      <c r="P1707">
        <v>1.3443719631306444E-2</v>
      </c>
      <c r="Q1707">
        <v>1.623588188901218E-3</v>
      </c>
      <c r="R1707">
        <v>3.3966807263683995E-3</v>
      </c>
      <c r="S1707">
        <v>0.36698429844181041</v>
      </c>
      <c r="T1707">
        <v>0.4024307917222022</v>
      </c>
      <c r="U1707">
        <v>0</v>
      </c>
      <c r="V1707">
        <v>0.19984550874455539</v>
      </c>
      <c r="W1707">
        <v>0.2172052858362539</v>
      </c>
      <c r="X1707">
        <v>5.4672890382291117E-2</v>
      </c>
      <c r="Y1707">
        <v>9.244645221674265E-3</v>
      </c>
    </row>
    <row r="1708" spans="1:25" x14ac:dyDescent="0.25">
      <c r="A1708" s="1083"/>
      <c r="B1708" s="1455">
        <v>1458</v>
      </c>
      <c r="C1708" s="1087">
        <v>0.97893446086396663</v>
      </c>
      <c r="D1708" s="1087">
        <v>0.95976663367749182</v>
      </c>
      <c r="E1708" s="1087">
        <v>1.037284790836382</v>
      </c>
      <c r="F1708" s="1087">
        <v>0.98166100293404024</v>
      </c>
      <c r="G1708" s="1087">
        <v>1.0241899791416977</v>
      </c>
      <c r="H1708" s="1087">
        <v>1.0201539424199813</v>
      </c>
      <c r="I1708" s="1087">
        <v>1.0086280525599562</v>
      </c>
      <c r="K1708">
        <v>1.9336886282482608</v>
      </c>
      <c r="L1708">
        <v>0</v>
      </c>
      <c r="M1708">
        <v>3.5883641082472837E-3</v>
      </c>
      <c r="N1708">
        <v>0.38173826925810178</v>
      </c>
      <c r="O1708">
        <v>0.24365570608633338</v>
      </c>
      <c r="P1708">
        <v>1.3847701267862823E-2</v>
      </c>
      <c r="Q1708">
        <v>1.710580895831303E-3</v>
      </c>
      <c r="R1708">
        <v>3.5823518391108031E-3</v>
      </c>
      <c r="S1708">
        <v>0.38915022095540092</v>
      </c>
      <c r="T1708">
        <v>0.39553339572449098</v>
      </c>
      <c r="U1708">
        <v>0</v>
      </c>
      <c r="V1708">
        <v>0.20283690369719787</v>
      </c>
      <c r="W1708">
        <v>0.23763603251266593</v>
      </c>
      <c r="X1708">
        <v>5.7835849335416335E-2</v>
      </c>
      <c r="Y1708">
        <v>9.7499807840932227E-3</v>
      </c>
    </row>
    <row r="1709" spans="1:25" x14ac:dyDescent="0.25">
      <c r="A1709" s="1083"/>
      <c r="B1709" s="1455">
        <v>1459</v>
      </c>
      <c r="C1709" s="1087">
        <v>1.0079471306145698</v>
      </c>
      <c r="D1709" s="1087">
        <v>0.97309465592691802</v>
      </c>
      <c r="E1709" s="1087">
        <v>1.0358550261963262</v>
      </c>
      <c r="F1709" s="1087">
        <v>0.98385454453568966</v>
      </c>
      <c r="G1709" s="1087">
        <v>1.0170388154080552</v>
      </c>
      <c r="H1709" s="1087">
        <v>0.991537180001137</v>
      </c>
      <c r="I1709" s="1087">
        <v>1.0151895413578358</v>
      </c>
      <c r="K1709">
        <v>1.8672894248846597</v>
      </c>
      <c r="L1709">
        <v>0</v>
      </c>
      <c r="M1709">
        <v>3.3731904979525619E-3</v>
      </c>
      <c r="N1709">
        <v>0.35727115383634378</v>
      </c>
      <c r="O1709">
        <v>0.23905851394669653</v>
      </c>
      <c r="P1709">
        <v>1.3557328174073978E-2</v>
      </c>
      <c r="Q1709">
        <v>1.6497357204687756E-3</v>
      </c>
      <c r="R1709">
        <v>3.3673663048610315E-3</v>
      </c>
      <c r="S1709">
        <v>0.37223667833702573</v>
      </c>
      <c r="T1709">
        <v>0.39640848305655257</v>
      </c>
      <c r="U1709">
        <v>0</v>
      </c>
      <c r="V1709">
        <v>0.19916811775135224</v>
      </c>
      <c r="W1709">
        <v>0.2225984009963447</v>
      </c>
      <c r="X1709">
        <v>5.6181976229064061E-2</v>
      </c>
      <c r="Y1709">
        <v>9.1648610298276628E-3</v>
      </c>
    </row>
    <row r="1710" spans="1:25" x14ac:dyDescent="0.25">
      <c r="A1710" s="1083"/>
      <c r="B1710" s="1455">
        <v>1460</v>
      </c>
      <c r="C1710" s="1087">
        <v>1.008935357763914</v>
      </c>
      <c r="D1710" s="1087">
        <v>0.98303339937728274</v>
      </c>
      <c r="E1710" s="1087">
        <v>1.0088276459844165</v>
      </c>
      <c r="F1710" s="1087">
        <v>1.0092597536927375</v>
      </c>
      <c r="G1710" s="1087">
        <v>1.0058958326673244</v>
      </c>
      <c r="H1710" s="1087">
        <v>1.0119356849970653</v>
      </c>
      <c r="I1710" s="1087">
        <v>0.99509007679268657</v>
      </c>
      <c r="K1710">
        <v>1.8684697112322093</v>
      </c>
      <c r="L1710">
        <v>0</v>
      </c>
      <c r="M1710">
        <v>3.6158441544271035E-3</v>
      </c>
      <c r="N1710">
        <v>0.35271095660812041</v>
      </c>
      <c r="O1710">
        <v>0.2405899688129027</v>
      </c>
      <c r="P1710">
        <v>1.3362042943170123E-2</v>
      </c>
      <c r="Q1710">
        <v>1.5953610713845808E-3</v>
      </c>
      <c r="R1710">
        <v>3.6097187074244468E-3</v>
      </c>
      <c r="S1710">
        <v>0.36585212474310336</v>
      </c>
      <c r="T1710">
        <v>0.40647672362022153</v>
      </c>
      <c r="U1710">
        <v>0</v>
      </c>
      <c r="V1710">
        <v>0.20057362524575226</v>
      </c>
      <c r="W1710">
        <v>0.22343714342886015</v>
      </c>
      <c r="X1710">
        <v>5.4053425827536757E-2</v>
      </c>
      <c r="Y1710">
        <v>9.8244643781572466E-3</v>
      </c>
    </row>
    <row r="1711" spans="1:25" x14ac:dyDescent="0.25">
      <c r="A1711" s="1083"/>
      <c r="B1711" s="1455">
        <v>1461</v>
      </c>
      <c r="C1711" s="1087">
        <v>1.0245406574803959</v>
      </c>
      <c r="D1711" s="1087">
        <v>1.0139052719821231</v>
      </c>
      <c r="E1711" s="1087">
        <v>1.0055452687784063</v>
      </c>
      <c r="F1711" s="1087">
        <v>1.0187961755987391</v>
      </c>
      <c r="G1711" s="1087">
        <v>0.98979465571162817</v>
      </c>
      <c r="H1711" s="1087">
        <v>1.0009358715449077</v>
      </c>
      <c r="I1711" s="1087">
        <v>0.99536461762064476</v>
      </c>
      <c r="K1711">
        <v>1.8244261936776733</v>
      </c>
      <c r="L1711">
        <v>0</v>
      </c>
      <c r="M1711">
        <v>3.4858351387424048E-3</v>
      </c>
      <c r="N1711">
        <v>0.3366328726196739</v>
      </c>
      <c r="O1711">
        <v>0.23664225955114621</v>
      </c>
      <c r="P1711">
        <v>1.3160863523436241E-2</v>
      </c>
      <c r="Q1711">
        <v>1.5463511474646835E-3</v>
      </c>
      <c r="R1711">
        <v>3.4798369586188658E-3</v>
      </c>
      <c r="S1711">
        <v>0.35223826373370387</v>
      </c>
      <c r="T1711">
        <v>0.41029712716879879</v>
      </c>
      <c r="U1711">
        <v>0</v>
      </c>
      <c r="V1711">
        <v>0.19805368884972402</v>
      </c>
      <c r="W1711">
        <v>0.21368736373621705</v>
      </c>
      <c r="X1711">
        <v>5.2702432454214465E-2</v>
      </c>
      <c r="Y1711">
        <v>9.4709690734154413E-3</v>
      </c>
    </row>
    <row r="1712" spans="1:25" x14ac:dyDescent="0.25">
      <c r="A1712" s="1083"/>
      <c r="B1712" s="1455">
        <v>1462</v>
      </c>
      <c r="C1712" s="1087">
        <v>0.99520815277341268</v>
      </c>
      <c r="D1712" s="1087">
        <v>1.0139748085342073</v>
      </c>
      <c r="E1712" s="1087">
        <v>1.0160575917770827</v>
      </c>
      <c r="F1712" s="1087">
        <v>1.0110470026732157</v>
      </c>
      <c r="G1712" s="1087">
        <v>1.0339627002709733</v>
      </c>
      <c r="H1712" s="1087">
        <v>0.9835773368111087</v>
      </c>
      <c r="I1712" s="1087">
        <v>1.0193245277767589</v>
      </c>
      <c r="K1712">
        <v>1.8557170429850709</v>
      </c>
      <c r="L1712">
        <v>0</v>
      </c>
      <c r="M1712">
        <v>3.4522268334426639E-3</v>
      </c>
      <c r="N1712">
        <v>0.34423688251580242</v>
      </c>
      <c r="O1712">
        <v>0.23946452664380224</v>
      </c>
      <c r="P1712">
        <v>1.3478195713849629E-2</v>
      </c>
      <c r="Q1712">
        <v>1.6097160219353788E-3</v>
      </c>
      <c r="R1712">
        <v>3.4461836135013528E-3</v>
      </c>
      <c r="S1712">
        <v>0.3683167251362095</v>
      </c>
      <c r="T1712">
        <v>0.40724121378376404</v>
      </c>
      <c r="U1712">
        <v>0</v>
      </c>
      <c r="V1712">
        <v>0.20058480724089647</v>
      </c>
      <c r="W1712">
        <v>0.2170951743576178</v>
      </c>
      <c r="X1712">
        <v>5.4316469029308312E-2</v>
      </c>
      <c r="Y1712">
        <v>9.3793757618278045E-3</v>
      </c>
    </row>
    <row r="1713" spans="1:25" x14ac:dyDescent="0.25">
      <c r="A1713" s="1083"/>
      <c r="B1713" s="1455">
        <v>1463</v>
      </c>
      <c r="C1713" s="1087">
        <v>1.0120825765172776</v>
      </c>
      <c r="D1713" s="1087">
        <v>1.0035064245812626</v>
      </c>
      <c r="E1713" s="1087">
        <v>1.0031036197888896</v>
      </c>
      <c r="F1713" s="1087">
        <v>0.96631460089132237</v>
      </c>
      <c r="G1713" s="1087">
        <v>0.97614206281227578</v>
      </c>
      <c r="H1713" s="1087">
        <v>1.0171370909486155</v>
      </c>
      <c r="I1713" s="1087">
        <v>0.98621092687390854</v>
      </c>
      <c r="K1713">
        <v>1.8204638170701994</v>
      </c>
      <c r="L1713">
        <v>0</v>
      </c>
      <c r="M1713">
        <v>3.6249834974786906E-3</v>
      </c>
      <c r="N1713">
        <v>0.3474832960229387</v>
      </c>
      <c r="O1713">
        <v>0.23301250266222298</v>
      </c>
      <c r="P1713">
        <v>1.2893196816347418E-2</v>
      </c>
      <c r="Q1713">
        <v>1.5677790262642779E-3</v>
      </c>
      <c r="R1713">
        <v>3.6188558442252234E-3</v>
      </c>
      <c r="S1713">
        <v>0.35819624105742609</v>
      </c>
      <c r="T1713">
        <v>0.38914701957686709</v>
      </c>
      <c r="U1713">
        <v>0</v>
      </c>
      <c r="V1713">
        <v>0.1954138047575866</v>
      </c>
      <c r="W1713">
        <v>0.22091065248439123</v>
      </c>
      <c r="X1713">
        <v>5.1996119666936319E-2</v>
      </c>
      <c r="Y1713">
        <v>9.8493326524726251E-3</v>
      </c>
    </row>
    <row r="1714" spans="1:25" x14ac:dyDescent="0.25">
      <c r="A1714" s="1083"/>
      <c r="B1714" s="1455">
        <v>1464</v>
      </c>
      <c r="C1714" s="1087">
        <v>1.0385169019184737</v>
      </c>
      <c r="D1714" s="1087">
        <v>0.9930166512804578</v>
      </c>
      <c r="E1714" s="1087">
        <v>1.0028707586101469</v>
      </c>
      <c r="F1714" s="1087">
        <v>0.9791316123103152</v>
      </c>
      <c r="G1714" s="1087">
        <v>1.0119078386374516</v>
      </c>
      <c r="H1714" s="1087">
        <v>1.0186464908299684</v>
      </c>
      <c r="I1714" s="1087">
        <v>1.0262750789845121</v>
      </c>
      <c r="K1714">
        <v>1.8206736907863708</v>
      </c>
      <c r="L1714">
        <v>0</v>
      </c>
      <c r="M1714">
        <v>3.5596870446545515E-3</v>
      </c>
      <c r="N1714">
        <v>0.34098346059298112</v>
      </c>
      <c r="O1714">
        <v>0.23250449443135845</v>
      </c>
      <c r="P1714">
        <v>1.3049029859896977E-2</v>
      </c>
      <c r="Q1714">
        <v>1.5339283851388448E-3</v>
      </c>
      <c r="R1714">
        <v>3.5536873524087552E-3</v>
      </c>
      <c r="S1714">
        <v>0.36564286027266585</v>
      </c>
      <c r="T1714">
        <v>0.39430720653150425</v>
      </c>
      <c r="U1714">
        <v>0</v>
      </c>
      <c r="V1714">
        <v>0.19436688200737837</v>
      </c>
      <c r="W1714">
        <v>0.21680988887746847</v>
      </c>
      <c r="X1714">
        <v>5.1809974019689432E-2</v>
      </c>
      <c r="Y1714">
        <v>9.6719655005357511E-3</v>
      </c>
    </row>
    <row r="1715" spans="1:25" x14ac:dyDescent="0.25">
      <c r="A1715" s="1083"/>
      <c r="B1715" s="1455">
        <v>1465</v>
      </c>
      <c r="C1715" s="1087">
        <v>0.99698098789144085</v>
      </c>
      <c r="D1715" s="1087">
        <v>0.98350397526067146</v>
      </c>
      <c r="E1715" s="1087">
        <v>0.97610413467837875</v>
      </c>
      <c r="F1715" s="1087">
        <v>0.99521197759963842</v>
      </c>
      <c r="G1715" s="1087">
        <v>1.0271365291757937</v>
      </c>
      <c r="H1715" s="1087">
        <v>0.98602568938058421</v>
      </c>
      <c r="I1715" s="1087">
        <v>0.97732124110857044</v>
      </c>
      <c r="K1715">
        <v>1.8288445141565535</v>
      </c>
      <c r="L1715">
        <v>0</v>
      </c>
      <c r="M1715">
        <v>3.8109431476571879E-3</v>
      </c>
      <c r="N1715">
        <v>0.33637897555761548</v>
      </c>
      <c r="O1715">
        <v>0.23984197019134842</v>
      </c>
      <c r="P1715">
        <v>1.2858844502298777E-2</v>
      </c>
      <c r="Q1715">
        <v>1.5586525113416936E-3</v>
      </c>
      <c r="R1715">
        <v>3.8043169131381791E-3</v>
      </c>
      <c r="S1715">
        <v>0.35850806998570034</v>
      </c>
      <c r="T1715">
        <v>0.40062275994334878</v>
      </c>
      <c r="U1715">
        <v>0</v>
      </c>
      <c r="V1715">
        <v>0.20041380509496101</v>
      </c>
      <c r="W1715">
        <v>0.21751831195924837</v>
      </c>
      <c r="X1715">
        <v>5.0795654100380692E-2</v>
      </c>
      <c r="Y1715">
        <v>1.0354096544828752E-2</v>
      </c>
    </row>
    <row r="1716" spans="1:25" x14ac:dyDescent="0.25">
      <c r="A1716" s="1083"/>
      <c r="B1716" s="1455">
        <v>1466</v>
      </c>
      <c r="C1716" s="1087">
        <v>0.99274387881682369</v>
      </c>
      <c r="D1716" s="1087">
        <v>0.96108067794814445</v>
      </c>
      <c r="E1716" s="1087">
        <v>0.96762514583816372</v>
      </c>
      <c r="F1716" s="1087">
        <v>1.0319805467416341</v>
      </c>
      <c r="G1716" s="1087">
        <v>1.0027094330585447</v>
      </c>
      <c r="H1716" s="1087">
        <v>0.98542997170069091</v>
      </c>
      <c r="I1716" s="1087">
        <v>0.98906159953244355</v>
      </c>
      <c r="K1716">
        <v>1.8726467848158583</v>
      </c>
      <c r="L1716">
        <v>0</v>
      </c>
      <c r="M1716">
        <v>3.940727622955764E-3</v>
      </c>
      <c r="N1716">
        <v>0.33893331218503409</v>
      </c>
      <c r="O1716">
        <v>0.24694450381729263</v>
      </c>
      <c r="P1716">
        <v>1.3174636270942725E-2</v>
      </c>
      <c r="Q1716">
        <v>1.565394876974146E-3</v>
      </c>
      <c r="R1716">
        <v>3.9338944624709854E-3</v>
      </c>
      <c r="S1716">
        <v>0.36887538504968737</v>
      </c>
      <c r="T1716">
        <v>0.41537201408070845</v>
      </c>
      <c r="U1716">
        <v>0</v>
      </c>
      <c r="V1716">
        <v>0.20525777402018366</v>
      </c>
      <c r="W1716">
        <v>0.22035933429910956</v>
      </c>
      <c r="X1716">
        <v>5.1464499457523905E-2</v>
      </c>
      <c r="Y1716">
        <v>1.0706763918884992E-2</v>
      </c>
    </row>
    <row r="1717" spans="1:25" x14ac:dyDescent="0.25">
      <c r="A1717" s="1083"/>
      <c r="B1717" s="1455">
        <v>1467</v>
      </c>
      <c r="C1717" s="1087">
        <v>1.0187280502530469</v>
      </c>
      <c r="D1717" s="1087">
        <v>1.0129045800137675</v>
      </c>
      <c r="E1717" s="1087">
        <v>0.9845147493808597</v>
      </c>
      <c r="F1717" s="1087">
        <v>1.0163960153142924</v>
      </c>
      <c r="G1717" s="1087">
        <v>1.0144935921066074</v>
      </c>
      <c r="H1717" s="1087">
        <v>0.97998800935742658</v>
      </c>
      <c r="I1717" s="1087">
        <v>1.023471283043573</v>
      </c>
      <c r="K1717">
        <v>1.8136112710816117</v>
      </c>
      <c r="L1717">
        <v>0</v>
      </c>
      <c r="M1717">
        <v>3.5853946976715776E-3</v>
      </c>
      <c r="N1717">
        <v>0.32470447197169189</v>
      </c>
      <c r="O1717">
        <v>0.23687187078207184</v>
      </c>
      <c r="P1717">
        <v>1.3055645182935499E-2</v>
      </c>
      <c r="Q1717">
        <v>1.5212237351627312E-3</v>
      </c>
      <c r="R1717">
        <v>3.5790948494265526E-3</v>
      </c>
      <c r="S1717">
        <v>0.36044007115153026</v>
      </c>
      <c r="T1717">
        <v>0.4092014611393911</v>
      </c>
      <c r="U1717">
        <v>0</v>
      </c>
      <c r="V1717">
        <v>0.1983918906774039</v>
      </c>
      <c r="W1717">
        <v>0.20885209294911489</v>
      </c>
      <c r="X1717">
        <v>5.0837727008717581E-2</v>
      </c>
      <c r="Y1717">
        <v>9.7411163318390538E-3</v>
      </c>
    </row>
    <row r="1718" spans="1:25" x14ac:dyDescent="0.25">
      <c r="A1718" s="1083"/>
      <c r="B1718" s="1455">
        <v>1468</v>
      </c>
      <c r="C1718" s="1087">
        <v>0.99651180821551144</v>
      </c>
      <c r="D1718" s="1087">
        <v>1.0279708186094692</v>
      </c>
      <c r="E1718" s="1087">
        <v>0.99667303798985274</v>
      </c>
      <c r="F1718" s="1087">
        <v>0.98539578304833308</v>
      </c>
      <c r="G1718" s="1087">
        <v>1.0356290495678087</v>
      </c>
      <c r="H1718" s="1087">
        <v>1.0093098506192755</v>
      </c>
      <c r="I1718" s="1087">
        <v>0.96313114360027152</v>
      </c>
      <c r="K1718">
        <v>1.8167556742593931</v>
      </c>
      <c r="L1718">
        <v>0</v>
      </c>
      <c r="M1718">
        <v>3.654095656779037E-3</v>
      </c>
      <c r="N1718">
        <v>0.34346060032869435</v>
      </c>
      <c r="O1718">
        <v>0.23467949813881289</v>
      </c>
      <c r="P1718">
        <v>1.2839998072013165E-2</v>
      </c>
      <c r="Q1718">
        <v>1.566238946815316E-3</v>
      </c>
      <c r="R1718">
        <v>3.6478503176108471E-3</v>
      </c>
      <c r="S1718">
        <v>0.34917452540181387</v>
      </c>
      <c r="T1718">
        <v>0.39679285929112695</v>
      </c>
      <c r="U1718">
        <v>0</v>
      </c>
      <c r="V1718">
        <v>0.19741344673791461</v>
      </c>
      <c r="W1718">
        <v>0.2192324224871732</v>
      </c>
      <c r="X1718">
        <v>5.1674084143193827E-2</v>
      </c>
      <c r="Y1718">
        <v>9.9282460510027089E-3</v>
      </c>
    </row>
    <row r="1719" spans="1:25" x14ac:dyDescent="0.25">
      <c r="A1719" s="1083"/>
      <c r="B1719" s="1455">
        <v>1469</v>
      </c>
      <c r="C1719" s="1087">
        <v>1.0318992921420915</v>
      </c>
      <c r="D1719" s="1087">
        <v>1.0046685033966862</v>
      </c>
      <c r="E1719" s="1087">
        <v>0.98147016096380324</v>
      </c>
      <c r="F1719" s="1087">
        <v>0.97238215846537168</v>
      </c>
      <c r="G1719" s="1087">
        <v>1.0221039972132628</v>
      </c>
      <c r="H1719" s="1087">
        <v>1.0121762902139066</v>
      </c>
      <c r="I1719" s="1087">
        <v>1.0270842850340032</v>
      </c>
      <c r="K1719">
        <v>1.7999333092480798</v>
      </c>
      <c r="L1719">
        <v>0</v>
      </c>
      <c r="M1719">
        <v>3.6955219339555082E-3</v>
      </c>
      <c r="N1719">
        <v>0.33159826421250382</v>
      </c>
      <c r="O1719">
        <v>0.23103780510632885</v>
      </c>
      <c r="P1719">
        <v>1.2778770670738442E-2</v>
      </c>
      <c r="Q1719">
        <v>1.5017959033857588E-3</v>
      </c>
      <c r="R1719">
        <v>3.6892432769371434E-3</v>
      </c>
      <c r="S1719">
        <v>0.36449904421628609</v>
      </c>
      <c r="T1719">
        <v>0.39146374490304037</v>
      </c>
      <c r="U1719">
        <v>0</v>
      </c>
      <c r="V1719">
        <v>0.19372504057611692</v>
      </c>
      <c r="W1719">
        <v>0.21369759747870257</v>
      </c>
      <c r="X1719">
        <v>4.959662079689256E-2</v>
      </c>
      <c r="Y1719">
        <v>1.0040904041103513E-2</v>
      </c>
    </row>
    <row r="1720" spans="1:25" x14ac:dyDescent="0.25">
      <c r="A1720" s="1083"/>
      <c r="B1720" s="1455">
        <v>1470</v>
      </c>
      <c r="C1720" s="1087">
        <v>0.98153385117415071</v>
      </c>
      <c r="D1720" s="1087">
        <v>0.95993627981355911</v>
      </c>
      <c r="E1720" s="1087">
        <v>1.0266567148307468</v>
      </c>
      <c r="F1720" s="1087">
        <v>1.0040261789753573</v>
      </c>
      <c r="G1720" s="1087">
        <v>0.9942135694748292</v>
      </c>
      <c r="H1720" s="1087">
        <v>1.0058421996303377</v>
      </c>
      <c r="I1720" s="1087">
        <v>1.0193829184501388</v>
      </c>
      <c r="K1720">
        <v>1.9310651721769609</v>
      </c>
      <c r="L1720">
        <v>0</v>
      </c>
      <c r="M1720">
        <v>3.6072735093174444E-3</v>
      </c>
      <c r="N1720">
        <v>0.37152250692054806</v>
      </c>
      <c r="O1720">
        <v>0.24595159142247472</v>
      </c>
      <c r="P1720">
        <v>1.3891997822766513E-2</v>
      </c>
      <c r="Q1720">
        <v>1.6870312113457624E-3</v>
      </c>
      <c r="R1720">
        <v>3.6011451532789842E-3</v>
      </c>
      <c r="S1720">
        <v>0.38938591976136588</v>
      </c>
      <c r="T1720">
        <v>0.40447873215711339</v>
      </c>
      <c r="U1720">
        <v>0</v>
      </c>
      <c r="V1720">
        <v>0.20447481360292871</v>
      </c>
      <c r="W1720">
        <v>0.23278096443829935</v>
      </c>
      <c r="X1720">
        <v>5.7096613206113048E-2</v>
      </c>
      <c r="Y1720">
        <v>9.8011299900446613E-3</v>
      </c>
    </row>
    <row r="1721" spans="1:25" x14ac:dyDescent="0.25">
      <c r="A1721" s="1083"/>
      <c r="B1721" s="1455">
        <v>1471</v>
      </c>
      <c r="C1721" s="1087">
        <v>1.0243132787677984</v>
      </c>
      <c r="D1721" s="1087">
        <v>1.0053431664012742</v>
      </c>
      <c r="E1721" s="1087">
        <v>0.97293439449506525</v>
      </c>
      <c r="F1721" s="1087">
        <v>0.97723244713472035</v>
      </c>
      <c r="G1721" s="1087">
        <v>0.9763622565046074</v>
      </c>
      <c r="H1721" s="1087">
        <v>0.98947201515314909</v>
      </c>
      <c r="I1721" s="1087">
        <v>0.96485731016436471</v>
      </c>
      <c r="K1721">
        <v>1.7675254005668708</v>
      </c>
      <c r="L1721">
        <v>0</v>
      </c>
      <c r="M1721">
        <v>3.7019871462801563E-3</v>
      </c>
      <c r="N1721">
        <v>0.32361062321955797</v>
      </c>
      <c r="O1721">
        <v>0.23229199687443389</v>
      </c>
      <c r="P1721">
        <v>1.2420284506836531E-2</v>
      </c>
      <c r="Q1721">
        <v>1.4986551272530542E-3</v>
      </c>
      <c r="R1721">
        <v>3.6955527165951018E-3</v>
      </c>
      <c r="S1721">
        <v>0.34087024681515382</v>
      </c>
      <c r="T1721">
        <v>0.39336667326373165</v>
      </c>
      <c r="U1721">
        <v>0</v>
      </c>
      <c r="V1721">
        <v>0.19482694673514409</v>
      </c>
      <c r="W1721">
        <v>0.20968462014452177</v>
      </c>
      <c r="X1721">
        <v>4.8903712053974938E-2</v>
      </c>
      <c r="Y1721">
        <v>1.0058076255946251E-2</v>
      </c>
    </row>
    <row r="1722" spans="1:25" x14ac:dyDescent="0.25">
      <c r="A1722" s="1083"/>
      <c r="B1722" s="1455">
        <v>1472</v>
      </c>
      <c r="C1722" s="1087">
        <v>0.97580878805256721</v>
      </c>
      <c r="D1722" s="1087">
        <v>1.022094386611744</v>
      </c>
      <c r="E1722" s="1087">
        <v>1.0000742558291178</v>
      </c>
      <c r="F1722" s="1087">
        <v>1.0094716751034405</v>
      </c>
      <c r="G1722" s="1087">
        <v>1.015162675284089</v>
      </c>
      <c r="H1722" s="1087">
        <v>0.98088377631060131</v>
      </c>
      <c r="I1722" s="1087">
        <v>1.0132174155094391</v>
      </c>
      <c r="K1722">
        <v>1.8599102721158143</v>
      </c>
      <c r="L1722">
        <v>0</v>
      </c>
      <c r="M1722">
        <v>3.6127683856774797E-3</v>
      </c>
      <c r="N1722">
        <v>0.34310300795298054</v>
      </c>
      <c r="O1722">
        <v>0.24065900412075969</v>
      </c>
      <c r="P1722">
        <v>1.3367526569561639E-2</v>
      </c>
      <c r="Q1722">
        <v>1.6089664026674617E-3</v>
      </c>
      <c r="R1722">
        <v>3.6064202103114223E-3</v>
      </c>
      <c r="S1722">
        <v>0.37107435314942744</v>
      </c>
      <c r="T1722">
        <v>0.40650836489244513</v>
      </c>
      <c r="U1722">
        <v>0</v>
      </c>
      <c r="V1722">
        <v>0.20206473221901081</v>
      </c>
      <c r="W1722">
        <v>0.2185386767461</v>
      </c>
      <c r="X1722">
        <v>5.3176501281861764E-2</v>
      </c>
      <c r="Y1722">
        <v>9.8154869563648744E-3</v>
      </c>
    </row>
    <row r="1723" spans="1:25" x14ac:dyDescent="0.25">
      <c r="A1723" s="1083"/>
      <c r="B1723" s="1455">
        <v>1473</v>
      </c>
      <c r="C1723" s="1087">
        <v>1.0041515671139494</v>
      </c>
      <c r="D1723" s="1087">
        <v>1.0054433914370879</v>
      </c>
      <c r="E1723" s="1087">
        <v>0.99984330190870285</v>
      </c>
      <c r="F1723" s="1087">
        <v>0.99759533235382392</v>
      </c>
      <c r="G1723" s="1087">
        <v>0.98784560299884394</v>
      </c>
      <c r="H1723" s="1087">
        <v>0.96352049543367246</v>
      </c>
      <c r="I1723" s="1087">
        <v>0.99424498840760245</v>
      </c>
      <c r="K1723">
        <v>1.8089553739034772</v>
      </c>
      <c r="L1723">
        <v>0</v>
      </c>
      <c r="M1723">
        <v>3.4807482347815437E-3</v>
      </c>
      <c r="N1723">
        <v>0.33032304745893265</v>
      </c>
      <c r="O1723">
        <v>0.23742219340767914</v>
      </c>
      <c r="P1723">
        <v>1.3022159517027553E-2</v>
      </c>
      <c r="Q1723">
        <v>1.5734715694022811E-3</v>
      </c>
      <c r="R1723">
        <v>3.4745356419423161E-3</v>
      </c>
      <c r="S1723">
        <v>0.35394963421252262</v>
      </c>
      <c r="T1723">
        <v>0.40172443484559217</v>
      </c>
      <c r="U1723">
        <v>0</v>
      </c>
      <c r="V1723">
        <v>0.19882863189939054</v>
      </c>
      <c r="W1723">
        <v>0.21042887485184597</v>
      </c>
      <c r="X1723">
        <v>5.2232598096919776E-2</v>
      </c>
      <c r="Y1723">
        <v>9.45654063700045E-3</v>
      </c>
    </row>
    <row r="1724" spans="1:25" x14ac:dyDescent="0.25">
      <c r="A1724" s="1083"/>
      <c r="B1724" s="1455">
        <v>1474</v>
      </c>
      <c r="C1724" s="1087">
        <v>1.0011932984698637</v>
      </c>
      <c r="D1724" s="1087">
        <v>0.98130548756442904</v>
      </c>
      <c r="E1724" s="1087">
        <v>1.0217605710044531</v>
      </c>
      <c r="F1724" s="1087">
        <v>0.9861236258826892</v>
      </c>
      <c r="G1724" s="1087">
        <v>1.0217757607212168</v>
      </c>
      <c r="H1724" s="1087">
        <v>0.99362483097271281</v>
      </c>
      <c r="I1724" s="1087">
        <v>1.0099057985740767</v>
      </c>
      <c r="K1724">
        <v>1.8628437649534275</v>
      </c>
      <c r="L1724">
        <v>0</v>
      </c>
      <c r="M1724">
        <v>3.4873000712972698E-3</v>
      </c>
      <c r="N1724">
        <v>0.35383960808784093</v>
      </c>
      <c r="O1724">
        <v>0.23911688816888135</v>
      </c>
      <c r="P1724">
        <v>1.3422946971679785E-2</v>
      </c>
      <c r="Q1724">
        <v>1.6309776749196315E-3</v>
      </c>
      <c r="R1724">
        <v>3.4812845618420181E-3</v>
      </c>
      <c r="S1724">
        <v>0.37128760540444955</v>
      </c>
      <c r="T1724">
        <v>0.39723681641799574</v>
      </c>
      <c r="U1724">
        <v>0</v>
      </c>
      <c r="V1724">
        <v>0.19956009808724673</v>
      </c>
      <c r="W1724">
        <v>0.22236860800838429</v>
      </c>
      <c r="X1724">
        <v>5.4911322669297533E-2</v>
      </c>
      <c r="Y1724">
        <v>9.4749089721865871E-3</v>
      </c>
    </row>
    <row r="1725" spans="1:25" x14ac:dyDescent="0.25">
      <c r="A1725" s="1083"/>
      <c r="B1725" s="1455">
        <v>1475</v>
      </c>
      <c r="C1725" s="1087">
        <v>1.0299094420350403</v>
      </c>
      <c r="D1725" s="1087">
        <v>0.99448145725532944</v>
      </c>
      <c r="E1725" s="1087">
        <v>0.99893839992165512</v>
      </c>
      <c r="F1725" s="1087">
        <v>1.0293004612302619</v>
      </c>
      <c r="G1725" s="1087">
        <v>1.0064391467559519</v>
      </c>
      <c r="H1725" s="1087">
        <v>0.98885269894069161</v>
      </c>
      <c r="I1725" s="1087">
        <v>1.0403971386893363</v>
      </c>
      <c r="K1725">
        <v>1.8416511129695674</v>
      </c>
      <c r="L1725">
        <v>0</v>
      </c>
      <c r="M1725">
        <v>3.5090260299348265E-3</v>
      </c>
      <c r="N1725">
        <v>0.33210416996928482</v>
      </c>
      <c r="O1725">
        <v>0.23905288455719106</v>
      </c>
      <c r="P1725">
        <v>1.338509837665835E-2</v>
      </c>
      <c r="Q1725">
        <v>1.5393756326871834E-3</v>
      </c>
      <c r="R1725">
        <v>3.5029309233817257E-3</v>
      </c>
      <c r="S1725">
        <v>0.36790578491929105</v>
      </c>
      <c r="T1725">
        <v>0.4144862200776821</v>
      </c>
      <c r="U1725">
        <v>0</v>
      </c>
      <c r="V1725">
        <v>0.19937622520974471</v>
      </c>
      <c r="W1725">
        <v>0.21168322785403995</v>
      </c>
      <c r="X1725">
        <v>5.2590398246963883E-2</v>
      </c>
      <c r="Y1725">
        <v>9.533823232576507E-3</v>
      </c>
    </row>
    <row r="1726" spans="1:25" x14ac:dyDescent="0.25">
      <c r="A1726" s="1083"/>
      <c r="B1726" s="1455">
        <v>1476</v>
      </c>
      <c r="C1726" s="1087">
        <v>1.0031064006479378</v>
      </c>
      <c r="D1726" s="1087">
        <v>1.0115637767743713</v>
      </c>
      <c r="E1726" s="1087">
        <v>1.0203039101361417</v>
      </c>
      <c r="F1726" s="1087">
        <v>1.0016352889746556</v>
      </c>
      <c r="G1726" s="1087">
        <v>0.98894166035980802</v>
      </c>
      <c r="H1726" s="1087">
        <v>0.98507710862382525</v>
      </c>
      <c r="I1726" s="1087">
        <v>0.9818617449992354</v>
      </c>
      <c r="K1726">
        <v>1.8316463115756341</v>
      </c>
      <c r="L1726">
        <v>0</v>
      </c>
      <c r="M1726">
        <v>3.4048565628810763E-3</v>
      </c>
      <c r="N1726">
        <v>0.34393678974996611</v>
      </c>
      <c r="O1726">
        <v>0.23770974165330355</v>
      </c>
      <c r="P1726">
        <v>1.3231851727838211E-2</v>
      </c>
      <c r="Q1726">
        <v>1.6057446975760142E-3</v>
      </c>
      <c r="R1726">
        <v>3.3989072613246638E-3</v>
      </c>
      <c r="S1726">
        <v>0.35276018783334345</v>
      </c>
      <c r="T1726">
        <v>0.403476355598407</v>
      </c>
      <c r="U1726">
        <v>0</v>
      </c>
      <c r="V1726">
        <v>0.19908612224056091</v>
      </c>
      <c r="W1726">
        <v>0.21633896701335803</v>
      </c>
      <c r="X1726">
        <v>5.4255795246990479E-2</v>
      </c>
      <c r="Y1726">
        <v>9.2507051158481676E-3</v>
      </c>
    </row>
    <row r="1727" spans="1:25" x14ac:dyDescent="0.25">
      <c r="A1727" s="1083"/>
      <c r="B1727" s="1455">
        <v>1477</v>
      </c>
      <c r="C1727" s="1087">
        <v>1.011674726676395</v>
      </c>
      <c r="D1727" s="1087">
        <v>1.0191463046197444</v>
      </c>
      <c r="E1727" s="1087">
        <v>1.0298618719318515</v>
      </c>
      <c r="F1727" s="1087">
        <v>1.0008342810189088</v>
      </c>
      <c r="G1727" s="1087">
        <v>0.99249855972672429</v>
      </c>
      <c r="H1727" s="1087">
        <v>1.0013218593828559</v>
      </c>
      <c r="I1727" s="1087">
        <v>1.001904014837379</v>
      </c>
      <c r="K1727">
        <v>1.8408039063398101</v>
      </c>
      <c r="L1727">
        <v>0</v>
      </c>
      <c r="M1727">
        <v>3.3511660258482038E-3</v>
      </c>
      <c r="N1727">
        <v>0.34852311434278938</v>
      </c>
      <c r="O1727">
        <v>0.23597747192188859</v>
      </c>
      <c r="P1727">
        <v>1.3381347089057288E-2</v>
      </c>
      <c r="Q1727">
        <v>1.6034361891689587E-3</v>
      </c>
      <c r="R1727">
        <v>3.3453990120859145E-3</v>
      </c>
      <c r="S1727">
        <v>0.35842529964730124</v>
      </c>
      <c r="T1727">
        <v>0.40321267528666527</v>
      </c>
      <c r="U1727">
        <v>0</v>
      </c>
      <c r="V1727">
        <v>0.19776913181422648</v>
      </c>
      <c r="W1727">
        <v>0.21794274202164587</v>
      </c>
      <c r="X1727">
        <v>5.4869381740420831E-2</v>
      </c>
      <c r="Y1727">
        <v>9.1050733004099139E-3</v>
      </c>
    </row>
    <row r="1728" spans="1:25" x14ac:dyDescent="0.25">
      <c r="A1728" s="1083"/>
      <c r="B1728" s="1455">
        <v>1478</v>
      </c>
      <c r="C1728" s="1087">
        <v>1.0178913191841967</v>
      </c>
      <c r="D1728" s="1087">
        <v>1.0140543813958032</v>
      </c>
      <c r="E1728" s="1087">
        <v>0.96760854837520816</v>
      </c>
      <c r="F1728" s="1087">
        <v>0.97804731996519734</v>
      </c>
      <c r="G1728" s="1087">
        <v>1.0348953350964099</v>
      </c>
      <c r="H1728" s="1087">
        <v>1.0066542687296394</v>
      </c>
      <c r="I1728" s="1087">
        <v>0.99590386062707847</v>
      </c>
      <c r="K1728">
        <v>1.7905300505188462</v>
      </c>
      <c r="L1728">
        <v>0</v>
      </c>
      <c r="M1728">
        <v>3.8135803159555976E-3</v>
      </c>
      <c r="N1728">
        <v>0.3279887215266884</v>
      </c>
      <c r="O1728">
        <v>0.23221720635135745</v>
      </c>
      <c r="P1728">
        <v>1.256968004824497E-2</v>
      </c>
      <c r="Q1728">
        <v>1.4942778005196217E-3</v>
      </c>
      <c r="R1728">
        <v>3.8070572535042805E-3</v>
      </c>
      <c r="S1728">
        <v>0.35533975860186917</v>
      </c>
      <c r="T1728">
        <v>0.3936638024047992</v>
      </c>
      <c r="U1728">
        <v>0</v>
      </c>
      <c r="V1728">
        <v>0.19507662126856234</v>
      </c>
      <c r="W1728">
        <v>0.2132459154098878</v>
      </c>
      <c r="X1728">
        <v>4.8579035321416705E-2</v>
      </c>
      <c r="Y1728">
        <v>1.0361554847952323E-2</v>
      </c>
    </row>
    <row r="1729" spans="1:25" x14ac:dyDescent="0.25">
      <c r="A1729" s="1083"/>
      <c r="B1729" s="1455">
        <v>1479</v>
      </c>
      <c r="C1729" s="1087">
        <v>1.0030756605061479</v>
      </c>
      <c r="D1729" s="1087">
        <v>1.0235213088551822</v>
      </c>
      <c r="E1729" s="1087">
        <v>0.986937297186957</v>
      </c>
      <c r="F1729" s="1087">
        <v>0.99687866158218386</v>
      </c>
      <c r="G1729" s="1087">
        <v>0.99537398315287373</v>
      </c>
      <c r="H1729" s="1087">
        <v>1.0025589664273589</v>
      </c>
      <c r="I1729" s="1087">
        <v>1.0203389475468361</v>
      </c>
      <c r="K1729">
        <v>1.8297524887856713</v>
      </c>
      <c r="L1729">
        <v>0</v>
      </c>
      <c r="M1729">
        <v>3.6867574454139854E-3</v>
      </c>
      <c r="N1729">
        <v>0.33637689848118973</v>
      </c>
      <c r="O1729">
        <v>0.23551283640371334</v>
      </c>
      <c r="P1729">
        <v>1.3055349591660681E-2</v>
      </c>
      <c r="Q1729">
        <v>1.5425375117905998E-3</v>
      </c>
      <c r="R1729">
        <v>3.6804173460066986E-3</v>
      </c>
      <c r="S1729">
        <v>0.36702223748792984</v>
      </c>
      <c r="T1729">
        <v>0.40135824938352271</v>
      </c>
      <c r="U1729">
        <v>0</v>
      </c>
      <c r="V1729">
        <v>0.19786011146431759</v>
      </c>
      <c r="W1729">
        <v>0.2160290919234463</v>
      </c>
      <c r="X1729">
        <v>5.0984633870929233E-2</v>
      </c>
      <c r="Y1729">
        <v>1.0016882766578189E-2</v>
      </c>
    </row>
    <row r="1730" spans="1:25" x14ac:dyDescent="0.25">
      <c r="A1730" s="1083"/>
      <c r="B1730" s="1455">
        <v>1480</v>
      </c>
      <c r="C1730" s="1087">
        <v>0.98458123460668445</v>
      </c>
      <c r="D1730" s="1087">
        <v>1.0074276622131986</v>
      </c>
      <c r="E1730" s="1087">
        <v>1.0034563284363092</v>
      </c>
      <c r="F1730" s="1087">
        <v>1.0162495498526853</v>
      </c>
      <c r="G1730" s="1087">
        <v>1.0046609416716601</v>
      </c>
      <c r="H1730" s="1087">
        <v>0.99193678071462688</v>
      </c>
      <c r="I1730" s="1087">
        <v>0.99900199533824274</v>
      </c>
      <c r="K1730">
        <v>1.8685474839605065</v>
      </c>
      <c r="L1730">
        <v>0</v>
      </c>
      <c r="M1730">
        <v>3.6240454764062497E-3</v>
      </c>
      <c r="N1730">
        <v>0.34775218609073333</v>
      </c>
      <c r="O1730">
        <v>0.24185845699755781</v>
      </c>
      <c r="P1730">
        <v>1.3396480574029892E-2</v>
      </c>
      <c r="Q1730">
        <v>1.6096620550818373E-3</v>
      </c>
      <c r="R1730">
        <v>3.6177610217697667E-3</v>
      </c>
      <c r="S1730">
        <v>0.36757720488958084</v>
      </c>
      <c r="T1730">
        <v>0.40925862724426831</v>
      </c>
      <c r="U1730">
        <v>0</v>
      </c>
      <c r="V1730">
        <v>0.20246604077279359</v>
      </c>
      <c r="W1730">
        <v>0.22103300123594505</v>
      </c>
      <c r="X1730">
        <v>5.3755755648493331E-2</v>
      </c>
      <c r="Y1730">
        <v>9.8463529066569917E-3</v>
      </c>
    </row>
    <row r="1731" spans="1:25" x14ac:dyDescent="0.25">
      <c r="A1731" s="1083"/>
      <c r="B1731" s="1455">
        <v>1481</v>
      </c>
      <c r="C1731" s="1087">
        <v>0.98888903086068214</v>
      </c>
      <c r="D1731" s="1087">
        <v>1.0288639177363348</v>
      </c>
      <c r="E1731" s="1087">
        <v>1.0167721062459905</v>
      </c>
      <c r="F1731" s="1087">
        <v>0.98399094454372948</v>
      </c>
      <c r="G1731" s="1087">
        <v>0.96672381667045348</v>
      </c>
      <c r="H1731" s="1087">
        <v>1.0120967341513365</v>
      </c>
      <c r="I1731" s="1087">
        <v>1.0010962972546653</v>
      </c>
      <c r="K1731">
        <v>1.851916926745971</v>
      </c>
      <c r="L1731">
        <v>0</v>
      </c>
      <c r="M1731">
        <v>3.5419814617176511E-3</v>
      </c>
      <c r="N1731">
        <v>0.3539730372142163</v>
      </c>
      <c r="O1731">
        <v>0.23563098625052498</v>
      </c>
      <c r="P1731">
        <v>1.3273797266992085E-2</v>
      </c>
      <c r="Q1731">
        <v>1.6118001596954448E-3</v>
      </c>
      <c r="R1731">
        <v>3.5359438373080278E-3</v>
      </c>
      <c r="S1731">
        <v>0.36630089572344621</v>
      </c>
      <c r="T1731">
        <v>0.39634757083342653</v>
      </c>
      <c r="U1731">
        <v>0</v>
      </c>
      <c r="V1731">
        <v>0.1981854293573862</v>
      </c>
      <c r="W1731">
        <v>0.22313692218507383</v>
      </c>
      <c r="X1731">
        <v>5.3838851878036255E-2</v>
      </c>
      <c r="Y1731">
        <v>9.6236735015797527E-3</v>
      </c>
    </row>
    <row r="1732" spans="1:25" x14ac:dyDescent="0.25">
      <c r="A1732" s="1083"/>
      <c r="B1732" s="1455">
        <v>1482</v>
      </c>
      <c r="C1732" s="1087">
        <v>0.99932477306206768</v>
      </c>
      <c r="D1732" s="1087">
        <v>0.99524022650342736</v>
      </c>
      <c r="E1732" s="1087">
        <v>1.0057334174211867</v>
      </c>
      <c r="F1732" s="1087">
        <v>0.98390581146261535</v>
      </c>
      <c r="G1732" s="1087">
        <v>0.99664242219164356</v>
      </c>
      <c r="H1732" s="1087">
        <v>1.0061921043784501</v>
      </c>
      <c r="I1732" s="1087">
        <v>1.0005324057466582</v>
      </c>
      <c r="K1732">
        <v>1.8511694490734718</v>
      </c>
      <c r="L1732">
        <v>0</v>
      </c>
      <c r="M1732">
        <v>3.6285480747642491E-3</v>
      </c>
      <c r="N1732">
        <v>0.35062098086024263</v>
      </c>
      <c r="O1732">
        <v>0.23746247357827352</v>
      </c>
      <c r="P1732">
        <v>1.3192304966070056E-2</v>
      </c>
      <c r="Q1732">
        <v>1.597516180830398E-3</v>
      </c>
      <c r="R1732">
        <v>3.6223550539533108E-3</v>
      </c>
      <c r="S1732">
        <v>0.36776923788392274</v>
      </c>
      <c r="T1732">
        <v>0.39624694796104493</v>
      </c>
      <c r="U1732">
        <v>0</v>
      </c>
      <c r="V1732">
        <v>0.19872980991309416</v>
      </c>
      <c r="W1732">
        <v>0.22254066371074097</v>
      </c>
      <c r="X1732">
        <v>5.3156850692225185E-2</v>
      </c>
      <c r="Y1732">
        <v>9.8588563478383007E-3</v>
      </c>
    </row>
    <row r="1733" spans="1:25" x14ac:dyDescent="0.25">
      <c r="A1733" s="1083"/>
      <c r="B1733" s="1455">
        <v>1483</v>
      </c>
      <c r="C1733" s="1087">
        <v>1.0216809365946993</v>
      </c>
      <c r="D1733" s="1087">
        <v>1.0016555573131534</v>
      </c>
      <c r="E1733" s="1087">
        <v>1.0072077933175156</v>
      </c>
      <c r="F1733" s="1087">
        <v>1.02815783880154</v>
      </c>
      <c r="G1733" s="1087">
        <v>1.0170527269673961</v>
      </c>
      <c r="H1733" s="1087">
        <v>0.99467088493112277</v>
      </c>
      <c r="I1733" s="1087">
        <v>0.99444952694877176</v>
      </c>
      <c r="K1733">
        <v>1.8378123901715417</v>
      </c>
      <c r="L1733">
        <v>0</v>
      </c>
      <c r="M1733">
        <v>3.4849571600167905E-3</v>
      </c>
      <c r="N1733">
        <v>0.338256474252488</v>
      </c>
      <c r="O1733">
        <v>0.23929889112907912</v>
      </c>
      <c r="P1733">
        <v>1.3279892668113051E-2</v>
      </c>
      <c r="Q1733">
        <v>1.560991225770969E-3</v>
      </c>
      <c r="R1733">
        <v>3.478933414666052E-3</v>
      </c>
      <c r="S1733">
        <v>0.35420566262384789</v>
      </c>
      <c r="T1733">
        <v>0.41407772933215936</v>
      </c>
      <c r="U1733">
        <v>0</v>
      </c>
      <c r="V1733">
        <v>0.19979986992682403</v>
      </c>
      <c r="W1733">
        <v>0.21449612720247385</v>
      </c>
      <c r="X1733">
        <v>5.3374265631503902E-2</v>
      </c>
      <c r="Y1733">
        <v>9.4685099246290642E-3</v>
      </c>
    </row>
    <row r="1734" spans="1:25" x14ac:dyDescent="0.25">
      <c r="A1734" s="1083"/>
      <c r="B1734" s="1455">
        <v>1484</v>
      </c>
      <c r="C1734" s="1087">
        <v>0.99844298855612257</v>
      </c>
      <c r="D1734" s="1087">
        <v>1.0358505648725413</v>
      </c>
      <c r="E1734" s="1087">
        <v>0.98323800185857624</v>
      </c>
      <c r="F1734" s="1087">
        <v>1.0086695706662532</v>
      </c>
      <c r="G1734" s="1087">
        <v>1.0290439749751477</v>
      </c>
      <c r="H1734" s="1087">
        <v>1.0206465854853504</v>
      </c>
      <c r="I1734" s="1087">
        <v>1.0224366297426895</v>
      </c>
      <c r="K1734">
        <v>1.8467715669343674</v>
      </c>
      <c r="L1734">
        <v>0</v>
      </c>
      <c r="M1734">
        <v>3.7744499661149563E-3</v>
      </c>
      <c r="N1734">
        <v>0.34051722919419886</v>
      </c>
      <c r="O1734">
        <v>0.23617512740853677</v>
      </c>
      <c r="P1734">
        <v>1.3137798652462847E-2</v>
      </c>
      <c r="Q1734">
        <v>1.5361755748232681E-3</v>
      </c>
      <c r="R1734">
        <v>3.7680628475812608E-3</v>
      </c>
      <c r="S1734">
        <v>0.37028785636467987</v>
      </c>
      <c r="T1734">
        <v>0.40608307851614778</v>
      </c>
      <c r="U1734">
        <v>0</v>
      </c>
      <c r="V1734">
        <v>0.19869355335245459</v>
      </c>
      <c r="W1734">
        <v>0.21919989541653148</v>
      </c>
      <c r="X1734">
        <v>5.0891814643533331E-2</v>
      </c>
      <c r="Y1734">
        <v>1.0255424929532322E-2</v>
      </c>
    </row>
    <row r="1735" spans="1:25" x14ac:dyDescent="0.25">
      <c r="A1735" s="1083"/>
      <c r="B1735" s="1455">
        <v>1485</v>
      </c>
      <c r="C1735" s="1087">
        <v>0.97822833099958795</v>
      </c>
      <c r="D1735" s="1087">
        <v>1.0112034956795124</v>
      </c>
      <c r="E1735" s="1087">
        <v>1.019381403034568</v>
      </c>
      <c r="F1735" s="1087">
        <v>0.97545433494834521</v>
      </c>
      <c r="G1735" s="1087">
        <v>1.0004233703381922</v>
      </c>
      <c r="H1735" s="1087">
        <v>0.98987439497443819</v>
      </c>
      <c r="I1735" s="1087">
        <v>1.0133434322020092</v>
      </c>
      <c r="K1735">
        <v>1.8604071953478671</v>
      </c>
      <c r="L1735">
        <v>0</v>
      </c>
      <c r="M1735">
        <v>3.515653469454354E-3</v>
      </c>
      <c r="N1735">
        <v>0.35413488260952969</v>
      </c>
      <c r="O1735">
        <v>0.23763375259890862</v>
      </c>
      <c r="P1735">
        <v>1.3380888981768223E-2</v>
      </c>
      <c r="Q1735">
        <v>1.6452146855325132E-3</v>
      </c>
      <c r="R1735">
        <v>3.5095404374550524E-3</v>
      </c>
      <c r="S1735">
        <v>0.37428266833385154</v>
      </c>
      <c r="T1735">
        <v>0.39292467723417429</v>
      </c>
      <c r="U1735">
        <v>0</v>
      </c>
      <c r="V1735">
        <v>0.19952497836670288</v>
      </c>
      <c r="W1735">
        <v>0.22288018238668825</v>
      </c>
      <c r="X1735">
        <v>5.4454251031650205E-2</v>
      </c>
      <c r="Y1735">
        <v>9.5518121510583739E-3</v>
      </c>
    </row>
    <row r="1736" spans="1:25" x14ac:dyDescent="0.25">
      <c r="A1736" s="1083"/>
      <c r="B1736" s="1455">
        <v>1486</v>
      </c>
      <c r="C1736" s="1087">
        <v>0.9703542296699893</v>
      </c>
      <c r="D1736" s="1087">
        <v>1.0054593145727235</v>
      </c>
      <c r="E1736" s="1087">
        <v>0.99325663660230512</v>
      </c>
      <c r="F1736" s="1087">
        <v>1.0073618970491935</v>
      </c>
      <c r="G1736" s="1087">
        <v>1.0033820867667729</v>
      </c>
      <c r="H1736" s="1087">
        <v>1.0202754154775664</v>
      </c>
      <c r="I1736" s="1087">
        <v>0.98085780569246617</v>
      </c>
      <c r="K1736">
        <v>1.8915602616470573</v>
      </c>
      <c r="L1736">
        <v>0</v>
      </c>
      <c r="M1736">
        <v>3.8660798733765227E-3</v>
      </c>
      <c r="N1736">
        <v>0.35962394638719453</v>
      </c>
      <c r="O1736">
        <v>0.24263728422046105</v>
      </c>
      <c r="P1736">
        <v>1.3312494709627462E-2</v>
      </c>
      <c r="Q1736">
        <v>1.6168567135317045E-3</v>
      </c>
      <c r="R1736">
        <v>3.8595637800283881E-3</v>
      </c>
      <c r="S1736">
        <v>0.37165387617535783</v>
      </c>
      <c r="T1736">
        <v>0.40561725524834952</v>
      </c>
      <c r="U1736">
        <v>0</v>
      </c>
      <c r="V1736">
        <v>0.20332880316293525</v>
      </c>
      <c r="W1736">
        <v>0.23004195262233673</v>
      </c>
      <c r="X1736">
        <v>5.3229848196232214E-2</v>
      </c>
      <c r="Y1736">
        <v>1.0504460304379125E-2</v>
      </c>
    </row>
    <row r="1737" spans="1:25" x14ac:dyDescent="0.25">
      <c r="A1737" s="1083"/>
      <c r="B1737" s="1455">
        <v>1487</v>
      </c>
      <c r="C1737" s="1087">
        <v>0.98933660965100312</v>
      </c>
      <c r="D1737" s="1087">
        <v>1.0222135443457725</v>
      </c>
      <c r="E1737" s="1087">
        <v>1.0158528002491776</v>
      </c>
      <c r="F1737" s="1087">
        <v>1.0318852794973679</v>
      </c>
      <c r="G1737" s="1087">
        <v>0.98227254988563872</v>
      </c>
      <c r="H1737" s="1087">
        <v>1.0295006085626168</v>
      </c>
      <c r="I1737" s="1087">
        <v>1.0346941903042581</v>
      </c>
      <c r="K1737">
        <v>1.9117243352794528</v>
      </c>
      <c r="L1737">
        <v>0</v>
      </c>
      <c r="M1737">
        <v>3.6201471199160582E-3</v>
      </c>
      <c r="N1737">
        <v>0.36078316519959552</v>
      </c>
      <c r="O1737">
        <v>0.24176078352143018</v>
      </c>
      <c r="P1737">
        <v>1.3821921137056308E-2</v>
      </c>
      <c r="Q1737">
        <v>1.6136871107696926E-3</v>
      </c>
      <c r="R1737">
        <v>3.6140851351727462E-3</v>
      </c>
      <c r="S1737">
        <v>0.38300273063702173</v>
      </c>
      <c r="T1737">
        <v>0.41563340128774257</v>
      </c>
      <c r="U1737">
        <v>0</v>
      </c>
      <c r="V1737">
        <v>0.20255072079409719</v>
      </c>
      <c r="W1737">
        <v>0.22755896206147166</v>
      </c>
      <c r="X1737">
        <v>5.5168677159912076E-2</v>
      </c>
      <c r="Y1737">
        <v>9.8363483550955987E-3</v>
      </c>
    </row>
    <row r="1738" spans="1:25" x14ac:dyDescent="0.25">
      <c r="A1738" s="1083"/>
      <c r="B1738" s="1455">
        <v>1488</v>
      </c>
      <c r="C1738" s="1087">
        <v>1.027720500797296</v>
      </c>
      <c r="D1738" s="1087">
        <v>1.019331870877469</v>
      </c>
      <c r="E1738" s="1087">
        <v>1.016551808232226</v>
      </c>
      <c r="F1738" s="1087">
        <v>0.99542017454191978</v>
      </c>
      <c r="G1738" s="1087">
        <v>1.0010559784476933</v>
      </c>
      <c r="H1738" s="1087">
        <v>1.0186374093917692</v>
      </c>
      <c r="I1738" s="1087">
        <v>0.96912947148367801</v>
      </c>
      <c r="K1738">
        <v>1.8122438229629911</v>
      </c>
      <c r="L1738">
        <v>0</v>
      </c>
      <c r="M1738">
        <v>3.4481227242970378E-3</v>
      </c>
      <c r="N1738">
        <v>0.34436620869688706</v>
      </c>
      <c r="O1738">
        <v>0.23324756883112022</v>
      </c>
      <c r="P1738">
        <v>1.2991085110321736E-2</v>
      </c>
      <c r="Q1738">
        <v>1.5563224844728424E-3</v>
      </c>
      <c r="R1738">
        <v>3.4422889210702252E-3</v>
      </c>
      <c r="S1738">
        <v>0.34402342891069015</v>
      </c>
      <c r="T1738">
        <v>0.40094987413288685</v>
      </c>
      <c r="U1738">
        <v>0</v>
      </c>
      <c r="V1738">
        <v>0.19555146690017919</v>
      </c>
      <c r="W1738">
        <v>0.21711049709252681</v>
      </c>
      <c r="X1738">
        <v>5.3084428914216143E-2</v>
      </c>
      <c r="Y1738">
        <v>9.3687756929152956E-3</v>
      </c>
    </row>
    <row r="1739" spans="1:25" x14ac:dyDescent="0.25">
      <c r="A1739" s="1083"/>
      <c r="B1739" s="1455">
        <v>1489</v>
      </c>
      <c r="C1739" s="1087">
        <v>0.98803568572253997</v>
      </c>
      <c r="D1739" s="1087">
        <v>0.98331028677100218</v>
      </c>
      <c r="E1739" s="1087">
        <v>0.98645264830598378</v>
      </c>
      <c r="F1739" s="1087">
        <v>0.9719374709598233</v>
      </c>
      <c r="G1739" s="1087">
        <v>0.99266023315863117</v>
      </c>
      <c r="H1739" s="1087">
        <v>1.0054482559173927</v>
      </c>
      <c r="I1739" s="1087">
        <v>1.0392242787391932</v>
      </c>
      <c r="K1739">
        <v>1.8688681724567078</v>
      </c>
      <c r="L1739">
        <v>0</v>
      </c>
      <c r="M1739">
        <v>3.8388935509054765E-3</v>
      </c>
      <c r="N1739">
        <v>0.34974451332128731</v>
      </c>
      <c r="O1739">
        <v>0.23825077054445645</v>
      </c>
      <c r="P1739">
        <v>1.3226276988902141E-2</v>
      </c>
      <c r="Q1739">
        <v>1.5904993094610399E-3</v>
      </c>
      <c r="R1739">
        <v>3.8323464461201078E-3</v>
      </c>
      <c r="S1739">
        <v>0.38853056442499007</v>
      </c>
      <c r="T1739">
        <v>0.3913137263002458</v>
      </c>
      <c r="U1739">
        <v>0</v>
      </c>
      <c r="V1739">
        <v>0.19940099439292852</v>
      </c>
      <c r="W1739">
        <v>0.22468279930898347</v>
      </c>
      <c r="X1739">
        <v>5.1704191276565427E-2</v>
      </c>
      <c r="Y1739">
        <v>1.0430383693672499E-2</v>
      </c>
    </row>
    <row r="1740" spans="1:25" x14ac:dyDescent="0.25">
      <c r="A1740" s="1083"/>
      <c r="B1740" s="1455">
        <v>1490</v>
      </c>
      <c r="C1740" s="1087">
        <v>0.96753944889013033</v>
      </c>
      <c r="D1740" s="1087">
        <v>1.0065815618403557</v>
      </c>
      <c r="E1740" s="1087">
        <v>1.0214851466474639</v>
      </c>
      <c r="F1740" s="1087">
        <v>1.0446407745865269</v>
      </c>
      <c r="G1740" s="1087">
        <v>0.99769503768205892</v>
      </c>
      <c r="H1740" s="1087">
        <v>0.99249189291330919</v>
      </c>
      <c r="I1740" s="1087">
        <v>0.99828287895073797</v>
      </c>
      <c r="K1740">
        <v>1.9190933571438542</v>
      </c>
      <c r="L1740">
        <v>0</v>
      </c>
      <c r="M1740">
        <v>3.5578207017192992E-3</v>
      </c>
      <c r="N1740">
        <v>0.36068933204788273</v>
      </c>
      <c r="O1740">
        <v>0.24769644960546808</v>
      </c>
      <c r="P1740">
        <v>1.389114444157211E-2</v>
      </c>
      <c r="Q1740">
        <v>1.6701417216510659E-3</v>
      </c>
      <c r="R1740">
        <v>3.5516554719903109E-3</v>
      </c>
      <c r="S1740">
        <v>0.3742777632656194</v>
      </c>
      <c r="T1740">
        <v>0.42080731001921257</v>
      </c>
      <c r="U1740">
        <v>0</v>
      </c>
      <c r="V1740">
        <v>0.20697063499651744</v>
      </c>
      <c r="W1740">
        <v>0.22671166440227369</v>
      </c>
      <c r="X1740">
        <v>5.6718646481539098E-2</v>
      </c>
      <c r="Y1740">
        <v>9.6664353918459473E-3</v>
      </c>
    </row>
    <row r="1741" spans="1:25" x14ac:dyDescent="0.25">
      <c r="A1741" s="1083"/>
      <c r="B1741" s="1455">
        <v>1491</v>
      </c>
      <c r="C1741" s="1087">
        <v>0.99159012858629503</v>
      </c>
      <c r="D1741" s="1087">
        <v>1.0017599215209576</v>
      </c>
      <c r="E1741" s="1087">
        <v>1.0350281404018846</v>
      </c>
      <c r="F1741" s="1087">
        <v>1.01695820157091</v>
      </c>
      <c r="G1741" s="1087">
        <v>1.0240069645675889</v>
      </c>
      <c r="H1741" s="1087">
        <v>1.0331224799034637</v>
      </c>
      <c r="I1741" s="1087">
        <v>0.97522087424011417</v>
      </c>
      <c r="K1741">
        <v>1.9054890820725439</v>
      </c>
      <c r="L1741">
        <v>0</v>
      </c>
      <c r="M1741">
        <v>3.5234283137295127E-3</v>
      </c>
      <c r="N1741">
        <v>0.3722689611326182</v>
      </c>
      <c r="O1741">
        <v>0.24209988403275187</v>
      </c>
      <c r="P1741">
        <v>1.3679180415374966E-2</v>
      </c>
      <c r="Q1741">
        <v>1.6561541723012834E-3</v>
      </c>
      <c r="R1741">
        <v>3.5175664399647341E-3</v>
      </c>
      <c r="S1741">
        <v>0.36510520788524103</v>
      </c>
      <c r="T1741">
        <v>0.40974117936650478</v>
      </c>
      <c r="U1741">
        <v>0</v>
      </c>
      <c r="V1741">
        <v>0.20225118798220454</v>
      </c>
      <c r="W1741">
        <v>0.23205953524831496</v>
      </c>
      <c r="X1741">
        <v>5.7059997426875543E-2</v>
      </c>
      <c r="Y1741">
        <v>9.573656284118711E-3</v>
      </c>
    </row>
    <row r="1742" spans="1:25" x14ac:dyDescent="0.25">
      <c r="A1742" s="1083"/>
      <c r="B1742" s="1455">
        <v>1492</v>
      </c>
      <c r="C1742" s="1087">
        <v>0.9915472691882582</v>
      </c>
      <c r="D1742" s="1087">
        <v>0.9764668735574823</v>
      </c>
      <c r="E1742" s="1087">
        <v>0.99519743237718072</v>
      </c>
      <c r="F1742" s="1087">
        <v>0.96449598521631452</v>
      </c>
      <c r="G1742" s="1087">
        <v>1.044039213080705</v>
      </c>
      <c r="H1742" s="1087">
        <v>1.0021769796285578</v>
      </c>
      <c r="I1742" s="1087">
        <v>1.0176434433070862</v>
      </c>
      <c r="K1742">
        <v>1.8586642132251048</v>
      </c>
      <c r="L1742">
        <v>0</v>
      </c>
      <c r="M1742">
        <v>3.7590819860498182E-3</v>
      </c>
      <c r="N1742">
        <v>0.35174050162434983</v>
      </c>
      <c r="O1742">
        <v>0.23770188421190824</v>
      </c>
      <c r="P1742">
        <v>1.3149640883540134E-2</v>
      </c>
      <c r="Q1742">
        <v>1.6042499910398169E-3</v>
      </c>
      <c r="R1742">
        <v>3.7526556356342138E-3</v>
      </c>
      <c r="S1742">
        <v>0.38005339541641137</v>
      </c>
      <c r="T1742">
        <v>0.38836846410766601</v>
      </c>
      <c r="U1742">
        <v>0</v>
      </c>
      <c r="V1742">
        <v>0.19877178153176797</v>
      </c>
      <c r="W1742">
        <v>0.22472525368102822</v>
      </c>
      <c r="X1742">
        <v>5.2341976550208495E-2</v>
      </c>
      <c r="Y1742">
        <v>1.0213491577598509E-2</v>
      </c>
    </row>
    <row r="1743" spans="1:25" x14ac:dyDescent="0.25">
      <c r="A1743" s="1083"/>
      <c r="B1743" s="1455">
        <v>1493</v>
      </c>
      <c r="C1743" s="1087">
        <v>1.0077856171928306</v>
      </c>
      <c r="D1743" s="1087">
        <v>1.0033804449876711</v>
      </c>
      <c r="E1743" s="1087">
        <v>1.0351425198095503</v>
      </c>
      <c r="F1743" s="1087">
        <v>1.0043589313932728</v>
      </c>
      <c r="G1743" s="1087">
        <v>1.0132475318637673</v>
      </c>
      <c r="H1743" s="1087">
        <v>1.0007216218138366</v>
      </c>
      <c r="I1743" s="1087">
        <v>1.0130142551645422</v>
      </c>
      <c r="K1743">
        <v>1.8651390183474776</v>
      </c>
      <c r="L1743">
        <v>0</v>
      </c>
      <c r="M1743">
        <v>3.3541667656841615E-3</v>
      </c>
      <c r="N1743">
        <v>0.35448968053357166</v>
      </c>
      <c r="O1743">
        <v>0.23848186056134352</v>
      </c>
      <c r="P1743">
        <v>1.3593776766467282E-2</v>
      </c>
      <c r="Q1743">
        <v>1.6286808670224664E-3</v>
      </c>
      <c r="R1743">
        <v>3.3484041779384796E-3</v>
      </c>
      <c r="S1743">
        <v>0.36691318584842131</v>
      </c>
      <c r="T1743">
        <v>0.40466553844746922</v>
      </c>
      <c r="U1743">
        <v>0</v>
      </c>
      <c r="V1743">
        <v>0.19933768866020063</v>
      </c>
      <c r="W1743">
        <v>0.2209611671691333</v>
      </c>
      <c r="X1743">
        <v>5.5959949710383969E-2</v>
      </c>
      <c r="Y1743">
        <v>9.1132523712079382E-3</v>
      </c>
    </row>
    <row r="1744" spans="1:25" x14ac:dyDescent="0.25">
      <c r="A1744" s="1083"/>
      <c r="B1744" s="1455">
        <v>1494</v>
      </c>
      <c r="C1744" s="1087">
        <v>1.0275297839714244</v>
      </c>
      <c r="D1744" s="1087">
        <v>0.99619378264480174</v>
      </c>
      <c r="E1744" s="1087">
        <v>1.0067755179248568</v>
      </c>
      <c r="F1744" s="1087">
        <v>0.98400102222164543</v>
      </c>
      <c r="G1744" s="1087">
        <v>0.99396722138229665</v>
      </c>
      <c r="H1744" s="1087">
        <v>1.0373050197265017</v>
      </c>
      <c r="I1744" s="1087">
        <v>0.98530770031505444</v>
      </c>
      <c r="K1744">
        <v>1.8354531763040749</v>
      </c>
      <c r="L1744">
        <v>0</v>
      </c>
      <c r="M1744">
        <v>3.6283184314558035E-3</v>
      </c>
      <c r="N1744">
        <v>0.35173295804104598</v>
      </c>
      <c r="O1744">
        <v>0.23407492621681583</v>
      </c>
      <c r="P1744">
        <v>1.3021043270512065E-2</v>
      </c>
      <c r="Q1744">
        <v>1.5547903600826062E-3</v>
      </c>
      <c r="R1744">
        <v>3.6223105446299268E-3</v>
      </c>
      <c r="S1744">
        <v>0.35747451138164182</v>
      </c>
      <c r="T1744">
        <v>0.39629153282503199</v>
      </c>
      <c r="U1744">
        <v>0</v>
      </c>
      <c r="V1744">
        <v>0.19574917254491161</v>
      </c>
      <c r="W1744">
        <v>0.22310180712663116</v>
      </c>
      <c r="X1744">
        <v>5.259970721609649E-2</v>
      </c>
      <c r="Y1744">
        <v>9.8587352081325429E-3</v>
      </c>
    </row>
    <row r="1745" spans="1:25" x14ac:dyDescent="0.25">
      <c r="A1745" s="1083"/>
      <c r="B1745" s="1455">
        <v>1495</v>
      </c>
      <c r="C1745" s="1087">
        <v>1.0028568354247234</v>
      </c>
      <c r="D1745" s="1087">
        <v>1.0301932015215314</v>
      </c>
      <c r="E1745" s="1087">
        <v>0.99525986901449692</v>
      </c>
      <c r="F1745" s="1087">
        <v>1.0169933086556022</v>
      </c>
      <c r="G1745" s="1087">
        <v>1.0004111777379558</v>
      </c>
      <c r="H1745" s="1087">
        <v>0.99237379066093845</v>
      </c>
      <c r="I1745" s="1087">
        <v>1.0101455187760493</v>
      </c>
      <c r="K1745">
        <v>1.8312500444789614</v>
      </c>
      <c r="L1745">
        <v>0</v>
      </c>
      <c r="M1745">
        <v>3.5754178979899151E-3</v>
      </c>
      <c r="N1745">
        <v>0.3346087291047467</v>
      </c>
      <c r="O1745">
        <v>0.23730194565897667</v>
      </c>
      <c r="P1745">
        <v>1.3176891627214655E-2</v>
      </c>
      <c r="Q1745">
        <v>1.5526409233003824E-3</v>
      </c>
      <c r="R1745">
        <v>3.5691994931042357E-3</v>
      </c>
      <c r="S1745">
        <v>0.36036895545321085</v>
      </c>
      <c r="T1745">
        <v>0.40950766531433158</v>
      </c>
      <c r="U1745">
        <v>0</v>
      </c>
      <c r="V1745">
        <v>0.19928104665105689</v>
      </c>
      <c r="W1745">
        <v>0.21377147981035743</v>
      </c>
      <c r="X1745">
        <v>5.1972723906717318E-2</v>
      </c>
      <c r="Y1745">
        <v>9.7141844339330447E-3</v>
      </c>
    </row>
    <row r="1746" spans="1:25" x14ac:dyDescent="0.25">
      <c r="A1746" s="1083"/>
      <c r="B1746" s="1455">
        <v>1496</v>
      </c>
      <c r="C1746" s="1087">
        <v>0.98191160679060763</v>
      </c>
      <c r="D1746" s="1087">
        <v>0.97862565389552159</v>
      </c>
      <c r="E1746" s="1087">
        <v>1.0162491869001387</v>
      </c>
      <c r="F1746" s="1087">
        <v>0.99967397264474767</v>
      </c>
      <c r="G1746" s="1087">
        <v>1.003241237993546</v>
      </c>
      <c r="H1746" s="1087">
        <v>1.0145976867110937</v>
      </c>
      <c r="I1746" s="1087">
        <v>1.0089583195363936</v>
      </c>
      <c r="K1746">
        <v>1.910771524046889</v>
      </c>
      <c r="L1746">
        <v>0</v>
      </c>
      <c r="M1746">
        <v>3.6775623234454116E-3</v>
      </c>
      <c r="N1746">
        <v>0.36694304376996811</v>
      </c>
      <c r="O1746">
        <v>0.24329594294198917</v>
      </c>
      <c r="P1746">
        <v>1.36480391013418E-2</v>
      </c>
      <c r="Q1746">
        <v>1.655171330728622E-3</v>
      </c>
      <c r="R1746">
        <v>3.6713521529009303E-3</v>
      </c>
      <c r="S1746">
        <v>0.38268987353496725</v>
      </c>
      <c r="T1746">
        <v>0.40266142684653244</v>
      </c>
      <c r="U1746">
        <v>0</v>
      </c>
      <c r="V1746">
        <v>0.20295074587001549</v>
      </c>
      <c r="W1746">
        <v>0.23138759122824951</v>
      </c>
      <c r="X1746">
        <v>5.5553689294354149E-2</v>
      </c>
      <c r="Y1746">
        <v>9.992210299284392E-3</v>
      </c>
    </row>
    <row r="1747" spans="1:25" x14ac:dyDescent="0.25">
      <c r="A1747" s="1083"/>
      <c r="B1747" s="1455">
        <v>1497</v>
      </c>
      <c r="C1747" s="1087">
        <v>0.97307498494121825</v>
      </c>
      <c r="D1747" s="1087">
        <v>0.98336540381842052</v>
      </c>
      <c r="E1747" s="1087">
        <v>1.009425909811335</v>
      </c>
      <c r="F1747" s="1087">
        <v>1.0115839474721522</v>
      </c>
      <c r="G1747" s="1087">
        <v>0.9769678999246596</v>
      </c>
      <c r="H1747" s="1087">
        <v>1.0019729131289072</v>
      </c>
      <c r="I1747" s="1087">
        <v>1.0070576761691925</v>
      </c>
      <c r="K1747">
        <v>1.9115719776359825</v>
      </c>
      <c r="L1747">
        <v>0</v>
      </c>
      <c r="M1747">
        <v>3.7069500703975529E-3</v>
      </c>
      <c r="N1747">
        <v>0.36225216432317919</v>
      </c>
      <c r="O1747">
        <v>0.24526937885256386</v>
      </c>
      <c r="P1747">
        <v>1.3658481462612126E-2</v>
      </c>
      <c r="Q1747">
        <v>1.6549806598907619E-3</v>
      </c>
      <c r="R1747">
        <v>3.700607519982291E-3</v>
      </c>
      <c r="S1747">
        <v>0.38194354959786248</v>
      </c>
      <c r="T1747">
        <v>0.40741647722406782</v>
      </c>
      <c r="U1747">
        <v>0</v>
      </c>
      <c r="V1747">
        <v>0.20468471270068361</v>
      </c>
      <c r="W1747">
        <v>0.22939617650816679</v>
      </c>
      <c r="X1747">
        <v>5.5230565092918155E-2</v>
      </c>
      <c r="Y1747">
        <v>1.0071833764450694E-2</v>
      </c>
    </row>
    <row r="1748" spans="1:25" x14ac:dyDescent="0.25">
      <c r="A1748" s="1083"/>
      <c r="B1748" s="1455">
        <v>1498</v>
      </c>
      <c r="C1748" s="1087">
        <v>0.99477386930140288</v>
      </c>
      <c r="D1748" s="1087">
        <v>1.0173244536508788</v>
      </c>
      <c r="E1748" s="1087">
        <v>1.0331231420825644</v>
      </c>
      <c r="F1748" s="1087">
        <v>1.0073715316180931</v>
      </c>
      <c r="G1748" s="1087">
        <v>1.0085662222683094</v>
      </c>
      <c r="H1748" s="1087">
        <v>0.96172577850699292</v>
      </c>
      <c r="I1748" s="1087">
        <v>0.99818370256250899</v>
      </c>
      <c r="K1748">
        <v>1.8362427718595573</v>
      </c>
      <c r="L1748">
        <v>0</v>
      </c>
      <c r="M1748">
        <v>3.2549309984927833E-3</v>
      </c>
      <c r="N1748">
        <v>0.34186861818288816</v>
      </c>
      <c r="O1748">
        <v>0.23900534677564059</v>
      </c>
      <c r="P1748">
        <v>1.3456805313309025E-2</v>
      </c>
      <c r="Q1748">
        <v>1.6374347238262443E-3</v>
      </c>
      <c r="R1748">
        <v>3.2491010176135711E-3</v>
      </c>
      <c r="S1748">
        <v>0.35642769657014423</v>
      </c>
      <c r="T1748">
        <v>0.40586672401049773</v>
      </c>
      <c r="U1748">
        <v>0</v>
      </c>
      <c r="V1748">
        <v>0.20024484081323146</v>
      </c>
      <c r="W1748">
        <v>0.21335642855337633</v>
      </c>
      <c r="X1748">
        <v>5.5541724993438818E-2</v>
      </c>
      <c r="Y1748">
        <v>8.8429819040815386E-3</v>
      </c>
    </row>
    <row r="1749" spans="1:25" x14ac:dyDescent="0.25">
      <c r="A1749" s="1083"/>
      <c r="B1749" s="1455">
        <v>1499</v>
      </c>
      <c r="C1749" s="1087">
        <v>0.99155856459634462</v>
      </c>
      <c r="D1749" s="1087">
        <v>1.0021978820218411</v>
      </c>
      <c r="E1749" s="1087">
        <v>1.0210877667560001</v>
      </c>
      <c r="F1749" s="1087">
        <v>1.0269403787853519</v>
      </c>
      <c r="G1749" s="1087">
        <v>0.98440577428509046</v>
      </c>
      <c r="H1749" s="1087">
        <v>1.0343971686710378</v>
      </c>
      <c r="I1749" s="1087">
        <v>1.0171170558324845</v>
      </c>
      <c r="K1749">
        <v>1.9203481853194377</v>
      </c>
      <c r="L1749">
        <v>0</v>
      </c>
      <c r="M1749">
        <v>3.6294363135904823E-3</v>
      </c>
      <c r="N1749">
        <v>0.36753059889538914</v>
      </c>
      <c r="O1749">
        <v>0.2430147912994991</v>
      </c>
      <c r="P1749">
        <v>1.3823237694348506E-2</v>
      </c>
      <c r="Q1749">
        <v>1.6318488970645478E-3</v>
      </c>
      <c r="R1749">
        <v>3.623404999426524E-3</v>
      </c>
      <c r="S1749">
        <v>0.3807757869001494</v>
      </c>
      <c r="T1749">
        <v>0.41367464033221607</v>
      </c>
      <c r="U1749">
        <v>0</v>
      </c>
      <c r="V1749">
        <v>0.20299541547822839</v>
      </c>
      <c r="W1749">
        <v>0.23106820641550935</v>
      </c>
      <c r="X1749">
        <v>5.5977976767894483E-2</v>
      </c>
      <c r="Y1749">
        <v>9.8617139533019541E-3</v>
      </c>
    </row>
    <row r="1750" spans="1:25" x14ac:dyDescent="0.25">
      <c r="A1750" s="1083"/>
      <c r="B1750" s="1455">
        <v>1500</v>
      </c>
      <c r="C1750" s="1087">
        <v>0.9987108453358815</v>
      </c>
      <c r="D1750" s="1087">
        <v>0.98720887943881275</v>
      </c>
      <c r="E1750" s="1087">
        <v>0.9767050738130405</v>
      </c>
      <c r="F1750" s="1087">
        <v>0.99776316931182962</v>
      </c>
      <c r="G1750" s="1087">
        <v>0.9824973988628648</v>
      </c>
      <c r="H1750" s="1087">
        <v>1.0260991710341292</v>
      </c>
      <c r="I1750" s="1087">
        <v>0.99573493999173845</v>
      </c>
      <c r="K1750">
        <v>1.8635675655163946</v>
      </c>
      <c r="L1750">
        <v>0</v>
      </c>
      <c r="M1750">
        <v>3.9461649299833718E-3</v>
      </c>
      <c r="N1750">
        <v>0.34897843979625481</v>
      </c>
      <c r="O1750">
        <v>0.2395746563127166</v>
      </c>
      <c r="P1750">
        <v>1.3046217756627896E-2</v>
      </c>
      <c r="Q1750">
        <v>1.5546218358044469E-3</v>
      </c>
      <c r="R1750">
        <v>3.9395681972529207E-3</v>
      </c>
      <c r="S1750">
        <v>0.37117333231507699</v>
      </c>
      <c r="T1750">
        <v>0.4016533138566763</v>
      </c>
      <c r="U1750">
        <v>0</v>
      </c>
      <c r="V1750">
        <v>0.20025345426696467</v>
      </c>
      <c r="W1750">
        <v>0.225579474219195</v>
      </c>
      <c r="X1750">
        <v>5.103844593519135E-2</v>
      </c>
      <c r="Y1750">
        <v>1.0722205954615253E-2</v>
      </c>
    </row>
    <row r="1751" spans="1:25" x14ac:dyDescent="0.25">
      <c r="A1751" s="1083"/>
      <c r="B1751" s="1455">
        <v>1501</v>
      </c>
      <c r="C1751" s="1087">
        <v>0.95428532521579978</v>
      </c>
      <c r="D1751" s="1087">
        <v>1.0413084958100653</v>
      </c>
      <c r="E1751" s="1087">
        <v>1.0244266334493433</v>
      </c>
      <c r="F1751" s="1087">
        <v>0.9626986829323203</v>
      </c>
      <c r="G1751" s="1087">
        <v>1.0114352212110906</v>
      </c>
      <c r="H1751" s="1087">
        <v>0.95941972362932171</v>
      </c>
      <c r="I1751" s="1087">
        <v>1.0234999884293579</v>
      </c>
      <c r="K1751">
        <v>1.8444399480386244</v>
      </c>
      <c r="L1751">
        <v>0</v>
      </c>
      <c r="M1751">
        <v>3.4027503892966765E-3</v>
      </c>
      <c r="N1751">
        <v>0.34804986887918016</v>
      </c>
      <c r="O1751">
        <v>0.23626274692724045</v>
      </c>
      <c r="P1751">
        <v>1.3378014280877265E-2</v>
      </c>
      <c r="Q1751">
        <v>1.6757021197440674E-3</v>
      </c>
      <c r="R1751">
        <v>3.3966208878956159E-3</v>
      </c>
      <c r="S1751">
        <v>0.37556080131319242</v>
      </c>
      <c r="T1751">
        <v>0.38781642997576204</v>
      </c>
      <c r="U1751">
        <v>0</v>
      </c>
      <c r="V1751">
        <v>0.19958824548996404</v>
      </c>
      <c r="W1751">
        <v>0.21837226392084164</v>
      </c>
      <c r="X1751">
        <v>5.4497522272147388E-2</v>
      </c>
      <c r="Y1751">
        <v>9.2444823610770954E-3</v>
      </c>
    </row>
    <row r="1752" spans="1:25" x14ac:dyDescent="0.25">
      <c r="A1752" s="1083"/>
      <c r="B1752" s="1455">
        <v>1502</v>
      </c>
      <c r="C1752" s="1087">
        <v>1.0108291551195159</v>
      </c>
      <c r="D1752" s="1087">
        <v>1.0070791298463762</v>
      </c>
      <c r="E1752" s="1087">
        <v>0.97128913075875301</v>
      </c>
      <c r="F1752" s="1087">
        <v>0.98703933232736973</v>
      </c>
      <c r="G1752" s="1087">
        <v>1.0239514103469891</v>
      </c>
      <c r="H1752" s="1087">
        <v>0.95731219161689074</v>
      </c>
      <c r="I1752" s="1087">
        <v>0.99117425591867936</v>
      </c>
      <c r="K1752">
        <v>1.7727290575482564</v>
      </c>
      <c r="L1752">
        <v>0</v>
      </c>
      <c r="M1752">
        <v>3.6383653390405523E-3</v>
      </c>
      <c r="N1752">
        <v>0.31643436084504972</v>
      </c>
      <c r="O1752">
        <v>0.23481999233762035</v>
      </c>
      <c r="P1752">
        <v>1.2591564461291341E-2</v>
      </c>
      <c r="Q1752">
        <v>1.5149020665702381E-3</v>
      </c>
      <c r="R1752">
        <v>3.6318277066868837E-3</v>
      </c>
      <c r="S1752">
        <v>0.3487952460002558</v>
      </c>
      <c r="T1752">
        <v>0.39730461042435111</v>
      </c>
      <c r="U1752">
        <v>0</v>
      </c>
      <c r="V1752">
        <v>0.19696110701618066</v>
      </c>
      <c r="W1752">
        <v>0.20525010757885501</v>
      </c>
      <c r="X1752">
        <v>4.9179066664514069E-2</v>
      </c>
      <c r="Y1752">
        <v>9.8846377859199523E-3</v>
      </c>
    </row>
    <row r="1753" spans="1:25" x14ac:dyDescent="0.25">
      <c r="A1753" s="1083"/>
      <c r="B1753" s="1455">
        <v>1503</v>
      </c>
      <c r="C1753" s="1087">
        <v>0.96270395310239276</v>
      </c>
      <c r="D1753" s="1087">
        <v>0.98743196080556794</v>
      </c>
      <c r="E1753" s="1087">
        <v>1.0070407740200733</v>
      </c>
      <c r="F1753" s="1087">
        <v>0.97969762450385756</v>
      </c>
      <c r="G1753" s="1087">
        <v>0.99397359537573593</v>
      </c>
      <c r="H1753" s="1087">
        <v>0.96565202059176358</v>
      </c>
      <c r="I1753" s="1087">
        <v>0.9873381967096605</v>
      </c>
      <c r="K1753">
        <v>1.86300997561871</v>
      </c>
      <c r="L1753">
        <v>0</v>
      </c>
      <c r="M1753">
        <v>3.6194888322737305E-3</v>
      </c>
      <c r="N1753">
        <v>0.35111840529453736</v>
      </c>
      <c r="O1753">
        <v>0.242199904158486</v>
      </c>
      <c r="P1753">
        <v>1.327845572605621E-2</v>
      </c>
      <c r="Q1753">
        <v>1.665829230383503E-3</v>
      </c>
      <c r="R1753">
        <v>3.6130571857545066E-3</v>
      </c>
      <c r="S1753">
        <v>0.37074131095155344</v>
      </c>
      <c r="T1753">
        <v>0.39455998676966908</v>
      </c>
      <c r="U1753">
        <v>0</v>
      </c>
      <c r="V1753">
        <v>0.20279231623995742</v>
      </c>
      <c r="W1753">
        <v>0.22267528286977467</v>
      </c>
      <c r="X1753">
        <v>5.4151365409168067E-2</v>
      </c>
      <c r="Y1753">
        <v>9.8335506156425837E-3</v>
      </c>
    </row>
    <row r="1754" spans="1:25" x14ac:dyDescent="0.25">
      <c r="A1754" s="1083"/>
      <c r="B1754" s="1455">
        <v>1504</v>
      </c>
      <c r="C1754" s="1087">
        <v>0.9644357607323728</v>
      </c>
      <c r="D1754" s="1087">
        <v>1.0196620269414152</v>
      </c>
      <c r="E1754" s="1087">
        <v>1.0245117646535411</v>
      </c>
      <c r="F1754" s="1087">
        <v>1.0103044611275709</v>
      </c>
      <c r="G1754" s="1087">
        <v>1.0061506813499199</v>
      </c>
      <c r="H1754" s="1087">
        <v>1.0186892017725571</v>
      </c>
      <c r="I1754" s="1087">
        <v>0.99289791937826832</v>
      </c>
      <c r="K1754">
        <v>1.9126658215482615</v>
      </c>
      <c r="L1754">
        <v>0</v>
      </c>
      <c r="M1754">
        <v>3.615560762616809E-3</v>
      </c>
      <c r="N1754">
        <v>0.36995383448306857</v>
      </c>
      <c r="O1754">
        <v>0.24278785414016976</v>
      </c>
      <c r="P1754">
        <v>1.3704032857322258E-2</v>
      </c>
      <c r="Q1754">
        <v>1.6722065806929023E-3</v>
      </c>
      <c r="R1754">
        <v>3.6094456643283803E-3</v>
      </c>
      <c r="S1754">
        <v>0.37568540456355631</v>
      </c>
      <c r="T1754">
        <v>0.40699461477650467</v>
      </c>
      <c r="U1754">
        <v>0</v>
      </c>
      <c r="V1754">
        <v>0.20369366830456229</v>
      </c>
      <c r="W1754">
        <v>0.23210305364847891</v>
      </c>
      <c r="X1754">
        <v>5.6253546047333854E-2</v>
      </c>
      <c r="Y1754">
        <v>9.8237212448583858E-3</v>
      </c>
    </row>
    <row r="1755" spans="1:25" x14ac:dyDescent="0.25">
      <c r="A1755" s="1083"/>
      <c r="B1755" s="1455">
        <v>1505</v>
      </c>
      <c r="C1755" s="1087">
        <v>1.0334344537579523</v>
      </c>
      <c r="D1755" s="1087">
        <v>0.98238674357431599</v>
      </c>
      <c r="E1755" s="1087">
        <v>0.98122520675258118</v>
      </c>
      <c r="F1755" s="1087">
        <v>1.0040493987417696</v>
      </c>
      <c r="G1755" s="1087">
        <v>1.042741178372502</v>
      </c>
      <c r="H1755" s="1087">
        <v>0.97783271974213126</v>
      </c>
      <c r="I1755" s="1087">
        <v>1.0022303298470698</v>
      </c>
      <c r="K1755">
        <v>1.7988155311049847</v>
      </c>
      <c r="L1755">
        <v>0</v>
      </c>
      <c r="M1755">
        <v>3.6100831901015205E-3</v>
      </c>
      <c r="N1755">
        <v>0.32367192256322008</v>
      </c>
      <c r="O1755">
        <v>0.23674138683190066</v>
      </c>
      <c r="P1755">
        <v>1.2849811083958385E-2</v>
      </c>
      <c r="Q1755">
        <v>1.5126796050423427E-3</v>
      </c>
      <c r="R1755">
        <v>3.6037542028511194E-3</v>
      </c>
      <c r="S1755">
        <v>0.3534921133702989</v>
      </c>
      <c r="T1755">
        <v>0.40421094179705724</v>
      </c>
      <c r="U1755">
        <v>0</v>
      </c>
      <c r="V1755">
        <v>0.1974443080470496</v>
      </c>
      <c r="W1755">
        <v>0.20862186802846416</v>
      </c>
      <c r="X1755">
        <v>5.0468597802335383E-2</v>
      </c>
      <c r="Y1755">
        <v>9.8082309629070538E-3</v>
      </c>
    </row>
    <row r="1756" spans="1:25" x14ac:dyDescent="0.25">
      <c r="A1756" s="1083"/>
      <c r="B1756" s="1455">
        <v>1506</v>
      </c>
      <c r="C1756" s="1087">
        <v>0.99078933748108156</v>
      </c>
      <c r="D1756" s="1087">
        <v>1.0025584049249541</v>
      </c>
      <c r="E1756" s="1087">
        <v>0.96671407917684915</v>
      </c>
      <c r="F1756" s="1087">
        <v>1.0054277366412783</v>
      </c>
      <c r="G1756" s="1087">
        <v>1.02792769906903</v>
      </c>
      <c r="H1756" s="1087">
        <v>1.0019459588869342</v>
      </c>
      <c r="I1756" s="1087">
        <v>1.0198010428112143</v>
      </c>
      <c r="K1756">
        <v>1.8525220687955524</v>
      </c>
      <c r="L1756">
        <v>0</v>
      </c>
      <c r="M1756">
        <v>3.931139421275996E-3</v>
      </c>
      <c r="N1756">
        <v>0.33717386307821828</v>
      </c>
      <c r="O1756">
        <v>0.23976742280062063</v>
      </c>
      <c r="P1756">
        <v>1.3050689164893461E-2</v>
      </c>
      <c r="Q1756">
        <v>1.5406748785397285E-3</v>
      </c>
      <c r="R1756">
        <v>3.924395031026616E-3</v>
      </c>
      <c r="S1756">
        <v>0.37531201007567661</v>
      </c>
      <c r="T1756">
        <v>0.40467909387444401</v>
      </c>
      <c r="U1756">
        <v>0</v>
      </c>
      <c r="V1756">
        <v>0.20088907122350652</v>
      </c>
      <c r="W1756">
        <v>0.21934337794908612</v>
      </c>
      <c r="X1756">
        <v>5.0091700542835675E-2</v>
      </c>
      <c r="Y1756">
        <v>1.0680909597980156E-2</v>
      </c>
    </row>
    <row r="1757" spans="1:25" x14ac:dyDescent="0.25">
      <c r="A1757" s="1083"/>
      <c r="B1757" s="1455">
        <v>1507</v>
      </c>
      <c r="C1757" s="1087">
        <v>0.9765516676960464</v>
      </c>
      <c r="D1757" s="1087">
        <v>0.97294241756539523</v>
      </c>
      <c r="E1757" s="1087">
        <v>0.99151768236222082</v>
      </c>
      <c r="F1757" s="1087">
        <v>1.0164132517620983</v>
      </c>
      <c r="G1757" s="1087">
        <v>0.97986154338625742</v>
      </c>
      <c r="H1757" s="1087">
        <v>1.01112180812328</v>
      </c>
      <c r="I1757" s="1087">
        <v>0.98674003323547255</v>
      </c>
      <c r="K1757">
        <v>1.9068827336401799</v>
      </c>
      <c r="L1757">
        <v>0</v>
      </c>
      <c r="M1757">
        <v>3.8888889327687516E-3</v>
      </c>
      <c r="N1757">
        <v>0.35982726860309361</v>
      </c>
      <c r="O1757">
        <v>0.24621919225498146</v>
      </c>
      <c r="P1757">
        <v>1.3436683241837761E-2</v>
      </c>
      <c r="Q1757">
        <v>1.6248363940263454E-3</v>
      </c>
      <c r="R1757">
        <v>3.8823051378463801E-3</v>
      </c>
      <c r="S1757">
        <v>0.37660881597531404</v>
      </c>
      <c r="T1757">
        <v>0.40925115874156176</v>
      </c>
      <c r="U1757">
        <v>0</v>
      </c>
      <c r="V1757">
        <v>0.2051802053347577</v>
      </c>
      <c r="W1757">
        <v>0.23042367810124884</v>
      </c>
      <c r="X1757">
        <v>5.3751124004606021E-2</v>
      </c>
      <c r="Y1757">
        <v>1.0566354783673111E-2</v>
      </c>
    </row>
    <row r="1758" spans="1:25" x14ac:dyDescent="0.25">
      <c r="A1758" s="1083"/>
      <c r="B1758" s="1455">
        <v>1508</v>
      </c>
      <c r="C1758" s="1087">
        <v>1.0151969022535332</v>
      </c>
      <c r="D1758" s="1087">
        <v>0.9723321363183598</v>
      </c>
      <c r="E1758" s="1087">
        <v>1.0068607784964301</v>
      </c>
      <c r="F1758" s="1087">
        <v>1.0259649655417258</v>
      </c>
      <c r="G1758" s="1087">
        <v>0.98642497316491418</v>
      </c>
      <c r="H1758" s="1087">
        <v>0.99422167064872302</v>
      </c>
      <c r="I1758" s="1087">
        <v>0.96740421843922331</v>
      </c>
      <c r="K1758">
        <v>1.8541771183312483</v>
      </c>
      <c r="L1758">
        <v>0</v>
      </c>
      <c r="M1758">
        <v>3.5659019830360291E-3</v>
      </c>
      <c r="N1758">
        <v>0.34574937393266897</v>
      </c>
      <c r="O1758">
        <v>0.2428622547623738</v>
      </c>
      <c r="P1758">
        <v>1.3270001927940197E-2</v>
      </c>
      <c r="Q1758">
        <v>1.5891575922772287E-3</v>
      </c>
      <c r="R1758">
        <v>3.5597629251255523E-3</v>
      </c>
      <c r="S1758">
        <v>0.35250207324289878</v>
      </c>
      <c r="T1758">
        <v>0.41319240905057991</v>
      </c>
      <c r="U1758">
        <v>0</v>
      </c>
      <c r="V1758">
        <v>0.20191630058604873</v>
      </c>
      <c r="W1758">
        <v>0.21929483766561386</v>
      </c>
      <c r="X1758">
        <v>5.4118347422098811E-2</v>
      </c>
      <c r="Y1758">
        <v>9.688501206658864E-3</v>
      </c>
    </row>
    <row r="1759" spans="1:25" x14ac:dyDescent="0.25">
      <c r="A1759" s="1083"/>
      <c r="B1759" s="1455">
        <v>1509</v>
      </c>
      <c r="C1759" s="1087">
        <v>0.99212951983530528</v>
      </c>
      <c r="D1759" s="1087">
        <v>1.029194702069232</v>
      </c>
      <c r="E1759" s="1087">
        <v>0.98520871059329318</v>
      </c>
      <c r="F1759" s="1087">
        <v>1.0009371328947538</v>
      </c>
      <c r="G1759" s="1087">
        <v>1.0085108527251889</v>
      </c>
      <c r="H1759" s="1087">
        <v>1.0090200406169567</v>
      </c>
      <c r="I1759" s="1087">
        <v>1.0240890151062041</v>
      </c>
      <c r="K1759">
        <v>1.8470414557838253</v>
      </c>
      <c r="L1759">
        <v>0</v>
      </c>
      <c r="M1759">
        <v>3.7536411275866954E-3</v>
      </c>
      <c r="N1759">
        <v>0.34067895416897293</v>
      </c>
      <c r="O1759">
        <v>0.2367353259061209</v>
      </c>
      <c r="P1759">
        <v>1.3150322999768808E-2</v>
      </c>
      <c r="Q1759">
        <v>1.5532274529131555E-3</v>
      </c>
      <c r="R1759">
        <v>3.7472226302873429E-3</v>
      </c>
      <c r="S1759">
        <v>0.3724791310575184</v>
      </c>
      <c r="T1759">
        <v>0.40298187166307253</v>
      </c>
      <c r="U1759">
        <v>0</v>
      </c>
      <c r="V1759">
        <v>0.19907903480521227</v>
      </c>
      <c r="W1759">
        <v>0.21903090394779903</v>
      </c>
      <c r="X1759">
        <v>5.1160397551710028E-2</v>
      </c>
      <c r="Y1759">
        <v>1.019870472803406E-2</v>
      </c>
    </row>
    <row r="1760" spans="1:25" x14ac:dyDescent="0.25">
      <c r="A1760" s="1083"/>
      <c r="B1760" s="1455">
        <v>1510</v>
      </c>
      <c r="C1760" s="1087">
        <v>0.97660663185867069</v>
      </c>
      <c r="D1760" s="1087">
        <v>0.97955798496898838</v>
      </c>
      <c r="E1760" s="1087">
        <v>0.98560103498294904</v>
      </c>
      <c r="F1760" s="1087">
        <v>0.99694573262302399</v>
      </c>
      <c r="G1760" s="1087">
        <v>0.96330765613777858</v>
      </c>
      <c r="H1760" s="1087">
        <v>1.009030306031985</v>
      </c>
      <c r="I1760" s="1087">
        <v>1.0167532040394658</v>
      </c>
      <c r="K1760">
        <v>1.8959562624329067</v>
      </c>
      <c r="L1760">
        <v>0</v>
      </c>
      <c r="M1760">
        <v>3.9130159833583537E-3</v>
      </c>
      <c r="N1760">
        <v>0.35557380949590728</v>
      </c>
      <c r="O1760">
        <v>0.24307985433888166</v>
      </c>
      <c r="P1760">
        <v>1.3370123198228862E-2</v>
      </c>
      <c r="Q1760">
        <v>1.6101029768864834E-3</v>
      </c>
      <c r="R1760">
        <v>3.9063705807202351E-3</v>
      </c>
      <c r="S1760">
        <v>0.38609303884332485</v>
      </c>
      <c r="T1760">
        <v>0.40137726073277979</v>
      </c>
      <c r="U1760">
        <v>0</v>
      </c>
      <c r="V1760">
        <v>0.20306301404645338</v>
      </c>
      <c r="W1760">
        <v>0.22855052202599296</v>
      </c>
      <c r="X1760">
        <v>5.2613329191082962E-2</v>
      </c>
      <c r="Y1760">
        <v>1.0631852986004629E-2</v>
      </c>
    </row>
    <row r="1761" spans="1:25" x14ac:dyDescent="0.25">
      <c r="A1761" s="1083"/>
      <c r="B1761" s="1455">
        <v>1511</v>
      </c>
      <c r="C1761" s="1087">
        <v>0.99128998730057827</v>
      </c>
      <c r="D1761" s="1087">
        <v>1.0077544893029344</v>
      </c>
      <c r="E1761" s="1087">
        <v>1.0057676546626362</v>
      </c>
      <c r="F1761" s="1087">
        <v>0.98430967768828814</v>
      </c>
      <c r="G1761" s="1087">
        <v>1.0271689171577272</v>
      </c>
      <c r="H1761" s="1087">
        <v>1.0006055246949199</v>
      </c>
      <c r="I1761" s="1087">
        <v>0.99484328265222</v>
      </c>
      <c r="K1761">
        <v>1.8461533517217059</v>
      </c>
      <c r="L1761">
        <v>0</v>
      </c>
      <c r="M1761">
        <v>3.6130323832294815E-3</v>
      </c>
      <c r="N1761">
        <v>0.34915381967136883</v>
      </c>
      <c r="O1761">
        <v>0.23725581981218316</v>
      </c>
      <c r="P1761">
        <v>1.3161556903961249E-2</v>
      </c>
      <c r="Q1761">
        <v>1.6024934713589421E-3</v>
      </c>
      <c r="R1761">
        <v>3.606820728568212E-3</v>
      </c>
      <c r="S1761">
        <v>0.3650941440472924</v>
      </c>
      <c r="T1761">
        <v>0.39640980144174315</v>
      </c>
      <c r="U1761">
        <v>0</v>
      </c>
      <c r="V1761">
        <v>0.19897399723563922</v>
      </c>
      <c r="W1761">
        <v>0.2216047298987201</v>
      </c>
      <c r="X1761">
        <v>5.3086623859069648E-2</v>
      </c>
      <c r="Y1761">
        <v>9.816577035029049E-3</v>
      </c>
    </row>
    <row r="1762" spans="1:25" x14ac:dyDescent="0.25">
      <c r="A1762" s="1083"/>
      <c r="B1762" s="1455">
        <v>1512</v>
      </c>
      <c r="C1762" s="1087">
        <v>0.98207192384364994</v>
      </c>
      <c r="D1762" s="1087">
        <v>0.97325955294789845</v>
      </c>
      <c r="E1762" s="1087">
        <v>1.0053588423595703</v>
      </c>
      <c r="F1762" s="1087">
        <v>0.9951084041481022</v>
      </c>
      <c r="G1762" s="1087">
        <v>0.98089649465107021</v>
      </c>
      <c r="H1762" s="1087">
        <v>0.97974213876039917</v>
      </c>
      <c r="I1762" s="1087">
        <v>1.0010781621707827</v>
      </c>
      <c r="K1762">
        <v>1.8744136112468943</v>
      </c>
      <c r="L1762">
        <v>0</v>
      </c>
      <c r="M1762">
        <v>3.6413233031806561E-3</v>
      </c>
      <c r="N1762">
        <v>0.35143927227248262</v>
      </c>
      <c r="O1762">
        <v>0.24310489055672566</v>
      </c>
      <c r="P1762">
        <v>1.3392559403993585E-2</v>
      </c>
      <c r="Q1762">
        <v>1.639515303882498E-3</v>
      </c>
      <c r="R1762">
        <v>3.6349600582013656E-3</v>
      </c>
      <c r="S1762">
        <v>0.3741166661136211</v>
      </c>
      <c r="T1762">
        <v>0.40075628433316723</v>
      </c>
      <c r="U1762">
        <v>0</v>
      </c>
      <c r="V1762">
        <v>0.20275838694761703</v>
      </c>
      <c r="W1762">
        <v>0.22311203132168927</v>
      </c>
      <c r="X1762">
        <v>5.4207205224531499E-2</v>
      </c>
      <c r="Y1762">
        <v>9.8931630141629728E-3</v>
      </c>
    </row>
    <row r="1763" spans="1:25" x14ac:dyDescent="0.25">
      <c r="A1763" s="1083"/>
      <c r="B1763" s="1455">
        <v>1513</v>
      </c>
      <c r="C1763" s="1087">
        <v>0.97251610285693701</v>
      </c>
      <c r="D1763" s="1087">
        <v>0.96668409492778729</v>
      </c>
      <c r="E1763" s="1087">
        <v>0.99463949223895232</v>
      </c>
      <c r="F1763" s="1087">
        <v>1.0036738341597271</v>
      </c>
      <c r="G1763" s="1087">
        <v>1.0403210331494959</v>
      </c>
      <c r="H1763" s="1087">
        <v>0.95883561462801159</v>
      </c>
      <c r="I1763" s="1087">
        <v>0.99150819391273304</v>
      </c>
      <c r="K1763">
        <v>1.8702649765514949</v>
      </c>
      <c r="L1763">
        <v>0</v>
      </c>
      <c r="M1763">
        <v>3.6918010556284404E-3</v>
      </c>
      <c r="N1763">
        <v>0.34483136778090984</v>
      </c>
      <c r="O1763">
        <v>0.24585522546776353</v>
      </c>
      <c r="P1763">
        <v>1.3325470635658641E-2</v>
      </c>
      <c r="Q1763">
        <v>1.6412659669546622E-3</v>
      </c>
      <c r="R1763">
        <v>3.6852149990109621E-3</v>
      </c>
      <c r="S1763">
        <v>0.37152564231410784</v>
      </c>
      <c r="T1763">
        <v>0.40414061921026767</v>
      </c>
      <c r="U1763">
        <v>0</v>
      </c>
      <c r="V1763">
        <v>0.20487229882143304</v>
      </c>
      <c r="W1763">
        <v>0.22038815371753662</v>
      </c>
      <c r="X1763">
        <v>5.3661578296968875E-2</v>
      </c>
      <c r="Y1763">
        <v>1.0029940396509908E-2</v>
      </c>
    </row>
    <row r="1764" spans="1:25" x14ac:dyDescent="0.25">
      <c r="A1764" s="1083"/>
      <c r="B1764" s="1455">
        <v>1514</v>
      </c>
      <c r="C1764" s="1087">
        <v>0.99905485727490495</v>
      </c>
      <c r="D1764" s="1087">
        <v>0.99561588662218703</v>
      </c>
      <c r="E1764" s="1087">
        <v>0.97104573812514983</v>
      </c>
      <c r="F1764" s="1087">
        <v>0.95839942126426181</v>
      </c>
      <c r="G1764" s="1087">
        <v>1.0222112951037579</v>
      </c>
      <c r="H1764" s="1087">
        <v>1.0242309795324567</v>
      </c>
      <c r="I1764" s="1087">
        <v>1.0024197607465997</v>
      </c>
      <c r="K1764">
        <v>1.8298387478443838</v>
      </c>
      <c r="L1764">
        <v>0</v>
      </c>
      <c r="M1764">
        <v>3.964303682765109E-3</v>
      </c>
      <c r="N1764">
        <v>0.34456654921641322</v>
      </c>
      <c r="O1764">
        <v>0.2338738873428475</v>
      </c>
      <c r="P1764">
        <v>1.2727488227859494E-2</v>
      </c>
      <c r="Q1764">
        <v>1.5393853872505781E-3</v>
      </c>
      <c r="R1764">
        <v>3.9576553483464177E-3</v>
      </c>
      <c r="S1764">
        <v>0.37134298060844528</v>
      </c>
      <c r="T1764">
        <v>0.38577504485676639</v>
      </c>
      <c r="U1764">
        <v>0</v>
      </c>
      <c r="V1764">
        <v>0.1962966271036565</v>
      </c>
      <c r="W1764">
        <v>0.2235323427851785</v>
      </c>
      <c r="X1764">
        <v>4.9419657432922114E-2</v>
      </c>
      <c r="Y1764">
        <v>1.0771433217463993E-2</v>
      </c>
    </row>
    <row r="1765" spans="1:25" x14ac:dyDescent="0.25">
      <c r="A1765" s="1083"/>
      <c r="B1765" s="1455">
        <v>1515</v>
      </c>
      <c r="C1765" s="1087">
        <v>0.97634883520005933</v>
      </c>
      <c r="D1765" s="1087">
        <v>0.99488345937701705</v>
      </c>
      <c r="E1765" s="1087">
        <v>1.0053651181147212</v>
      </c>
      <c r="F1765" s="1087">
        <v>1.0218915979267069</v>
      </c>
      <c r="G1765" s="1087">
        <v>0.99755475954996553</v>
      </c>
      <c r="H1765" s="1087">
        <v>0.96987212103764064</v>
      </c>
      <c r="I1765" s="1087">
        <v>1.0073300167440193</v>
      </c>
      <c r="K1765">
        <v>1.8780117763125552</v>
      </c>
      <c r="L1765">
        <v>0</v>
      </c>
      <c r="M1765">
        <v>3.583653870101065E-3</v>
      </c>
      <c r="N1765">
        <v>0.34587205026703005</v>
      </c>
      <c r="O1765">
        <v>0.24485154001978501</v>
      </c>
      <c r="P1765">
        <v>1.3539476195037398E-2</v>
      </c>
      <c r="Q1765">
        <v>1.6347044310744648E-3</v>
      </c>
      <c r="R1765">
        <v>3.5773094207832926E-3</v>
      </c>
      <c r="S1765">
        <v>0.37225441425767375</v>
      </c>
      <c r="T1765">
        <v>0.41154261875840109</v>
      </c>
      <c r="U1765">
        <v>0</v>
      </c>
      <c r="V1765">
        <v>0.2045558780383212</v>
      </c>
      <c r="W1765">
        <v>0.21957681006093385</v>
      </c>
      <c r="X1765">
        <v>5.4454371749974431E-2</v>
      </c>
      <c r="Y1765">
        <v>9.736256983638494E-3</v>
      </c>
    </row>
    <row r="1766" spans="1:25" x14ac:dyDescent="0.25">
      <c r="A1766" s="1083"/>
      <c r="B1766" s="1455">
        <v>1516</v>
      </c>
      <c r="C1766" s="1087">
        <v>0.9744177176755483</v>
      </c>
      <c r="D1766" s="1087">
        <v>0.99836595973714504</v>
      </c>
      <c r="E1766" s="1087">
        <v>0.97735139253672054</v>
      </c>
      <c r="F1766" s="1087">
        <v>0.96773514509279368</v>
      </c>
      <c r="G1766" s="1087">
        <v>0.95900326678772918</v>
      </c>
      <c r="H1766" s="1087">
        <v>0.98611247047160033</v>
      </c>
      <c r="I1766" s="1087">
        <v>1.0188933984441566</v>
      </c>
      <c r="K1766">
        <v>1.844589207878047</v>
      </c>
      <c r="L1766">
        <v>0</v>
      </c>
      <c r="M1766">
        <v>3.8573706416803371E-3</v>
      </c>
      <c r="N1766">
        <v>0.34177625856444199</v>
      </c>
      <c r="O1766">
        <v>0.23778010861738624</v>
      </c>
      <c r="P1766">
        <v>1.2990876516702882E-2</v>
      </c>
      <c r="Q1766">
        <v>1.5873392533055416E-3</v>
      </c>
      <c r="R1766">
        <v>3.8506486321026796E-3</v>
      </c>
      <c r="S1766">
        <v>0.37923489962370449</v>
      </c>
      <c r="T1766">
        <v>0.38956914689415878</v>
      </c>
      <c r="U1766">
        <v>0</v>
      </c>
      <c r="V1766">
        <v>0.19966922317503188</v>
      </c>
      <c r="W1766">
        <v>0.22083323083743051</v>
      </c>
      <c r="X1766">
        <v>5.0674650194855252E-2</v>
      </c>
      <c r="Y1766">
        <v>1.0480196210603072E-2</v>
      </c>
    </row>
    <row r="1767" spans="1:25" x14ac:dyDescent="0.25">
      <c r="A1767" s="1083"/>
      <c r="B1767" s="1455">
        <v>1517</v>
      </c>
      <c r="C1767" s="1087">
        <v>1.0023017264727976</v>
      </c>
      <c r="D1767" s="1087">
        <v>1.0210012422834391</v>
      </c>
      <c r="E1767" s="1087">
        <v>0.99509030699736689</v>
      </c>
      <c r="F1767" s="1087">
        <v>1.035417410127911</v>
      </c>
      <c r="G1767" s="1087">
        <v>1.0192814627231002</v>
      </c>
      <c r="H1767" s="1087">
        <v>0.95316165474563397</v>
      </c>
      <c r="I1767" s="1087">
        <v>1.0065997995793665</v>
      </c>
      <c r="K1767">
        <v>1.8185103013594797</v>
      </c>
      <c r="L1767">
        <v>0</v>
      </c>
      <c r="M1767">
        <v>3.4536072414846292E-3</v>
      </c>
      <c r="N1767">
        <v>0.32301923763259099</v>
      </c>
      <c r="O1767">
        <v>0.24035298247024797</v>
      </c>
      <c r="P1767">
        <v>1.321781750454781E-2</v>
      </c>
      <c r="Q1767">
        <v>1.558797813664097E-3</v>
      </c>
      <c r="R1767">
        <v>3.4473608825168062E-3</v>
      </c>
      <c r="S1767">
        <v>0.35400615097041532</v>
      </c>
      <c r="T1767">
        <v>0.41692534699111483</v>
      </c>
      <c r="U1767">
        <v>0</v>
      </c>
      <c r="V1767">
        <v>0.20136116861649636</v>
      </c>
      <c r="W1767">
        <v>0.20638924588904389</v>
      </c>
      <c r="X1767">
        <v>5.2303219930325918E-2</v>
      </c>
      <c r="Y1767">
        <v>9.3825799000012439E-3</v>
      </c>
    </row>
    <row r="1768" spans="1:25" x14ac:dyDescent="0.25">
      <c r="A1768" s="1083"/>
      <c r="B1768" s="1455">
        <v>1518</v>
      </c>
      <c r="C1768" s="1087">
        <v>1.0455830207646397</v>
      </c>
      <c r="D1768" s="1087">
        <v>1.0011350218874677</v>
      </c>
      <c r="E1768" s="1087">
        <v>1.0304105468600313</v>
      </c>
      <c r="F1768" s="1087">
        <v>0.99626516341197746</v>
      </c>
      <c r="G1768" s="1087">
        <v>1.0073552511848072</v>
      </c>
      <c r="H1768" s="1087">
        <v>1.0029656334598283</v>
      </c>
      <c r="I1768" s="1087">
        <v>1.0201715788802834</v>
      </c>
      <c r="K1768">
        <v>1.8188048036286486</v>
      </c>
      <c r="L1768">
        <v>0</v>
      </c>
      <c r="M1768">
        <v>3.2750290090136558E-3</v>
      </c>
      <c r="N1768">
        <v>0.34117668807326834</v>
      </c>
      <c r="O1768">
        <v>0.23326120789279439</v>
      </c>
      <c r="P1768">
        <v>1.3298873624939523E-2</v>
      </c>
      <c r="Q1768">
        <v>1.5634414259683535E-3</v>
      </c>
      <c r="R1768">
        <v>3.2694154119405406E-3</v>
      </c>
      <c r="S1768">
        <v>0.3568922816236631</v>
      </c>
      <c r="T1768">
        <v>0.40137526669042806</v>
      </c>
      <c r="U1768">
        <v>0</v>
      </c>
      <c r="V1768">
        <v>0.19484698824241659</v>
      </c>
      <c r="W1768">
        <v>0.21327728911235724</v>
      </c>
      <c r="X1768">
        <v>5.4220109551085312E-2</v>
      </c>
      <c r="Y1768">
        <v>8.8982709888012611E-3</v>
      </c>
    </row>
    <row r="1769" spans="1:25" x14ac:dyDescent="0.25">
      <c r="A1769" s="1083"/>
      <c r="B1769" s="1455">
        <v>1519</v>
      </c>
      <c r="C1769" s="1087">
        <v>1.0039616950373393</v>
      </c>
      <c r="D1769" s="1087">
        <v>0.99132849639446607</v>
      </c>
      <c r="E1769" s="1087">
        <v>0.97985262896476921</v>
      </c>
      <c r="F1769" s="1087">
        <v>1.0059301288779794</v>
      </c>
      <c r="G1769" s="1087">
        <v>1.0254190683673592</v>
      </c>
      <c r="H1769" s="1087">
        <v>1.0097940021954088</v>
      </c>
      <c r="I1769" s="1087">
        <v>1.0157883126388954</v>
      </c>
      <c r="K1769">
        <v>1.8563980348172577</v>
      </c>
      <c r="L1769">
        <v>0</v>
      </c>
      <c r="M1769">
        <v>3.8298468354621413E-3</v>
      </c>
      <c r="N1769">
        <v>0.341956437351426</v>
      </c>
      <c r="O1769">
        <v>0.23953999473327145</v>
      </c>
      <c r="P1769">
        <v>1.3143421941192975E-2</v>
      </c>
      <c r="Q1769">
        <v>1.549162849426361E-3</v>
      </c>
      <c r="R1769">
        <v>3.8233374264216749E-3</v>
      </c>
      <c r="S1769">
        <v>0.3728336153823345</v>
      </c>
      <c r="T1769">
        <v>0.40495983862757712</v>
      </c>
      <c r="U1769">
        <v>0</v>
      </c>
      <c r="V1769">
        <v>0.2001941402437763</v>
      </c>
      <c r="W1769">
        <v>0.22059900528326856</v>
      </c>
      <c r="X1769">
        <v>5.1223063702146514E-2</v>
      </c>
      <c r="Y1769">
        <v>1.040586411187591E-2</v>
      </c>
    </row>
    <row r="1770" spans="1:25" x14ac:dyDescent="0.25">
      <c r="A1770" s="1083"/>
      <c r="B1770" s="1455">
        <v>1520</v>
      </c>
      <c r="C1770" s="1087">
        <v>1.0097794620401614</v>
      </c>
      <c r="D1770" s="1087">
        <v>1.0172251190237189</v>
      </c>
      <c r="E1770" s="1087">
        <v>1.0051793071408268</v>
      </c>
      <c r="F1770" s="1087">
        <v>0.99058655421494501</v>
      </c>
      <c r="G1770" s="1087">
        <v>0.97563468545914478</v>
      </c>
      <c r="H1770" s="1087">
        <v>0.98087072022639032</v>
      </c>
      <c r="I1770" s="1087">
        <v>1.0136091740236826</v>
      </c>
      <c r="K1770">
        <v>1.8131094230888614</v>
      </c>
      <c r="L1770">
        <v>0</v>
      </c>
      <c r="M1770">
        <v>3.4634182952251154E-3</v>
      </c>
      <c r="N1770">
        <v>0.33408298874511039</v>
      </c>
      <c r="O1770">
        <v>0.23485551419578207</v>
      </c>
      <c r="P1770">
        <v>1.3090314575921577E-2</v>
      </c>
      <c r="Q1770">
        <v>1.5662966470441121E-3</v>
      </c>
      <c r="R1770">
        <v>3.457335829516951E-3</v>
      </c>
      <c r="S1770">
        <v>0.35971144248700898</v>
      </c>
      <c r="T1770">
        <v>0.39893413500909342</v>
      </c>
      <c r="U1770">
        <v>0</v>
      </c>
      <c r="V1770">
        <v>0.19705147335105805</v>
      </c>
      <c r="W1770">
        <v>0.21211705415941676</v>
      </c>
      <c r="X1770">
        <v>5.229655796663886E-2</v>
      </c>
      <c r="Y1770">
        <v>9.4097284174952441E-3</v>
      </c>
    </row>
    <row r="1771" spans="1:25" x14ac:dyDescent="0.25">
      <c r="A1771" s="1083"/>
      <c r="B1771" s="1455">
        <v>1521</v>
      </c>
      <c r="C1771" s="1087">
        <v>1.0014995704499376</v>
      </c>
      <c r="D1771" s="1087">
        <v>1.0004966431961351</v>
      </c>
      <c r="E1771" s="1087">
        <v>0.99439178794067851</v>
      </c>
      <c r="F1771" s="1087">
        <v>1.0068028170872578</v>
      </c>
      <c r="G1771" s="1087">
        <v>0.98514756784652291</v>
      </c>
      <c r="H1771" s="1087">
        <v>1.0008138189724538</v>
      </c>
      <c r="I1771" s="1087">
        <v>0.99360882307869391</v>
      </c>
      <c r="K1771">
        <v>1.8464901411651076</v>
      </c>
      <c r="L1771">
        <v>0</v>
      </c>
      <c r="M1771">
        <v>3.6754900950970908E-3</v>
      </c>
      <c r="N1771">
        <v>0.34307129929135377</v>
      </c>
      <c r="O1771">
        <v>0.23923219031963053</v>
      </c>
      <c r="P1771">
        <v>1.3149993723625462E-2</v>
      </c>
      <c r="Q1771">
        <v>1.571584062609296E-3</v>
      </c>
      <c r="R1771">
        <v>3.6691787935540388E-3</v>
      </c>
      <c r="S1771">
        <v>0.3622789747423828</v>
      </c>
      <c r="T1771">
        <v>0.40539903438867331</v>
      </c>
      <c r="U1771">
        <v>0</v>
      </c>
      <c r="V1771">
        <v>0.20012945619683908</v>
      </c>
      <c r="W1771">
        <v>0.21929733981239358</v>
      </c>
      <c r="X1771">
        <v>5.2380284797550483E-2</v>
      </c>
      <c r="Y1771">
        <v>9.9862951315898719E-3</v>
      </c>
    </row>
    <row r="1772" spans="1:25" x14ac:dyDescent="0.25">
      <c r="A1772" s="1083"/>
      <c r="B1772" s="1455">
        <v>1522</v>
      </c>
      <c r="C1772" s="1087">
        <v>0.98626713678413824</v>
      </c>
      <c r="D1772" s="1087">
        <v>1.0178167333756438</v>
      </c>
      <c r="E1772" s="1087">
        <v>1.0401527175199301</v>
      </c>
      <c r="F1772" s="1087">
        <v>0.97632727817771214</v>
      </c>
      <c r="G1772" s="1087">
        <v>1.0236480486352602</v>
      </c>
      <c r="H1772" s="1087">
        <v>1.0148323130189896</v>
      </c>
      <c r="I1772" s="1087">
        <v>0.99621165731650374</v>
      </c>
      <c r="K1772">
        <v>1.8714518842825658</v>
      </c>
      <c r="L1772">
        <v>0</v>
      </c>
      <c r="M1772">
        <v>3.413694882454475E-3</v>
      </c>
      <c r="N1772">
        <v>0.36633176243236953</v>
      </c>
      <c r="O1772">
        <v>0.23642767085264921</v>
      </c>
      <c r="P1772">
        <v>1.3494367704247442E-2</v>
      </c>
      <c r="Q1772">
        <v>1.6634208257162507E-3</v>
      </c>
      <c r="R1772">
        <v>3.4079001545739922E-3</v>
      </c>
      <c r="S1772">
        <v>0.36842679095353281</v>
      </c>
      <c r="T1772">
        <v>0.3934017397556186</v>
      </c>
      <c r="U1772">
        <v>0</v>
      </c>
      <c r="V1772">
        <v>0.19851067055018345</v>
      </c>
      <c r="W1772">
        <v>0.22764869909278784</v>
      </c>
      <c r="X1772">
        <v>5.6277376036572797E-2</v>
      </c>
      <c r="Y1772">
        <v>9.2751808067663734E-3</v>
      </c>
    </row>
    <row r="1773" spans="1:25" x14ac:dyDescent="0.25">
      <c r="A1773" s="1083"/>
      <c r="B1773" s="1455">
        <v>1523</v>
      </c>
      <c r="C1773" s="1087">
        <v>0.97253426140854993</v>
      </c>
      <c r="D1773" s="1087">
        <v>0.97572159432460548</v>
      </c>
      <c r="E1773" s="1087">
        <v>0.99196656493661983</v>
      </c>
      <c r="F1773" s="1087">
        <v>1.0031878693601362</v>
      </c>
      <c r="G1773" s="1087">
        <v>0.95759284674618717</v>
      </c>
      <c r="H1773" s="1087">
        <v>0.99510286687714955</v>
      </c>
      <c r="I1773" s="1087">
        <v>1.0016319089830437</v>
      </c>
      <c r="K1773">
        <v>1.8947306118466185</v>
      </c>
      <c r="L1773">
        <v>0</v>
      </c>
      <c r="M1773">
        <v>3.833256827014052E-3</v>
      </c>
      <c r="N1773">
        <v>0.35515627708166542</v>
      </c>
      <c r="O1773">
        <v>0.24483414940543316</v>
      </c>
      <c r="P1773">
        <v>1.3406284014623581E-2</v>
      </c>
      <c r="Q1773">
        <v>1.630470941922392E-3</v>
      </c>
      <c r="R1773">
        <v>3.8266594265584757E-3</v>
      </c>
      <c r="S1773">
        <v>0.38021809126382544</v>
      </c>
      <c r="T1773">
        <v>0.40392877031611057</v>
      </c>
      <c r="U1773">
        <v>0</v>
      </c>
      <c r="V1773">
        <v>0.20431685813141234</v>
      </c>
      <c r="W1773">
        <v>0.22736832387887115</v>
      </c>
      <c r="X1773">
        <v>5.3463078712056779E-2</v>
      </c>
      <c r="Y1773">
        <v>1.041490550115123E-2</v>
      </c>
    </row>
    <row r="1774" spans="1:25" x14ac:dyDescent="0.25">
      <c r="A1774" s="1083"/>
      <c r="B1774" s="1455">
        <v>1524</v>
      </c>
      <c r="C1774" s="1087">
        <v>0.96716802033321359</v>
      </c>
      <c r="D1774" s="1087">
        <v>0.99594349485264821</v>
      </c>
      <c r="E1774" s="1087">
        <v>0.9932150306383235</v>
      </c>
      <c r="F1774" s="1087">
        <v>0.9888245893607962</v>
      </c>
      <c r="G1774" s="1087">
        <v>0.9888262367688968</v>
      </c>
      <c r="H1774" s="1087">
        <v>1.0131024607498222</v>
      </c>
      <c r="I1774" s="1087">
        <v>1.0299541622479065</v>
      </c>
      <c r="K1774">
        <v>1.9037527741072087</v>
      </c>
      <c r="L1774">
        <v>0</v>
      </c>
      <c r="M1774">
        <v>3.8710515131492218E-3</v>
      </c>
      <c r="N1774">
        <v>0.36003707813501001</v>
      </c>
      <c r="O1774">
        <v>0.24173671592283272</v>
      </c>
      <c r="P1774">
        <v>1.3479215848919198E-2</v>
      </c>
      <c r="Q1774">
        <v>1.6282928236329101E-3</v>
      </c>
      <c r="R1774">
        <v>3.8644884812453068E-3</v>
      </c>
      <c r="S1774">
        <v>0.39218617056134808</v>
      </c>
      <c r="T1774">
        <v>0.39815290525738511</v>
      </c>
      <c r="U1774">
        <v>0</v>
      </c>
      <c r="V1774">
        <v>0.20256946996914788</v>
      </c>
      <c r="W1774">
        <v>0.230312239867213</v>
      </c>
      <c r="X1774">
        <v>5.3139385035958671E-2</v>
      </c>
      <c r="Y1774">
        <v>1.0517863717664257E-2</v>
      </c>
    </row>
    <row r="1775" spans="1:25" x14ac:dyDescent="0.25">
      <c r="A1775" s="1083"/>
      <c r="B1775" s="1455">
        <v>1525</v>
      </c>
      <c r="C1775" s="1087">
        <v>1.0220495730895724</v>
      </c>
      <c r="D1775" s="1087">
        <v>1.00956838843139</v>
      </c>
      <c r="E1775" s="1087">
        <v>1.0403956477056782</v>
      </c>
      <c r="F1775" s="1087">
        <v>0.99065162309518495</v>
      </c>
      <c r="G1775" s="1087">
        <v>0.98275389285042813</v>
      </c>
      <c r="H1775" s="1087">
        <v>0.98449456761814913</v>
      </c>
      <c r="I1775" s="1087">
        <v>1.0254712954797132</v>
      </c>
      <c r="K1775">
        <v>1.8300205648761327</v>
      </c>
      <c r="L1775">
        <v>0</v>
      </c>
      <c r="M1775">
        <v>3.2078782837505157E-3</v>
      </c>
      <c r="N1775">
        <v>0.34448222411162827</v>
      </c>
      <c r="O1775">
        <v>0.23465560114757888</v>
      </c>
      <c r="P1775">
        <v>1.3459069594376812E-2</v>
      </c>
      <c r="Q1775">
        <v>1.6108251095482543E-3</v>
      </c>
      <c r="R1775">
        <v>3.2022710062875001E-3</v>
      </c>
      <c r="S1775">
        <v>0.36210544583781301</v>
      </c>
      <c r="T1775">
        <v>0.39917509650581984</v>
      </c>
      <c r="U1775">
        <v>0</v>
      </c>
      <c r="V1775">
        <v>0.19638080559930501</v>
      </c>
      <c r="W1775">
        <v>0.21403926497493977</v>
      </c>
      <c r="X1775">
        <v>5.5402313221823249E-2</v>
      </c>
      <c r="Y1775">
        <v>8.7155260507610563E-3</v>
      </c>
    </row>
    <row r="1776" spans="1:25" x14ac:dyDescent="0.25">
      <c r="A1776" s="1083"/>
      <c r="B1776" s="1455">
        <v>1526</v>
      </c>
      <c r="C1776" s="1087">
        <v>0.96927846144425522</v>
      </c>
      <c r="D1776" s="1087">
        <v>0.9748003304677072</v>
      </c>
      <c r="E1776" s="1087">
        <v>0.98186266803366407</v>
      </c>
      <c r="F1776" s="1087">
        <v>0.97639514839164043</v>
      </c>
      <c r="G1776" s="1087">
        <v>0.99773566769668276</v>
      </c>
      <c r="H1776" s="1087">
        <v>0.96420336528218731</v>
      </c>
      <c r="I1776" s="1087">
        <v>1.0174279546699894</v>
      </c>
      <c r="K1776">
        <v>1.8577239745398635</v>
      </c>
      <c r="L1776">
        <v>0</v>
      </c>
      <c r="M1776">
        <v>3.805038822344719E-3</v>
      </c>
      <c r="N1776">
        <v>0.34180836625356814</v>
      </c>
      <c r="O1776">
        <v>0.24185497053481589</v>
      </c>
      <c r="P1776">
        <v>1.3149275075630228E-2</v>
      </c>
      <c r="Q1776">
        <v>1.6189218749552948E-3</v>
      </c>
      <c r="R1776">
        <v>3.7982787602822629E-3</v>
      </c>
      <c r="S1776">
        <v>0.38156904637308592</v>
      </c>
      <c r="T1776">
        <v>0.39308159472548543</v>
      </c>
      <c r="U1776">
        <v>0</v>
      </c>
      <c r="V1776">
        <v>0.2022791365457369</v>
      </c>
      <c r="W1776">
        <v>0.22022270247503156</v>
      </c>
      <c r="X1776">
        <v>5.1809058060385584E-2</v>
      </c>
      <c r="Y1776">
        <v>1.03376626832315E-2</v>
      </c>
    </row>
    <row r="1777" spans="1:25" x14ac:dyDescent="0.25">
      <c r="A1777" s="1083"/>
      <c r="B1777" s="1455">
        <v>1527</v>
      </c>
      <c r="C1777" s="1087">
        <v>0.99359770681111603</v>
      </c>
      <c r="D1777" s="1087">
        <v>0.98334093514129817</v>
      </c>
      <c r="E1777" s="1087">
        <v>1.0031265092752444</v>
      </c>
      <c r="F1777" s="1087">
        <v>1.0233164755177617</v>
      </c>
      <c r="G1777" s="1087">
        <v>0.96403945525003754</v>
      </c>
      <c r="H1777" s="1087">
        <v>1.0287615119027431</v>
      </c>
      <c r="I1777" s="1087">
        <v>1.0240715393420896</v>
      </c>
      <c r="K1777">
        <v>1.9170213831475731</v>
      </c>
      <c r="L1777">
        <v>0</v>
      </c>
      <c r="M1777">
        <v>3.7760572746399286E-3</v>
      </c>
      <c r="N1777">
        <v>0.36199890721664801</v>
      </c>
      <c r="O1777">
        <v>0.24400902820747253</v>
      </c>
      <c r="P1777">
        <v>1.3687995249152539E-2</v>
      </c>
      <c r="Q1777">
        <v>1.6100049417781758E-3</v>
      </c>
      <c r="R1777">
        <v>3.7697650296881096E-3</v>
      </c>
      <c r="S1777">
        <v>0.38536749907359319</v>
      </c>
      <c r="T1777">
        <v>0.41210253225178878</v>
      </c>
      <c r="U1777">
        <v>0</v>
      </c>
      <c r="V1777">
        <v>0.20338582035653849</v>
      </c>
      <c r="W1777">
        <v>0.23013559120442925</v>
      </c>
      <c r="X1777">
        <v>5.4470239183021539E-2</v>
      </c>
      <c r="Y1777">
        <v>1.0260057708102979E-2</v>
      </c>
    </row>
    <row r="1778" spans="1:25" x14ac:dyDescent="0.25">
      <c r="A1778" s="1083"/>
      <c r="B1778" s="1455">
        <v>1528</v>
      </c>
      <c r="C1778" s="1087">
        <v>0.99637626159144876</v>
      </c>
      <c r="D1778" s="1087">
        <v>0.99941683361056366</v>
      </c>
      <c r="E1778" s="1087">
        <v>1.0331946998424542</v>
      </c>
      <c r="F1778" s="1087">
        <v>1.0014275184198105</v>
      </c>
      <c r="G1778" s="1087">
        <v>0.95498252378670623</v>
      </c>
      <c r="H1778" s="1087">
        <v>0.96454164151375255</v>
      </c>
      <c r="I1778" s="1087">
        <v>0.96833648984388143</v>
      </c>
      <c r="K1778">
        <v>1.8340242270681413</v>
      </c>
      <c r="L1778">
        <v>0</v>
      </c>
      <c r="M1778">
        <v>3.2902337173068927E-3</v>
      </c>
      <c r="N1778">
        <v>0.34565515305159239</v>
      </c>
      <c r="O1778">
        <v>0.23989263830798749</v>
      </c>
      <c r="P1778">
        <v>1.3325646174690682E-2</v>
      </c>
      <c r="Q1778">
        <v>1.6465793964678683E-3</v>
      </c>
      <c r="R1778">
        <v>3.2843724792101783E-3</v>
      </c>
      <c r="S1778">
        <v>0.34912516769014418</v>
      </c>
      <c r="T1778">
        <v>0.40347234459991665</v>
      </c>
      <c r="U1778">
        <v>0</v>
      </c>
      <c r="V1778">
        <v>0.20051117900793231</v>
      </c>
      <c r="W1778">
        <v>0.21571015499556798</v>
      </c>
      <c r="X1778">
        <v>5.5752245886625723E-2</v>
      </c>
      <c r="Y1778">
        <v>8.9389791953133121E-3</v>
      </c>
    </row>
    <row r="1779" spans="1:25" x14ac:dyDescent="0.25">
      <c r="A1779" s="1083"/>
      <c r="B1779" s="1455">
        <v>1529</v>
      </c>
      <c r="C1779" s="1087">
        <v>0.99293008962718232</v>
      </c>
      <c r="D1779" s="1087">
        <v>0.98178936632082814</v>
      </c>
      <c r="E1779" s="1087">
        <v>1.0159910834442591</v>
      </c>
      <c r="F1779" s="1087">
        <v>1.0059341545447387</v>
      </c>
      <c r="G1779" s="1087">
        <v>1.0323644759111441</v>
      </c>
      <c r="H1779" s="1087">
        <v>0.97892740079895169</v>
      </c>
      <c r="I1779" s="1087">
        <v>1.0350594563014142</v>
      </c>
      <c r="K1779">
        <v>1.8799782926717969</v>
      </c>
      <c r="L1779">
        <v>0</v>
      </c>
      <c r="M1779">
        <v>3.5049014138337762E-3</v>
      </c>
      <c r="N1779">
        <v>0.34941834063988109</v>
      </c>
      <c r="O1779">
        <v>0.24237040874361518</v>
      </c>
      <c r="P1779">
        <v>1.3641718051351597E-2</v>
      </c>
      <c r="Q1779">
        <v>1.6342463804424616E-3</v>
      </c>
      <c r="R1779">
        <v>3.4987648335411043E-3</v>
      </c>
      <c r="S1779">
        <v>0.38073424767295561</v>
      </c>
      <c r="T1779">
        <v>0.40518139168573081</v>
      </c>
      <c r="U1779">
        <v>0</v>
      </c>
      <c r="V1779">
        <v>0.20211666417731367</v>
      </c>
      <c r="W1779">
        <v>0.22037194185908657</v>
      </c>
      <c r="X1779">
        <v>5.4992985532329432E-2</v>
      </c>
      <c r="Y1779">
        <v>9.5224845093814826E-3</v>
      </c>
    </row>
    <row r="1780" spans="1:25" x14ac:dyDescent="0.25">
      <c r="A1780" s="1083"/>
      <c r="B1780" s="1455">
        <v>1530</v>
      </c>
      <c r="C1780" s="1087">
        <v>1.0269992477546837</v>
      </c>
      <c r="D1780" s="1087">
        <v>1.0016095657748472</v>
      </c>
      <c r="E1780" s="1087">
        <v>1.0239184850069156</v>
      </c>
      <c r="F1780" s="1087">
        <v>1.022877186404332</v>
      </c>
      <c r="G1780" s="1087">
        <v>0.97945861549914293</v>
      </c>
      <c r="H1780" s="1087">
        <v>1.0218027793725417</v>
      </c>
      <c r="I1780" s="1087">
        <v>0.95804388473454216</v>
      </c>
      <c r="K1780">
        <v>1.844659252124272</v>
      </c>
      <c r="L1780">
        <v>0</v>
      </c>
      <c r="M1780">
        <v>3.4415462821376763E-3</v>
      </c>
      <c r="N1780">
        <v>0.35151540781126456</v>
      </c>
      <c r="O1780">
        <v>0.23830969156646606</v>
      </c>
      <c r="P1780">
        <v>1.3265213631835646E-2</v>
      </c>
      <c r="Q1780">
        <v>1.5806112590179811E-3</v>
      </c>
      <c r="R1780">
        <v>3.4357554796473153E-3</v>
      </c>
      <c r="S1780">
        <v>0.34424522962048648</v>
      </c>
      <c r="T1780">
        <v>0.41205571637708649</v>
      </c>
      <c r="U1780">
        <v>0</v>
      </c>
      <c r="V1780">
        <v>0.19890540684588867</v>
      </c>
      <c r="W1780">
        <v>0.22061537727505096</v>
      </c>
      <c r="X1780">
        <v>5.4821394720554278E-2</v>
      </c>
      <c r="Y1780">
        <v>9.3509938191105174E-3</v>
      </c>
    </row>
    <row r="1781" spans="1:25" x14ac:dyDescent="0.25">
      <c r="A1781" s="1083"/>
      <c r="B1781" s="1455">
        <v>1531</v>
      </c>
      <c r="C1781" s="1087">
        <v>1.019037837895129</v>
      </c>
      <c r="D1781" s="1087">
        <v>1.023809564475636</v>
      </c>
      <c r="E1781" s="1087">
        <v>1.0040704870772732</v>
      </c>
      <c r="F1781" s="1087">
        <v>1.0088736159908884</v>
      </c>
      <c r="G1781" s="1087">
        <v>1.0152933373387123</v>
      </c>
      <c r="H1781" s="1087">
        <v>1.0259968288229953</v>
      </c>
      <c r="I1781" s="1087">
        <v>1.0324232828984501</v>
      </c>
      <c r="K1781">
        <v>1.8493917505685535</v>
      </c>
      <c r="L1781">
        <v>0</v>
      </c>
      <c r="M1781">
        <v>3.5846634289239173E-3</v>
      </c>
      <c r="N1781">
        <v>0.34463669449861883</v>
      </c>
      <c r="O1781">
        <v>0.2351804227347789</v>
      </c>
      <c r="P1781">
        <v>1.3322701370992986E-2</v>
      </c>
      <c r="Q1781">
        <v>1.5462420887986778E-3</v>
      </c>
      <c r="R1781">
        <v>3.5786380994773182E-3</v>
      </c>
      <c r="S1781">
        <v>0.36990202451793758</v>
      </c>
      <c r="T1781">
        <v>0.40629199462934723</v>
      </c>
      <c r="U1781">
        <v>0</v>
      </c>
      <c r="V1781">
        <v>0.19727008390069831</v>
      </c>
      <c r="W1781">
        <v>0.21896897365076168</v>
      </c>
      <c r="X1781">
        <v>5.2538765297018807E-2</v>
      </c>
      <c r="Y1781">
        <v>9.7398732090448192E-3</v>
      </c>
    </row>
    <row r="1782" spans="1:25" x14ac:dyDescent="0.25">
      <c r="A1782" s="1083"/>
      <c r="B1782" s="1455">
        <v>1532</v>
      </c>
      <c r="C1782" s="1087">
        <v>0.99556133500525279</v>
      </c>
      <c r="D1782" s="1087">
        <v>1.0408401632030286</v>
      </c>
      <c r="E1782" s="1087">
        <v>0.96772240289705624</v>
      </c>
      <c r="F1782" s="1087">
        <v>0.99294471241108706</v>
      </c>
      <c r="G1782" s="1087">
        <v>1.0444057298855856</v>
      </c>
      <c r="H1782" s="1087">
        <v>1.0195457021038248</v>
      </c>
      <c r="I1782" s="1087">
        <v>1.0311293812012128</v>
      </c>
      <c r="K1782">
        <v>1.8309951252423311</v>
      </c>
      <c r="L1782">
        <v>0</v>
      </c>
      <c r="M1782">
        <v>3.8930180950093548E-3</v>
      </c>
      <c r="N1782">
        <v>0.33494262847277662</v>
      </c>
      <c r="O1782">
        <v>0.23403294621686349</v>
      </c>
      <c r="P1782">
        <v>1.2918005566594865E-2</v>
      </c>
      <c r="Q1782">
        <v>1.5121302309597396E-3</v>
      </c>
      <c r="R1782">
        <v>3.8864194436123095E-3</v>
      </c>
      <c r="S1782">
        <v>0.37316245142611887</v>
      </c>
      <c r="T1782">
        <v>0.39966066809185741</v>
      </c>
      <c r="U1782">
        <v>0</v>
      </c>
      <c r="V1782">
        <v>0.19733295874759796</v>
      </c>
      <c r="W1782">
        <v>0.21775120983389457</v>
      </c>
      <c r="X1782">
        <v>4.9111172739378199E-2</v>
      </c>
      <c r="Y1782">
        <v>1.0577552567687439E-2</v>
      </c>
    </row>
    <row r="1783" spans="1:25" x14ac:dyDescent="0.25">
      <c r="A1783" s="1083"/>
      <c r="B1783" s="1455">
        <v>1533</v>
      </c>
      <c r="C1783" s="1087">
        <v>0.99995656823935253</v>
      </c>
      <c r="D1783" s="1087">
        <v>1.0022213120417505</v>
      </c>
      <c r="E1783" s="1087">
        <v>0.95557924765924374</v>
      </c>
      <c r="F1783" s="1087">
        <v>1.026444242868096</v>
      </c>
      <c r="G1783" s="1087">
        <v>0.96814541231656637</v>
      </c>
      <c r="H1783" s="1087">
        <v>0.99976248079225294</v>
      </c>
      <c r="I1783" s="1087">
        <v>0.99918137904364468</v>
      </c>
      <c r="K1783">
        <v>1.8395545048277908</v>
      </c>
      <c r="L1783">
        <v>0</v>
      </c>
      <c r="M1783">
        <v>3.9759593095791282E-3</v>
      </c>
      <c r="N1783">
        <v>0.32959180488494833</v>
      </c>
      <c r="O1783">
        <v>0.2409586911725177</v>
      </c>
      <c r="P1783">
        <v>1.2908730717544382E-2</v>
      </c>
      <c r="Q1783">
        <v>1.5083828997930588E-3</v>
      </c>
      <c r="R1783">
        <v>3.9691228474236446E-3</v>
      </c>
      <c r="S1783">
        <v>0.36388281558554797</v>
      </c>
      <c r="T1783">
        <v>0.4130708273141086</v>
      </c>
      <c r="U1783">
        <v>0</v>
      </c>
      <c r="V1783">
        <v>0.20163854347081542</v>
      </c>
      <c r="W1783">
        <v>0.21595267081223904</v>
      </c>
      <c r="X1783">
        <v>4.9246230462738128E-2</v>
      </c>
      <c r="Y1783">
        <v>1.0802643969692152E-2</v>
      </c>
    </row>
    <row r="1784" spans="1:25" x14ac:dyDescent="0.25">
      <c r="A1784" s="1083"/>
      <c r="B1784" s="1455">
        <v>1534</v>
      </c>
      <c r="C1784" s="1087">
        <v>1.003005009503616</v>
      </c>
      <c r="D1784" s="1087">
        <v>1.0031648427732693</v>
      </c>
      <c r="E1784" s="1087">
        <v>0.98630512120620484</v>
      </c>
      <c r="F1784" s="1087">
        <v>0.9892245617003117</v>
      </c>
      <c r="G1784" s="1087">
        <v>1.002902969027746</v>
      </c>
      <c r="H1784" s="1087">
        <v>1.0326642704931597</v>
      </c>
      <c r="I1784" s="1087">
        <v>1.0063070475007274</v>
      </c>
      <c r="K1784">
        <v>1.8560845663887402</v>
      </c>
      <c r="L1784">
        <v>0</v>
      </c>
      <c r="M1784">
        <v>3.8442744642929703E-3</v>
      </c>
      <c r="N1784">
        <v>0.3500912049802451</v>
      </c>
      <c r="O1784">
        <v>0.23660253204577966</v>
      </c>
      <c r="P1784">
        <v>1.307357097901061E-2</v>
      </c>
      <c r="Q1784">
        <v>1.554037770870174E-3</v>
      </c>
      <c r="R1784">
        <v>3.8378745094767661E-3</v>
      </c>
      <c r="S1784">
        <v>0.37150888622579453</v>
      </c>
      <c r="T1784">
        <v>0.39827284151423392</v>
      </c>
      <c r="U1784">
        <v>0</v>
      </c>
      <c r="V1784">
        <v>0.19826812951739053</v>
      </c>
      <c r="W1784">
        <v>0.22492646711621997</v>
      </c>
      <c r="X1784">
        <v>5.1347866934209195E-2</v>
      </c>
      <c r="Y1784">
        <v>1.0445429259803725E-2</v>
      </c>
    </row>
    <row r="1785" spans="1:25" x14ac:dyDescent="0.25">
      <c r="A1785" s="1083"/>
      <c r="B1785" s="1455">
        <v>1535</v>
      </c>
      <c r="C1785" s="1087">
        <v>0.99276393948732633</v>
      </c>
      <c r="D1785" s="1087">
        <v>1.0241924451323738</v>
      </c>
      <c r="E1785" s="1087">
        <v>0.98327315864208753</v>
      </c>
      <c r="F1785" s="1087">
        <v>1.008305795475694</v>
      </c>
      <c r="G1785" s="1087">
        <v>1.0173869318081485</v>
      </c>
      <c r="H1785" s="1087">
        <v>1.001496587486554</v>
      </c>
      <c r="I1785" s="1087">
        <v>0.97918910632835632</v>
      </c>
      <c r="K1785">
        <v>1.8309064020051589</v>
      </c>
      <c r="L1785">
        <v>0</v>
      </c>
      <c r="M1785">
        <v>3.7477905464338287E-3</v>
      </c>
      <c r="N1785">
        <v>0.33813846231079409</v>
      </c>
      <c r="O1785">
        <v>0.23796790966794912</v>
      </c>
      <c r="P1785">
        <v>1.2953286774817529E-2</v>
      </c>
      <c r="Q1785">
        <v>1.552032318382457E-3</v>
      </c>
      <c r="R1785">
        <v>3.7413382053026302E-3</v>
      </c>
      <c r="S1785">
        <v>0.35552579116159549</v>
      </c>
      <c r="T1785">
        <v>0.40593683746106946</v>
      </c>
      <c r="U1785">
        <v>0</v>
      </c>
      <c r="V1785">
        <v>0.19988351721147465</v>
      </c>
      <c r="W1785">
        <v>0.21766377847297561</v>
      </c>
      <c r="X1785">
        <v>5.1108549704203365E-2</v>
      </c>
      <c r="Y1785">
        <v>1.0182689263025848E-2</v>
      </c>
    </row>
    <row r="1786" spans="1:25" x14ac:dyDescent="0.25">
      <c r="A1786" s="1083"/>
      <c r="B1786" s="1455">
        <v>1536</v>
      </c>
      <c r="C1786" s="1087">
        <v>0.97683235175465222</v>
      </c>
      <c r="D1786" s="1087">
        <v>1.0144441563485778</v>
      </c>
      <c r="E1786" s="1087">
        <v>0.99203416315856685</v>
      </c>
      <c r="F1786" s="1087">
        <v>1.0320573740714261</v>
      </c>
      <c r="G1786" s="1087">
        <v>1.0414394017857964</v>
      </c>
      <c r="H1786" s="1087">
        <v>1.0020185054247202</v>
      </c>
      <c r="I1786" s="1087">
        <v>1.0412387761016504</v>
      </c>
      <c r="K1786">
        <v>1.9007215787003224</v>
      </c>
      <c r="L1786">
        <v>0</v>
      </c>
      <c r="M1786">
        <v>3.7629329669074448E-3</v>
      </c>
      <c r="N1786">
        <v>0.34871361001511947</v>
      </c>
      <c r="O1786">
        <v>0.24379868312575811</v>
      </c>
      <c r="P1786">
        <v>1.3648278886421084E-2</v>
      </c>
      <c r="Q1786">
        <v>1.5983373933064473E-3</v>
      </c>
      <c r="R1786">
        <v>3.7564669497286754E-3</v>
      </c>
      <c r="S1786">
        <v>0.38647176220642826</v>
      </c>
      <c r="T1786">
        <v>0.41555335783083763</v>
      </c>
      <c r="U1786">
        <v>0</v>
      </c>
      <c r="V1786">
        <v>0.20423120693292651</v>
      </c>
      <c r="W1786">
        <v>0.22323429196487851</v>
      </c>
      <c r="X1786">
        <v>5.3254651643658092E-2</v>
      </c>
      <c r="Y1786">
        <v>1.0223864718164282E-2</v>
      </c>
    </row>
    <row r="1787" spans="1:25" x14ac:dyDescent="0.25">
      <c r="A1787" s="1083"/>
      <c r="B1787" s="1455">
        <v>1537</v>
      </c>
      <c r="C1787" s="1087">
        <v>1.0294814599825937</v>
      </c>
      <c r="D1787" s="1087">
        <v>1.0005426687154362</v>
      </c>
      <c r="E1787" s="1087">
        <v>1.0174952940020394</v>
      </c>
      <c r="F1787" s="1087">
        <v>0.99216522133537954</v>
      </c>
      <c r="G1787" s="1087">
        <v>0.99674260787544222</v>
      </c>
      <c r="H1787" s="1087">
        <v>0.99376591296649885</v>
      </c>
      <c r="I1787" s="1087">
        <v>0.99588621335165162</v>
      </c>
      <c r="K1787">
        <v>1.8124481060338362</v>
      </c>
      <c r="L1787">
        <v>0</v>
      </c>
      <c r="M1787">
        <v>3.3859221018004895E-3</v>
      </c>
      <c r="N1787">
        <v>0.33911522436051228</v>
      </c>
      <c r="O1787">
        <v>0.2345234281165624</v>
      </c>
      <c r="P1787">
        <v>1.310283319569175E-2</v>
      </c>
      <c r="Q1787">
        <v>1.5668264026151696E-3</v>
      </c>
      <c r="R1787">
        <v>3.3800661176663395E-3</v>
      </c>
      <c r="S1787">
        <v>0.35223107448244684</v>
      </c>
      <c r="T1787">
        <v>0.39964453646377873</v>
      </c>
      <c r="U1787">
        <v>0</v>
      </c>
      <c r="V1787">
        <v>0.19608150562859419</v>
      </c>
      <c r="W1787">
        <v>0.21367553968308947</v>
      </c>
      <c r="X1787">
        <v>5.3313567950888339E-2</v>
      </c>
      <c r="Y1787">
        <v>9.1994257337915455E-3</v>
      </c>
    </row>
    <row r="1788" spans="1:25" x14ac:dyDescent="0.25">
      <c r="A1788" s="1083"/>
      <c r="B1788" s="1455">
        <v>1538</v>
      </c>
      <c r="C1788" s="1087">
        <v>1.0076117513049525</v>
      </c>
      <c r="D1788" s="1087">
        <v>1.004969283534868</v>
      </c>
      <c r="E1788" s="1087">
        <v>0.96834457194537638</v>
      </c>
      <c r="F1788" s="1087">
        <v>0.99963429599936915</v>
      </c>
      <c r="G1788" s="1087">
        <v>0.99753200940453801</v>
      </c>
      <c r="H1788" s="1087">
        <v>1.0091158352925786</v>
      </c>
      <c r="I1788" s="1087">
        <v>0.98785429929060142</v>
      </c>
      <c r="K1788">
        <v>1.8214431032939307</v>
      </c>
      <c r="L1788">
        <v>0</v>
      </c>
      <c r="M1788">
        <v>3.8750204079213086E-3</v>
      </c>
      <c r="N1788">
        <v>0.33402620444018349</v>
      </c>
      <c r="O1788">
        <v>0.236836796283726</v>
      </c>
      <c r="P1788">
        <v>1.2777060386948194E-2</v>
      </c>
      <c r="Q1788">
        <v>1.5161746701884049E-3</v>
      </c>
      <c r="R1788">
        <v>3.8684169320614991E-3</v>
      </c>
      <c r="S1788">
        <v>0.35828875662356485</v>
      </c>
      <c r="T1788">
        <v>0.40235690947650943</v>
      </c>
      <c r="U1788">
        <v>0</v>
      </c>
      <c r="V1788">
        <v>0.1984690925182985</v>
      </c>
      <c r="W1788">
        <v>0.21706896567468437</v>
      </c>
      <c r="X1788">
        <v>4.958119102991445E-2</v>
      </c>
      <c r="Y1788">
        <v>1.0528555665772472E-2</v>
      </c>
    </row>
    <row r="1789" spans="1:25" x14ac:dyDescent="0.25">
      <c r="A1789" s="1083"/>
      <c r="B1789" s="1455">
        <v>1539</v>
      </c>
      <c r="C1789" s="1087">
        <v>1.0159918673133799</v>
      </c>
      <c r="D1789" s="1087">
        <v>1.022160359077954</v>
      </c>
      <c r="E1789" s="1087">
        <v>0.97403446036008334</v>
      </c>
      <c r="F1789" s="1087">
        <v>0.99254704997723231</v>
      </c>
      <c r="G1789" s="1087">
        <v>1.0409358694233461</v>
      </c>
      <c r="H1789" s="1087">
        <v>1.0058298604094009</v>
      </c>
      <c r="I1789" s="1087">
        <v>1.0082386410025639</v>
      </c>
      <c r="K1789">
        <v>1.8037931098857976</v>
      </c>
      <c r="L1789">
        <v>0</v>
      </c>
      <c r="M1789">
        <v>3.751558158473999E-3</v>
      </c>
      <c r="N1789">
        <v>0.32905678868012539</v>
      </c>
      <c r="O1789">
        <v>0.23342375958108411</v>
      </c>
      <c r="P1789">
        <v>1.2769860578584874E-2</v>
      </c>
      <c r="Q1789">
        <v>1.5027215904426464E-3</v>
      </c>
      <c r="R1789">
        <v>3.7451283562382515E-3</v>
      </c>
      <c r="S1789">
        <v>0.35874652013444086</v>
      </c>
      <c r="T1789">
        <v>0.39953776975336741</v>
      </c>
      <c r="U1789">
        <v>0</v>
      </c>
      <c r="V1789">
        <v>0.19612543597039153</v>
      </c>
      <c r="W1789">
        <v>0.21306402119922835</v>
      </c>
      <c r="X1789">
        <v>4.9379657395916397E-2</v>
      </c>
      <c r="Y1789">
        <v>1.0193004804449688E-2</v>
      </c>
    </row>
    <row r="1790" spans="1:25" x14ac:dyDescent="0.25">
      <c r="A1790" s="1083"/>
      <c r="B1790" s="1455">
        <v>1540</v>
      </c>
      <c r="C1790" s="1087">
        <v>1.0390347922287937</v>
      </c>
      <c r="D1790" s="1087">
        <v>1.0033432089041905</v>
      </c>
      <c r="E1790" s="1087">
        <v>1.0183273683487593</v>
      </c>
      <c r="F1790" s="1087">
        <v>0.98417045006249948</v>
      </c>
      <c r="G1790" s="1087">
        <v>1.0115499122422003</v>
      </c>
      <c r="H1790" s="1087">
        <v>0.98599229429528201</v>
      </c>
      <c r="I1790" s="1087">
        <v>0.98881236053594457</v>
      </c>
      <c r="K1790">
        <v>1.7867977883627664</v>
      </c>
      <c r="L1790">
        <v>0</v>
      </c>
      <c r="M1790">
        <v>3.3177133531458094E-3</v>
      </c>
      <c r="N1790">
        <v>0.33312272461601622</v>
      </c>
      <c r="O1790">
        <v>0.2322355095291512</v>
      </c>
      <c r="P1790">
        <v>1.2936640385337811E-2</v>
      </c>
      <c r="Q1790">
        <v>1.5520484772095491E-3</v>
      </c>
      <c r="R1790">
        <v>3.3119275782303738E-3</v>
      </c>
      <c r="S1790">
        <v>0.34463935583009192</v>
      </c>
      <c r="T1790">
        <v>0.39642926388586192</v>
      </c>
      <c r="U1790">
        <v>0</v>
      </c>
      <c r="V1790">
        <v>0.19429418601858545</v>
      </c>
      <c r="W1790">
        <v>0.20979204094490478</v>
      </c>
      <c r="X1790">
        <v>5.2787829359212758E-2</v>
      </c>
      <c r="Y1790">
        <v>9.0139750913103348E-3</v>
      </c>
    </row>
    <row r="1791" spans="1:25" x14ac:dyDescent="0.25">
      <c r="A1791" s="1083"/>
      <c r="B1791" s="1455">
        <v>1541</v>
      </c>
      <c r="C1791" s="1087">
        <v>0.99984782935304717</v>
      </c>
      <c r="D1791" s="1087">
        <v>0.99392099970816727</v>
      </c>
      <c r="E1791" s="1087">
        <v>1.0385722605353278</v>
      </c>
      <c r="F1791" s="1087">
        <v>0.9875790777892347</v>
      </c>
      <c r="G1791" s="1087">
        <v>0.99060622253686936</v>
      </c>
      <c r="H1791" s="1087">
        <v>1.0144554600605982</v>
      </c>
      <c r="I1791" s="1087">
        <v>0.97951575791277812</v>
      </c>
      <c r="K1791">
        <v>1.8710122135724006</v>
      </c>
      <c r="L1791">
        <v>0</v>
      </c>
      <c r="M1791">
        <v>3.4205929246954978E-3</v>
      </c>
      <c r="N1791">
        <v>0.3653127257758515</v>
      </c>
      <c r="O1791">
        <v>0.23844298373296743</v>
      </c>
      <c r="P1791">
        <v>1.3462397232994467E-2</v>
      </c>
      <c r="Q1791">
        <v>1.6537624884513959E-3</v>
      </c>
      <c r="R1791">
        <v>3.4148035286971651E-3</v>
      </c>
      <c r="S1791">
        <v>0.36196946834014404</v>
      </c>
      <c r="T1791">
        <v>0.39792582898048789</v>
      </c>
      <c r="U1791">
        <v>0</v>
      </c>
      <c r="V1791">
        <v>0.19926057945655329</v>
      </c>
      <c r="W1791">
        <v>0.22723321480778308</v>
      </c>
      <c r="X1791">
        <v>5.6463072637729921E-2</v>
      </c>
      <c r="Y1791">
        <v>9.2939695154329836E-3</v>
      </c>
    </row>
    <row r="1792" spans="1:25" x14ac:dyDescent="0.25">
      <c r="A1792" s="1083"/>
      <c r="B1792" s="1455">
        <v>1542</v>
      </c>
      <c r="C1792" s="1087">
        <v>1.0332589767928797</v>
      </c>
      <c r="D1792" s="1087">
        <v>0.99435197975152834</v>
      </c>
      <c r="E1792" s="1087">
        <v>0.97448008572834621</v>
      </c>
      <c r="F1792" s="1087">
        <v>1.0340819317629772</v>
      </c>
      <c r="G1792" s="1087">
        <v>1.0107741212430752</v>
      </c>
      <c r="H1792" s="1087">
        <v>1.0018363374226982</v>
      </c>
      <c r="I1792" s="1087">
        <v>0.96329406252276284</v>
      </c>
      <c r="K1792">
        <v>1.8095659277615073</v>
      </c>
      <c r="L1792">
        <v>0</v>
      </c>
      <c r="M1792">
        <v>3.7248968400266083E-3</v>
      </c>
      <c r="N1792">
        <v>0.32716349041332993</v>
      </c>
      <c r="O1792">
        <v>0.23884646068808224</v>
      </c>
      <c r="P1792">
        <v>1.2809233247378985E-2</v>
      </c>
      <c r="Q1792">
        <v>1.4947209559422667E-3</v>
      </c>
      <c r="R1792">
        <v>3.7185101482039365E-3</v>
      </c>
      <c r="S1792">
        <v>0.34148507445353399</v>
      </c>
      <c r="T1792">
        <v>0.4162598726111893</v>
      </c>
      <c r="U1792">
        <v>0</v>
      </c>
      <c r="V1792">
        <v>0.19928594240826245</v>
      </c>
      <c r="W1792">
        <v>0.21177798022049033</v>
      </c>
      <c r="X1792">
        <v>5.0328980638251253E-2</v>
      </c>
      <c r="Y1792">
        <v>1.01205588168702E-2</v>
      </c>
    </row>
    <row r="1793" spans="1:25" x14ac:dyDescent="0.25">
      <c r="A1793" s="1083"/>
      <c r="B1793" s="1455">
        <v>1543</v>
      </c>
      <c r="C1793" s="1087">
        <v>0.98759095352792159</v>
      </c>
      <c r="D1793" s="1087">
        <v>0.99467607214663067</v>
      </c>
      <c r="E1793" s="1087">
        <v>1.0035612018387361</v>
      </c>
      <c r="F1793" s="1087">
        <v>0.99969420843047851</v>
      </c>
      <c r="G1793" s="1087">
        <v>0.97584485026505319</v>
      </c>
      <c r="H1793" s="1087">
        <v>0.98737443701814143</v>
      </c>
      <c r="I1793" s="1087">
        <v>1.0196287540538482</v>
      </c>
      <c r="K1793">
        <v>1.8673790166653677</v>
      </c>
      <c r="L1793">
        <v>0</v>
      </c>
      <c r="M1793">
        <v>3.6203272517291861E-3</v>
      </c>
      <c r="N1793">
        <v>0.34750484106990892</v>
      </c>
      <c r="O1793">
        <v>0.24079918037269965</v>
      </c>
      <c r="P1793">
        <v>1.3404183377717049E-2</v>
      </c>
      <c r="Q1793">
        <v>1.613134140307673E-3</v>
      </c>
      <c r="R1793">
        <v>3.6140312953521657E-3</v>
      </c>
      <c r="S1793">
        <v>0.37580881653045711</v>
      </c>
      <c r="T1793">
        <v>0.40259218481052628</v>
      </c>
      <c r="U1793">
        <v>0</v>
      </c>
      <c r="V1793">
        <v>0.20138594786334396</v>
      </c>
      <c r="W1793">
        <v>0.22086135274262414</v>
      </c>
      <c r="X1793">
        <v>5.3579469893304983E-2</v>
      </c>
      <c r="Y1793">
        <v>9.8362018208522674E-3</v>
      </c>
    </row>
    <row r="1794" spans="1:25" x14ac:dyDescent="0.25">
      <c r="A1794" s="1083"/>
      <c r="B1794" s="1455">
        <v>1544</v>
      </c>
      <c r="C1794" s="1087">
        <v>0.97551726949720308</v>
      </c>
      <c r="D1794" s="1087">
        <v>0.99294909194802494</v>
      </c>
      <c r="E1794" s="1087">
        <v>0.97521413774805032</v>
      </c>
      <c r="F1794" s="1087">
        <v>1.0150442824133075</v>
      </c>
      <c r="G1794" s="1087">
        <v>0.9783222628087509</v>
      </c>
      <c r="H1794" s="1087">
        <v>0.97654511987344206</v>
      </c>
      <c r="I1794" s="1087">
        <v>1.010737346536138</v>
      </c>
      <c r="K1794">
        <v>1.8658492804483529</v>
      </c>
      <c r="L1794">
        <v>0</v>
      </c>
      <c r="M1794">
        <v>3.8447320478110763E-3</v>
      </c>
      <c r="N1794">
        <v>0.33843284055160555</v>
      </c>
      <c r="O1794">
        <v>0.24389572001981513</v>
      </c>
      <c r="P1794">
        <v>1.3227393418353307E-2</v>
      </c>
      <c r="Q1794">
        <v>1.5853449486624128E-3</v>
      </c>
      <c r="R1794">
        <v>3.8379736157373888E-3</v>
      </c>
      <c r="S1794">
        <v>0.37513660403763754</v>
      </c>
      <c r="T1794">
        <v>0.40860088014890933</v>
      </c>
      <c r="U1794">
        <v>0</v>
      </c>
      <c r="V1794">
        <v>0.20397749053099307</v>
      </c>
      <c r="W1794">
        <v>0.21897042541651815</v>
      </c>
      <c r="X1794">
        <v>5.1583640813555709E-2</v>
      </c>
      <c r="Y1794">
        <v>1.044569899437477E-2</v>
      </c>
    </row>
    <row r="1795" spans="1:25" x14ac:dyDescent="0.25">
      <c r="A1795" s="1083"/>
      <c r="B1795" s="1455">
        <v>1545</v>
      </c>
      <c r="C1795" s="1087">
        <v>0.99259751401570828</v>
      </c>
      <c r="D1795" s="1087">
        <v>0.99625930053337952</v>
      </c>
      <c r="E1795" s="1087">
        <v>1.0212983523840182</v>
      </c>
      <c r="F1795" s="1087">
        <v>0.9641614515236594</v>
      </c>
      <c r="G1795" s="1087">
        <v>1.0092962670700536</v>
      </c>
      <c r="H1795" s="1087">
        <v>1.0335349463854921</v>
      </c>
      <c r="I1795" s="1087">
        <v>1.032666001325377</v>
      </c>
      <c r="K1795">
        <v>1.8884292595427481</v>
      </c>
      <c r="L1795">
        <v>0</v>
      </c>
      <c r="M1795">
        <v>3.6320474256238966E-3</v>
      </c>
      <c r="N1795">
        <v>0.36803097214585062</v>
      </c>
      <c r="O1795">
        <v>0.23598641606305504</v>
      </c>
      <c r="P1795">
        <v>1.3492240147455408E-2</v>
      </c>
      <c r="Q1795">
        <v>1.6343834677871318E-3</v>
      </c>
      <c r="R1795">
        <v>3.6260106937750893E-3</v>
      </c>
      <c r="S1795">
        <v>0.38726915521401079</v>
      </c>
      <c r="T1795">
        <v>0.38838712753752352</v>
      </c>
      <c r="U1795">
        <v>0</v>
      </c>
      <c r="V1795">
        <v>0.197752184631421</v>
      </c>
      <c r="W1795">
        <v>0.23135283061229758</v>
      </c>
      <c r="X1795">
        <v>5.466118066084362E-2</v>
      </c>
      <c r="Y1795">
        <v>9.8688057943518356E-3</v>
      </c>
    </row>
    <row r="1796" spans="1:25" x14ac:dyDescent="0.25">
      <c r="A1796" s="1083"/>
      <c r="B1796" s="1455">
        <v>1546</v>
      </c>
      <c r="C1796" s="1087">
        <v>1.0097960261383245</v>
      </c>
      <c r="D1796" s="1087">
        <v>0.95374489333902446</v>
      </c>
      <c r="E1796" s="1087">
        <v>1.0199996392498532</v>
      </c>
      <c r="F1796" s="1087">
        <v>0.98376694986437263</v>
      </c>
      <c r="G1796" s="1087">
        <v>0.99132555463018834</v>
      </c>
      <c r="H1796" s="1087">
        <v>1.0260605679558172</v>
      </c>
      <c r="I1796" s="1087">
        <v>0.99468012102436398</v>
      </c>
      <c r="K1796">
        <v>1.8895688875113914</v>
      </c>
      <c r="L1796">
        <v>0</v>
      </c>
      <c r="M1796">
        <v>3.6385647700807656E-3</v>
      </c>
      <c r="N1796">
        <v>0.36723452710061921</v>
      </c>
      <c r="O1796">
        <v>0.24055773881870399</v>
      </c>
      <c r="P1796">
        <v>1.3438725612106413E-2</v>
      </c>
      <c r="Q1796">
        <v>1.6325816284404372E-3</v>
      </c>
      <c r="R1796">
        <v>3.6325103173807591E-3</v>
      </c>
      <c r="S1796">
        <v>0.37427164881047498</v>
      </c>
      <c r="T1796">
        <v>0.39627683416445242</v>
      </c>
      <c r="U1796">
        <v>0</v>
      </c>
      <c r="V1796">
        <v>0.19992322586346631</v>
      </c>
      <c r="W1796">
        <v>0.23103668882573955</v>
      </c>
      <c r="X1796">
        <v>5.531647551287891E-2</v>
      </c>
      <c r="Y1796">
        <v>9.8864956272061225E-3</v>
      </c>
    </row>
    <row r="1797" spans="1:25" x14ac:dyDescent="0.25">
      <c r="A1797" s="1083"/>
      <c r="B1797" s="1455">
        <v>1547</v>
      </c>
      <c r="C1797" s="1087">
        <v>1.0263075528963137</v>
      </c>
      <c r="D1797" s="1087">
        <v>0.95744703408569909</v>
      </c>
      <c r="E1797" s="1087">
        <v>1.0252758735600243</v>
      </c>
      <c r="F1797" s="1087">
        <v>1.0077519964886315</v>
      </c>
      <c r="G1797" s="1087">
        <v>0.99461295130653915</v>
      </c>
      <c r="H1797" s="1087">
        <v>0.98541680439730983</v>
      </c>
      <c r="I1797" s="1087">
        <v>1.0069448664512703</v>
      </c>
      <c r="K1797">
        <v>1.8582498370030034</v>
      </c>
      <c r="L1797">
        <v>0</v>
      </c>
      <c r="M1797">
        <v>3.3947373221662551E-3</v>
      </c>
      <c r="N1797">
        <v>0.34815344030294365</v>
      </c>
      <c r="O1797">
        <v>0.24121352759675285</v>
      </c>
      <c r="P1797">
        <v>1.3494862352343132E-2</v>
      </c>
      <c r="Q1797">
        <v>1.6127661779334701E-3</v>
      </c>
      <c r="R1797">
        <v>3.3888535695539711E-3</v>
      </c>
      <c r="S1797">
        <v>0.36467497575417762</v>
      </c>
      <c r="T1797">
        <v>0.40597111803686925</v>
      </c>
      <c r="U1797">
        <v>0</v>
      </c>
      <c r="V1797">
        <v>0.20013239109796654</v>
      </c>
      <c r="W1797">
        <v>0.21832350812706058</v>
      </c>
      <c r="X1797">
        <v>5.5455789028522502E-2</v>
      </c>
      <c r="Y1797">
        <v>9.2233422810469416E-3</v>
      </c>
    </row>
    <row r="1798" spans="1:25" x14ac:dyDescent="0.25">
      <c r="A1798" s="1083"/>
      <c r="B1798" s="1455">
        <v>1548</v>
      </c>
      <c r="C1798" s="1087">
        <v>1.0255050465039159</v>
      </c>
      <c r="D1798" s="1087">
        <v>0.9801203323262565</v>
      </c>
      <c r="E1798" s="1087">
        <v>0.99019314874953579</v>
      </c>
      <c r="F1798" s="1087">
        <v>1.0185947416188941</v>
      </c>
      <c r="G1798" s="1087">
        <v>1.0001310440720972</v>
      </c>
      <c r="H1798" s="1087">
        <v>1.0266075666602026</v>
      </c>
      <c r="I1798" s="1087">
        <v>0.99790830190859015</v>
      </c>
      <c r="K1798">
        <v>1.8583658960359666</v>
      </c>
      <c r="L1798">
        <v>0</v>
      </c>
      <c r="M1798">
        <v>3.7549124703174421E-3</v>
      </c>
      <c r="N1798">
        <v>0.34603659756816396</v>
      </c>
      <c r="O1798">
        <v>0.23971380566017536</v>
      </c>
      <c r="P1798">
        <v>1.3188939037424442E-2</v>
      </c>
      <c r="Q1798">
        <v>1.5405446510748178E-3</v>
      </c>
      <c r="R1798">
        <v>3.748644429899486E-3</v>
      </c>
      <c r="S1798">
        <v>0.36394583756395588</v>
      </c>
      <c r="T1798">
        <v>0.41012139787819835</v>
      </c>
      <c r="U1798">
        <v>0</v>
      </c>
      <c r="V1798">
        <v>0.19967111997859402</v>
      </c>
      <c r="W1798">
        <v>0.22177723807671046</v>
      </c>
      <c r="X1798">
        <v>5.2174109264201796E-2</v>
      </c>
      <c r="Y1798">
        <v>1.0202574397882197E-2</v>
      </c>
    </row>
    <row r="1799" spans="1:25" x14ac:dyDescent="0.25">
      <c r="A1799" s="1083"/>
      <c r="B1799" s="1455">
        <v>1549</v>
      </c>
      <c r="C1799" s="1087">
        <v>0.95929476511993506</v>
      </c>
      <c r="D1799" s="1087">
        <v>0.97272847629996506</v>
      </c>
      <c r="E1799" s="1087">
        <v>0.99343921161217053</v>
      </c>
      <c r="F1799" s="1087">
        <v>0.96524391285534605</v>
      </c>
      <c r="G1799" s="1087">
        <v>1.0095402783156382</v>
      </c>
      <c r="H1799" s="1087">
        <v>0.98385309407120047</v>
      </c>
      <c r="I1799" s="1087">
        <v>1.0400262369187656</v>
      </c>
      <c r="K1799">
        <v>1.8956279186918175</v>
      </c>
      <c r="L1799">
        <v>0</v>
      </c>
      <c r="M1799">
        <v>3.8345194344292176E-3</v>
      </c>
      <c r="N1799">
        <v>0.35686715067129732</v>
      </c>
      <c r="O1799">
        <v>0.2420465551026004</v>
      </c>
      <c r="P1799">
        <v>1.3439291692196223E-2</v>
      </c>
      <c r="Q1799">
        <v>1.6576150988282619E-3</v>
      </c>
      <c r="R1799">
        <v>3.8278428760424752E-3</v>
      </c>
      <c r="S1799">
        <v>0.39856903179045827</v>
      </c>
      <c r="T1799">
        <v>0.38865938674235057</v>
      </c>
      <c r="U1799">
        <v>0</v>
      </c>
      <c r="V1799">
        <v>0.20257079116673862</v>
      </c>
      <c r="W1799">
        <v>0.22825233256474495</v>
      </c>
      <c r="X1799">
        <v>5.3154313960465285E-2</v>
      </c>
      <c r="Y1799">
        <v>1.041812646052266E-2</v>
      </c>
    </row>
    <row r="1800" spans="1:25" x14ac:dyDescent="0.25">
      <c r="A1800" s="1083"/>
      <c r="B1800" s="1455">
        <v>1550</v>
      </c>
      <c r="C1800" s="1087">
        <v>1.0310600434923205</v>
      </c>
      <c r="D1800" s="1087">
        <v>0.99020573970572312</v>
      </c>
      <c r="E1800" s="1087">
        <v>1.0289082035053854</v>
      </c>
      <c r="F1800" s="1087">
        <v>1.0366367700181023</v>
      </c>
      <c r="G1800" s="1087">
        <v>0.99633999759536385</v>
      </c>
      <c r="H1800" s="1087">
        <v>1.0012031238720918</v>
      </c>
      <c r="I1800" s="1087">
        <v>1.0414804438109382</v>
      </c>
      <c r="K1800">
        <v>1.8740027121932239</v>
      </c>
      <c r="L1800">
        <v>0</v>
      </c>
      <c r="M1800">
        <v>3.3450676353369586E-3</v>
      </c>
      <c r="N1800">
        <v>0.34688224232830489</v>
      </c>
      <c r="O1800">
        <v>0.24061833325816906</v>
      </c>
      <c r="P1800">
        <v>1.3788580328626638E-2</v>
      </c>
      <c r="Q1800">
        <v>1.5899312931518324E-3</v>
      </c>
      <c r="R1800">
        <v>3.3393322394156253E-3</v>
      </c>
      <c r="S1800">
        <v>0.37137414553061138</v>
      </c>
      <c r="T1800">
        <v>0.41763054588354087</v>
      </c>
      <c r="U1800">
        <v>0</v>
      </c>
      <c r="V1800">
        <v>0.20028534694656336</v>
      </c>
      <c r="W1800">
        <v>0.21704312772735584</v>
      </c>
      <c r="X1800">
        <v>5.5707632747707889E-2</v>
      </c>
      <c r="Y1800">
        <v>9.0885615451124589E-3</v>
      </c>
    </row>
    <row r="1801" spans="1:25" x14ac:dyDescent="0.25">
      <c r="A1801" s="1083"/>
      <c r="B1801" s="1455">
        <v>1551</v>
      </c>
      <c r="C1801" s="1087">
        <v>1.0188896872036692</v>
      </c>
      <c r="D1801" s="1087">
        <v>1.0079808824156655</v>
      </c>
      <c r="E1801" s="1087">
        <v>0.9883957612103893</v>
      </c>
      <c r="F1801" s="1087">
        <v>0.98287102217106459</v>
      </c>
      <c r="G1801" s="1087">
        <v>0.97410203106913107</v>
      </c>
      <c r="H1801" s="1087">
        <v>0.98389503500416287</v>
      </c>
      <c r="I1801" s="1087">
        <v>0.98155195083301228</v>
      </c>
      <c r="K1801">
        <v>1.7855691234417035</v>
      </c>
      <c r="L1801">
        <v>0</v>
      </c>
      <c r="M1801">
        <v>3.5808176220779859E-3</v>
      </c>
      <c r="N1801">
        <v>0.32816021270947177</v>
      </c>
      <c r="O1801">
        <v>0.23354076645159627</v>
      </c>
      <c r="P1801">
        <v>1.2699285816535798E-2</v>
      </c>
      <c r="Q1801">
        <v>1.530309803849545E-3</v>
      </c>
      <c r="R1801">
        <v>3.5745562818215106E-3</v>
      </c>
      <c r="S1801">
        <v>0.34730931703115159</v>
      </c>
      <c r="T1801">
        <v>0.39572717336396984</v>
      </c>
      <c r="U1801">
        <v>0</v>
      </c>
      <c r="V1801">
        <v>0.19582014897167738</v>
      </c>
      <c r="W1801">
        <v>0.21055838661543985</v>
      </c>
      <c r="X1801">
        <v>5.0501020171308877E-2</v>
      </c>
      <c r="Y1801">
        <v>9.7287638469565375E-3</v>
      </c>
    </row>
    <row r="1802" spans="1:25" x14ac:dyDescent="0.25">
      <c r="A1802" s="1083"/>
      <c r="B1802" s="1455">
        <v>1552</v>
      </c>
      <c r="C1802" s="1087">
        <v>0.99955330931676434</v>
      </c>
      <c r="D1802" s="1087">
        <v>0.99117006787882656</v>
      </c>
      <c r="E1802" s="1087">
        <v>1.01691185410989</v>
      </c>
      <c r="F1802" s="1087">
        <v>1.0165635595927598</v>
      </c>
      <c r="G1802" s="1087">
        <v>1.0127116957519966</v>
      </c>
      <c r="H1802" s="1087">
        <v>0.96456889634377463</v>
      </c>
      <c r="I1802" s="1087">
        <v>0.97434263024458123</v>
      </c>
      <c r="K1802">
        <v>1.8388484092630855</v>
      </c>
      <c r="L1802">
        <v>0</v>
      </c>
      <c r="M1802">
        <v>3.4066035380301558E-3</v>
      </c>
      <c r="N1802">
        <v>0.34056340574295285</v>
      </c>
      <c r="O1802">
        <v>0.24188180164924933</v>
      </c>
      <c r="P1802">
        <v>1.3303579847865546E-2</v>
      </c>
      <c r="Q1802">
        <v>1.6188283755996949E-3</v>
      </c>
      <c r="R1802">
        <v>3.4005422192786095E-3</v>
      </c>
      <c r="S1802">
        <v>0.35161059475478051</v>
      </c>
      <c r="T1802">
        <v>0.40946855935995613</v>
      </c>
      <c r="U1802">
        <v>0</v>
      </c>
      <c r="V1802">
        <v>0.20181463346215461</v>
      </c>
      <c r="W1802">
        <v>0.21466527210394754</v>
      </c>
      <c r="X1802">
        <v>5.4672640352896498E-2</v>
      </c>
      <c r="Y1802">
        <v>9.2551549324350595E-3</v>
      </c>
    </row>
    <row r="1803" spans="1:25" x14ac:dyDescent="0.25">
      <c r="A1803" s="1083"/>
      <c r="B1803" s="1455">
        <v>1553</v>
      </c>
      <c r="C1803" s="1087">
        <v>0.97609923108445196</v>
      </c>
      <c r="D1803" s="1087">
        <v>1.0244900440759472</v>
      </c>
      <c r="E1803" s="1087">
        <v>0.97523326046480685</v>
      </c>
      <c r="F1803" s="1087">
        <v>1.0157260377201518</v>
      </c>
      <c r="G1803" s="1087">
        <v>1.0010395628755213</v>
      </c>
      <c r="H1803" s="1087">
        <v>0.99712974302852797</v>
      </c>
      <c r="I1803" s="1087">
        <v>0.98385990656952149</v>
      </c>
      <c r="K1803">
        <v>1.84969458778</v>
      </c>
      <c r="L1803">
        <v>0</v>
      </c>
      <c r="M1803">
        <v>3.8575769910010552E-3</v>
      </c>
      <c r="N1803">
        <v>0.33959314341942892</v>
      </c>
      <c r="O1803">
        <v>0.24075399826225521</v>
      </c>
      <c r="P1803">
        <v>1.3038027704969788E-2</v>
      </c>
      <c r="Q1803">
        <v>1.5647372620513902E-3</v>
      </c>
      <c r="R1803">
        <v>3.8509068084504783E-3</v>
      </c>
      <c r="S1803">
        <v>0.36239761603927112</v>
      </c>
      <c r="T1803">
        <v>0.40887543284374311</v>
      </c>
      <c r="U1803">
        <v>0</v>
      </c>
      <c r="V1803">
        <v>0.20228897749638972</v>
      </c>
      <c r="W1803">
        <v>0.21971848157002996</v>
      </c>
      <c r="X1803">
        <v>5.0989944482893484E-2</v>
      </c>
      <c r="Y1803">
        <v>1.0480898881513968E-2</v>
      </c>
    </row>
    <row r="1804" spans="1:25" x14ac:dyDescent="0.25">
      <c r="A1804" s="1083"/>
      <c r="B1804" s="1455">
        <v>1554</v>
      </c>
      <c r="C1804" s="1087">
        <v>0.98128391821320049</v>
      </c>
      <c r="D1804" s="1087">
        <v>0.99269341873572214</v>
      </c>
      <c r="E1804" s="1087">
        <v>0.95681778275287432</v>
      </c>
      <c r="F1804" s="1087">
        <v>1.0076831679525302</v>
      </c>
      <c r="G1804" s="1087">
        <v>0.99921917698694274</v>
      </c>
      <c r="H1804" s="1087">
        <v>0.98060085310402012</v>
      </c>
      <c r="I1804" s="1087">
        <v>1.0020306856509373</v>
      </c>
      <c r="K1804">
        <v>1.843987618993481</v>
      </c>
      <c r="L1804">
        <v>0</v>
      </c>
      <c r="M1804">
        <v>3.9848407520996186E-3</v>
      </c>
      <c r="N1804">
        <v>0.33157261150016493</v>
      </c>
      <c r="O1804">
        <v>0.24205168196370511</v>
      </c>
      <c r="P1804">
        <v>1.2919080586133835E-2</v>
      </c>
      <c r="Q1804">
        <v>1.5450545505272971E-3</v>
      </c>
      <c r="R1804">
        <v>3.9778651009791961E-3</v>
      </c>
      <c r="S1804">
        <v>0.37030917409402447</v>
      </c>
      <c r="T1804">
        <v>0.40552814901795969</v>
      </c>
      <c r="U1804">
        <v>0</v>
      </c>
      <c r="V1804">
        <v>0.20259690266065408</v>
      </c>
      <c r="W1804">
        <v>0.21707680618736733</v>
      </c>
      <c r="X1804">
        <v>4.9568696582075092E-2</v>
      </c>
      <c r="Y1804">
        <v>1.0826437501987253E-2</v>
      </c>
    </row>
    <row r="1805" spans="1:25" x14ac:dyDescent="0.25">
      <c r="A1805" s="1083"/>
      <c r="B1805" s="1455">
        <v>1555</v>
      </c>
      <c r="C1805" s="1087">
        <v>0.96922455529470808</v>
      </c>
      <c r="D1805" s="1087">
        <v>0.9970869321642134</v>
      </c>
      <c r="E1805" s="1087">
        <v>0.99068515105575772</v>
      </c>
      <c r="F1805" s="1087">
        <v>1.0015687237375479</v>
      </c>
      <c r="G1805" s="1087">
        <v>1.0208214458623945</v>
      </c>
      <c r="H1805" s="1087">
        <v>1.0208471622971305</v>
      </c>
      <c r="I1805" s="1087">
        <v>0.98452605725475584</v>
      </c>
      <c r="K1805">
        <v>1.8955832538906665</v>
      </c>
      <c r="L1805">
        <v>0</v>
      </c>
      <c r="M1805">
        <v>3.9105386863758735E-3</v>
      </c>
      <c r="N1805">
        <v>0.36091548672834789</v>
      </c>
      <c r="O1805">
        <v>0.24288139932801364</v>
      </c>
      <c r="P1805">
        <v>1.3304805840539828E-2</v>
      </c>
      <c r="Q1805">
        <v>1.619701740350833E-3</v>
      </c>
      <c r="R1805">
        <v>3.9039586648805676E-3</v>
      </c>
      <c r="S1805">
        <v>0.37527455069340665</v>
      </c>
      <c r="T1805">
        <v>0.40326910084609108</v>
      </c>
      <c r="U1805">
        <v>0</v>
      </c>
      <c r="V1805">
        <v>0.20338329406816663</v>
      </c>
      <c r="W1805">
        <v>0.2312416089057994</v>
      </c>
      <c r="X1805">
        <v>5.3074597215267541E-2</v>
      </c>
      <c r="Y1805">
        <v>1.0625288546176899E-2</v>
      </c>
    </row>
    <row r="1806" spans="1:25" x14ac:dyDescent="0.25">
      <c r="A1806" s="1083"/>
      <c r="B1806" s="1455">
        <v>1556</v>
      </c>
      <c r="C1806" s="1087">
        <v>0.9942917180014903</v>
      </c>
      <c r="D1806" s="1087">
        <v>1.0006652301676027</v>
      </c>
      <c r="E1806" s="1087">
        <v>1.0055574924377824</v>
      </c>
      <c r="F1806" s="1087">
        <v>0.99270749197021091</v>
      </c>
      <c r="G1806" s="1087">
        <v>0.97850497663523273</v>
      </c>
      <c r="H1806" s="1087">
        <v>1.0106627467705893</v>
      </c>
      <c r="I1806" s="1087">
        <v>1.0154228963805694</v>
      </c>
      <c r="K1806">
        <v>1.8681417682795882</v>
      </c>
      <c r="L1806">
        <v>0</v>
      </c>
      <c r="M1806">
        <v>3.6538362000611809E-3</v>
      </c>
      <c r="N1806">
        <v>0.35287734690246009</v>
      </c>
      <c r="O1806">
        <v>0.23858282058161648</v>
      </c>
      <c r="P1806">
        <v>1.3349909738669105E-2</v>
      </c>
      <c r="Q1806">
        <v>1.6018157723371011E-3</v>
      </c>
      <c r="R1806">
        <v>3.6476231130035154E-3</v>
      </c>
      <c r="S1806">
        <v>0.37483764681395076</v>
      </c>
      <c r="T1806">
        <v>0.39979057345478736</v>
      </c>
      <c r="U1806">
        <v>0</v>
      </c>
      <c r="V1806">
        <v>0.19974626512556093</v>
      </c>
      <c r="W1806">
        <v>0.22399730566321516</v>
      </c>
      <c r="X1806">
        <v>5.3436669639086748E-2</v>
      </c>
      <c r="Y1806">
        <v>9.9276276749595271E-3</v>
      </c>
    </row>
    <row r="1807" spans="1:25" x14ac:dyDescent="0.25">
      <c r="A1807" s="1083"/>
      <c r="B1807" s="1455">
        <v>1557</v>
      </c>
      <c r="C1807" s="1087">
        <v>1.0216337629467391</v>
      </c>
      <c r="D1807" s="1087">
        <v>1.0118029775555879</v>
      </c>
      <c r="E1807" s="1087">
        <v>0.99606147172793158</v>
      </c>
      <c r="F1807" s="1087">
        <v>0.99541689150389923</v>
      </c>
      <c r="G1807" s="1087">
        <v>0.98129703869310347</v>
      </c>
      <c r="H1807" s="1087">
        <v>1.0065852169502407</v>
      </c>
      <c r="I1807" s="1087">
        <v>1.0069197529518807</v>
      </c>
      <c r="K1807">
        <v>1.8179174690915274</v>
      </c>
      <c r="L1807">
        <v>0</v>
      </c>
      <c r="M1807">
        <v>3.5891897296587007E-3</v>
      </c>
      <c r="N1807">
        <v>0.33673032272203635</v>
      </c>
      <c r="O1807">
        <v>0.23440963733268896</v>
      </c>
      <c r="P1807">
        <v>1.3005313054423987E-2</v>
      </c>
      <c r="Q1807">
        <v>1.536440036783403E-3</v>
      </c>
      <c r="R1807">
        <v>3.5830515420487274E-3</v>
      </c>
      <c r="S1807">
        <v>0.35868859614327153</v>
      </c>
      <c r="T1807">
        <v>0.40082441597333412</v>
      </c>
      <c r="U1807">
        <v>0</v>
      </c>
      <c r="V1807">
        <v>0.19645068340776273</v>
      </c>
      <c r="W1807">
        <v>0.21501882869417871</v>
      </c>
      <c r="X1807">
        <v>5.1507484769822212E-2</v>
      </c>
      <c r="Y1807">
        <v>9.7518851448332427E-3</v>
      </c>
    </row>
    <row r="1808" spans="1:25" x14ac:dyDescent="0.25">
      <c r="A1808" s="1083"/>
      <c r="B1808" s="1455">
        <v>1558</v>
      </c>
      <c r="C1808" s="1087">
        <v>0.98485612358531649</v>
      </c>
      <c r="D1808" s="1087">
        <v>0.9688906454122399</v>
      </c>
      <c r="E1808" s="1087">
        <v>0.98585302755949034</v>
      </c>
      <c r="F1808" s="1087">
        <v>0.97100000979354428</v>
      </c>
      <c r="G1808" s="1087">
        <v>0.99562420043241107</v>
      </c>
      <c r="H1808" s="1087">
        <v>0.98595932282364096</v>
      </c>
      <c r="I1808" s="1087">
        <v>1.0146945502070428</v>
      </c>
      <c r="K1808">
        <v>1.8574464638083652</v>
      </c>
      <c r="L1808">
        <v>0</v>
      </c>
      <c r="M1808">
        <v>3.810908205458124E-3</v>
      </c>
      <c r="N1808">
        <v>0.34654895870294444</v>
      </c>
      <c r="O1808">
        <v>0.23992682469299195</v>
      </c>
      <c r="P1808">
        <v>1.3113456514402086E-2</v>
      </c>
      <c r="Q1808">
        <v>1.6040583704395031E-3</v>
      </c>
      <c r="R1808">
        <v>3.8042929445551311E-3</v>
      </c>
      <c r="S1808">
        <v>0.37997774424197167</v>
      </c>
      <c r="T1808">
        <v>0.39093280033102973</v>
      </c>
      <c r="U1808">
        <v>0</v>
      </c>
      <c r="V1808">
        <v>0.20042196633783635</v>
      </c>
      <c r="W1808">
        <v>0.22271421223444182</v>
      </c>
      <c r="X1808">
        <v>5.1859026332964818E-2</v>
      </c>
      <c r="Y1808">
        <v>1.0354031310246939E-2</v>
      </c>
    </row>
    <row r="1809" spans="1:25" x14ac:dyDescent="0.25">
      <c r="A1809" s="1083"/>
      <c r="B1809" s="1455">
        <v>1559</v>
      </c>
      <c r="C1809" s="1087">
        <v>1.0042977613976607</v>
      </c>
      <c r="D1809" s="1087">
        <v>0.96033262982956868</v>
      </c>
      <c r="E1809" s="1087">
        <v>1.0080041422081072</v>
      </c>
      <c r="F1809" s="1087">
        <v>1.0141896585977919</v>
      </c>
      <c r="G1809" s="1087">
        <v>0.97951112816590369</v>
      </c>
      <c r="H1809" s="1087">
        <v>1.0123276913173989</v>
      </c>
      <c r="I1809" s="1087">
        <v>0.96889680808587841</v>
      </c>
      <c r="K1809">
        <v>1.8836248910980733</v>
      </c>
      <c r="L1809">
        <v>0</v>
      </c>
      <c r="M1809">
        <v>3.6864131190386092E-3</v>
      </c>
      <c r="N1809">
        <v>0.35869491232459344</v>
      </c>
      <c r="O1809">
        <v>0.24406654030106387</v>
      </c>
      <c r="P1809">
        <v>1.336634836850753E-2</v>
      </c>
      <c r="Q1809">
        <v>1.6163634811360681E-3</v>
      </c>
      <c r="R1809">
        <v>3.6801911219971912E-3</v>
      </c>
      <c r="S1809">
        <v>0.36260782529839991</v>
      </c>
      <c r="T1809">
        <v>0.40845713922834681</v>
      </c>
      <c r="U1809">
        <v>0</v>
      </c>
      <c r="V1809">
        <v>0.20274451385903727</v>
      </c>
      <c r="W1809">
        <v>0.22734410165612479</v>
      </c>
      <c r="X1809">
        <v>5.4717101518503806E-2</v>
      </c>
      <c r="Y1809">
        <v>1.0016267059399037E-2</v>
      </c>
    </row>
    <row r="1810" spans="1:25" x14ac:dyDescent="0.25">
      <c r="A1810" s="1083"/>
      <c r="B1810" s="1455">
        <v>1560</v>
      </c>
      <c r="C1810" s="1087">
        <v>1.0040153795385671</v>
      </c>
      <c r="D1810" s="1087">
        <v>1.0135270701301808</v>
      </c>
      <c r="E1810" s="1087">
        <v>1.0061697349569783</v>
      </c>
      <c r="F1810" s="1087">
        <v>0.98897796194536258</v>
      </c>
      <c r="G1810" s="1087">
        <v>0.97223049826746599</v>
      </c>
      <c r="H1810" s="1087">
        <v>1.0218337587895936</v>
      </c>
      <c r="I1810" s="1087">
        <v>1.0254028751012585</v>
      </c>
      <c r="K1810">
        <v>1.8575790299950785</v>
      </c>
      <c r="L1810">
        <v>0</v>
      </c>
      <c r="M1810">
        <v>3.6286810303349515E-3</v>
      </c>
      <c r="N1810">
        <v>0.35110849878054934</v>
      </c>
      <c r="O1810">
        <v>0.23572812436525808</v>
      </c>
      <c r="P1810">
        <v>1.3299972969746093E-2</v>
      </c>
      <c r="Q1810">
        <v>1.579246335942925E-3</v>
      </c>
      <c r="R1810">
        <v>3.6225671365994988E-3</v>
      </c>
      <c r="S1810">
        <v>0.37427644733793269</v>
      </c>
      <c r="T1810">
        <v>0.3982922733138719</v>
      </c>
      <c r="U1810">
        <v>0</v>
      </c>
      <c r="V1810">
        <v>0.19772043785251966</v>
      </c>
      <c r="W1810">
        <v>0.22278961922828189</v>
      </c>
      <c r="X1810">
        <v>5.2931090137820748E-2</v>
      </c>
      <c r="Y1810">
        <v>9.8594335668881986E-3</v>
      </c>
    </row>
    <row r="1811" spans="1:25" x14ac:dyDescent="0.25">
      <c r="A1811" s="1083"/>
      <c r="B1811" s="1455">
        <v>1561</v>
      </c>
      <c r="C1811" s="1087">
        <v>0.97593028013783956</v>
      </c>
      <c r="D1811" s="1087">
        <v>1.0018381287681395</v>
      </c>
      <c r="E1811" s="1087">
        <v>1.0152168030585169</v>
      </c>
      <c r="F1811" s="1087">
        <v>1.0445897497340264</v>
      </c>
      <c r="G1811" s="1087">
        <v>0.97861639525043886</v>
      </c>
      <c r="H1811" s="1087">
        <v>0.96991459179308459</v>
      </c>
      <c r="I1811" s="1087">
        <v>0.98696967026317439</v>
      </c>
      <c r="K1811">
        <v>1.885926606996601</v>
      </c>
      <c r="L1811">
        <v>0</v>
      </c>
      <c r="M1811">
        <v>3.5004049786513257E-3</v>
      </c>
      <c r="N1811">
        <v>0.34814000631429765</v>
      </c>
      <c r="O1811">
        <v>0.246997495872782</v>
      </c>
      <c r="P1811">
        <v>1.3668946836272518E-2</v>
      </c>
      <c r="Q1811">
        <v>1.6479736884761837E-3</v>
      </c>
      <c r="R1811">
        <v>3.4942019453188537E-3</v>
      </c>
      <c r="S1811">
        <v>0.36359644516211281</v>
      </c>
      <c r="T1811">
        <v>0.42074656940847527</v>
      </c>
      <c r="U1811">
        <v>0</v>
      </c>
      <c r="V1811">
        <v>0.20622849029685394</v>
      </c>
      <c r="W1811">
        <v>0.21967073022079667</v>
      </c>
      <c r="X1811">
        <v>5.5726086398069981E-2</v>
      </c>
      <c r="Y1811">
        <v>9.5100658317962151E-3</v>
      </c>
    </row>
    <row r="1812" spans="1:25" x14ac:dyDescent="0.25">
      <c r="A1812" s="1083"/>
      <c r="B1812" s="1455">
        <v>1562</v>
      </c>
      <c r="C1812" s="1087">
        <v>1.0157358529797593</v>
      </c>
      <c r="D1812" s="1087">
        <v>0.99675532510087939</v>
      </c>
      <c r="E1812" s="1087">
        <v>1.0219145822844617</v>
      </c>
      <c r="F1812" s="1087">
        <v>0.96642848074285992</v>
      </c>
      <c r="G1812" s="1087">
        <v>1.0023064147395107</v>
      </c>
      <c r="H1812" s="1087">
        <v>0.98428405316813306</v>
      </c>
      <c r="I1812" s="1087">
        <v>0.97414207909180162</v>
      </c>
      <c r="K1812">
        <v>1.80181757818234</v>
      </c>
      <c r="L1812">
        <v>0</v>
      </c>
      <c r="M1812">
        <v>3.3753255184449027E-3</v>
      </c>
      <c r="N1812">
        <v>0.34263189380707415</v>
      </c>
      <c r="O1812">
        <v>0.23351657719359417</v>
      </c>
      <c r="P1812">
        <v>1.2939935618158815E-2</v>
      </c>
      <c r="Q1812">
        <v>1.5978717108701193E-3</v>
      </c>
      <c r="R1812">
        <v>3.3694349317673232E-3</v>
      </c>
      <c r="S1812">
        <v>0.34833746495146867</v>
      </c>
      <c r="T1812">
        <v>0.38930400395852854</v>
      </c>
      <c r="U1812">
        <v>0</v>
      </c>
      <c r="V1812">
        <v>0.19550390683528726</v>
      </c>
      <c r="W1812">
        <v>0.21530479694897417</v>
      </c>
      <c r="X1812">
        <v>5.3516526594718554E-2</v>
      </c>
      <c r="Y1812">
        <v>9.1704911503439103E-3</v>
      </c>
    </row>
    <row r="1813" spans="1:25" x14ac:dyDescent="0.25">
      <c r="A1813" s="1083"/>
      <c r="B1813" s="1455">
        <v>1563</v>
      </c>
      <c r="C1813" s="1087">
        <v>1.0162309986667741</v>
      </c>
      <c r="D1813" s="1087">
        <v>1.0228247961252295</v>
      </c>
      <c r="E1813" s="1087">
        <v>0.97316746379027341</v>
      </c>
      <c r="F1813" s="1087">
        <v>1.0402395137961842</v>
      </c>
      <c r="G1813" s="1087">
        <v>1.003740410066059</v>
      </c>
      <c r="H1813" s="1087">
        <v>0.99340918442262149</v>
      </c>
      <c r="I1813" s="1087">
        <v>1.0332180436836784</v>
      </c>
      <c r="K1813">
        <v>1.8319597565731398</v>
      </c>
      <c r="L1813">
        <v>0</v>
      </c>
      <c r="M1813">
        <v>3.70781312246133E-3</v>
      </c>
      <c r="N1813">
        <v>0.32435154828827073</v>
      </c>
      <c r="O1813">
        <v>0.2386590178912999</v>
      </c>
      <c r="P1813">
        <v>1.3154578840391111E-2</v>
      </c>
      <c r="Q1813">
        <v>1.5005714462181857E-3</v>
      </c>
      <c r="R1813">
        <v>3.7013751443635734E-3</v>
      </c>
      <c r="S1813">
        <v>0.36505814972795414</v>
      </c>
      <c r="T1813">
        <v>0.41873043181562419</v>
      </c>
      <c r="U1813">
        <v>0</v>
      </c>
      <c r="V1813">
        <v>0.20002745539086839</v>
      </c>
      <c r="W1813">
        <v>0.21013347302467064</v>
      </c>
      <c r="X1813">
        <v>5.0277045140969139E-2</v>
      </c>
      <c r="Y1813">
        <v>1.0073922984969232E-2</v>
      </c>
    </row>
    <row r="1814" spans="1:25" x14ac:dyDescent="0.25">
      <c r="A1814" s="1083"/>
      <c r="B1814" s="1455">
        <v>1564</v>
      </c>
      <c r="C1814" s="1087">
        <v>1.0097978070788054</v>
      </c>
      <c r="D1814" s="1087">
        <v>1.0234622225804748</v>
      </c>
      <c r="E1814" s="1087">
        <v>0.98015679474108819</v>
      </c>
      <c r="F1814" s="1087">
        <v>0.96746138442239982</v>
      </c>
      <c r="G1814" s="1087">
        <v>0.99514019490171424</v>
      </c>
      <c r="H1814" s="1087">
        <v>1.0098190169163326</v>
      </c>
      <c r="I1814" s="1087">
        <v>0.9701133847716783</v>
      </c>
      <c r="K1814">
        <v>1.7866595646019394</v>
      </c>
      <c r="L1814">
        <v>0</v>
      </c>
      <c r="M1814">
        <v>3.7403177063934758E-3</v>
      </c>
      <c r="N1814">
        <v>0.33427066314850956</v>
      </c>
      <c r="O1814">
        <v>0.23120216598249946</v>
      </c>
      <c r="P1814">
        <v>1.252696659355112E-2</v>
      </c>
      <c r="Q1814">
        <v>1.5211790280712262E-3</v>
      </c>
      <c r="R1814">
        <v>3.733931936885094E-3</v>
      </c>
      <c r="S1814">
        <v>0.34782273528243041</v>
      </c>
      <c r="T1814">
        <v>0.38947513615309776</v>
      </c>
      <c r="U1814">
        <v>0</v>
      </c>
      <c r="V1814">
        <v>0.19460568064198619</v>
      </c>
      <c r="W1814">
        <v>0.21559924601313887</v>
      </c>
      <c r="X1814">
        <v>4.9479645686291714E-2</v>
      </c>
      <c r="Y1814">
        <v>1.016253184186904E-2</v>
      </c>
    </row>
    <row r="1815" spans="1:25" x14ac:dyDescent="0.25">
      <c r="A1815" s="1083"/>
      <c r="B1815" s="1455">
        <v>1565</v>
      </c>
      <c r="C1815" s="1087">
        <v>0.98101607953195069</v>
      </c>
      <c r="D1815" s="1087">
        <v>1.007937376979263</v>
      </c>
      <c r="E1815" s="1087">
        <v>1.0080973851174415</v>
      </c>
      <c r="F1815" s="1087">
        <v>1.0180208452254516</v>
      </c>
      <c r="G1815" s="1087">
        <v>0.99099687031043493</v>
      </c>
      <c r="H1815" s="1087">
        <v>1.0063329572857607</v>
      </c>
      <c r="I1815" s="1087">
        <v>0.97960832930508857</v>
      </c>
      <c r="K1815">
        <v>1.8802716593492452</v>
      </c>
      <c r="L1815">
        <v>0</v>
      </c>
      <c r="M1815">
        <v>3.654150061056162E-3</v>
      </c>
      <c r="N1815">
        <v>0.35564909786222609</v>
      </c>
      <c r="O1815">
        <v>0.24252804671391565</v>
      </c>
      <c r="P1815">
        <v>1.3415411427457044E-2</v>
      </c>
      <c r="Q1815">
        <v>1.6231685673217221E-3</v>
      </c>
      <c r="R1815">
        <v>3.6479036798423722E-3</v>
      </c>
      <c r="S1815">
        <v>0.36430218430381917</v>
      </c>
      <c r="T1815">
        <v>0.4100006988153127</v>
      </c>
      <c r="U1815">
        <v>0</v>
      </c>
      <c r="V1815">
        <v>0.20301367060457487</v>
      </c>
      <c r="W1815">
        <v>0.2254005836472682</v>
      </c>
      <c r="X1815">
        <v>5.4416652503154604E-2</v>
      </c>
      <c r="Y1815">
        <v>9.9283912854060651E-3</v>
      </c>
    </row>
    <row r="1816" spans="1:25" x14ac:dyDescent="0.25">
      <c r="A1816" s="1083"/>
      <c r="B1816" s="1455">
        <v>1566</v>
      </c>
      <c r="C1816" s="1087">
        <v>1.00705768466271</v>
      </c>
      <c r="D1816" s="1087">
        <v>0.99583372603065312</v>
      </c>
      <c r="E1816" s="1087">
        <v>0.9962501142713589</v>
      </c>
      <c r="F1816" s="1087">
        <v>0.96641086188624492</v>
      </c>
      <c r="G1816" s="1087">
        <v>0.9943600356604072</v>
      </c>
      <c r="H1816" s="1087">
        <v>1.0134931553153543</v>
      </c>
      <c r="I1816" s="1087">
        <v>0.99596647262549454</v>
      </c>
      <c r="K1816">
        <v>1.8287726043044625</v>
      </c>
      <c r="L1816">
        <v>0</v>
      </c>
      <c r="M1816">
        <v>3.6964208341289983E-3</v>
      </c>
      <c r="N1816">
        <v>0.34699565490521789</v>
      </c>
      <c r="O1816">
        <v>0.23424751411489614</v>
      </c>
      <c r="P1816">
        <v>1.2923255102416027E-2</v>
      </c>
      <c r="Q1816">
        <v>1.5689446637187454E-3</v>
      </c>
      <c r="R1816">
        <v>3.6901564668227298E-3</v>
      </c>
      <c r="S1816">
        <v>0.3643518972906275</v>
      </c>
      <c r="T1816">
        <v>0.38914566264803763</v>
      </c>
      <c r="U1816">
        <v>0</v>
      </c>
      <c r="V1816">
        <v>0.1962981670357499</v>
      </c>
      <c r="W1816">
        <v>0.22154755624497208</v>
      </c>
      <c r="X1816">
        <v>5.1656827223191794E-2</v>
      </c>
      <c r="Y1816">
        <v>1.0043389442939111E-2</v>
      </c>
    </row>
    <row r="1817" spans="1:25" x14ac:dyDescent="0.25">
      <c r="A1817" s="1083"/>
      <c r="B1817" s="1455">
        <v>1567</v>
      </c>
      <c r="C1817" s="1087">
        <v>1.0007553990675</v>
      </c>
      <c r="D1817" s="1087">
        <v>0.96620423596528526</v>
      </c>
      <c r="E1817" s="1087">
        <v>1.0113073592413022</v>
      </c>
      <c r="F1817" s="1087">
        <v>1.0190595163158624</v>
      </c>
      <c r="G1817" s="1087">
        <v>0.98188854438729678</v>
      </c>
      <c r="H1817" s="1087">
        <v>0.96985803802081938</v>
      </c>
      <c r="I1817" s="1087">
        <v>1.0007884504832556</v>
      </c>
      <c r="K1817">
        <v>1.867435044833861</v>
      </c>
      <c r="L1817">
        <v>0</v>
      </c>
      <c r="M1817">
        <v>3.5088405152511474E-3</v>
      </c>
      <c r="N1817">
        <v>0.34484729790022717</v>
      </c>
      <c r="O1817">
        <v>0.24451998449397164</v>
      </c>
      <c r="P1817">
        <v>1.3490640451970707E-2</v>
      </c>
      <c r="Q1817">
        <v>1.6238119119299144E-3</v>
      </c>
      <c r="R1817">
        <v>3.5026537080832939E-3</v>
      </c>
      <c r="S1817">
        <v>0.36678711310609813</v>
      </c>
      <c r="T1817">
        <v>0.41043897269022289</v>
      </c>
      <c r="U1817">
        <v>0</v>
      </c>
      <c r="V1817">
        <v>0.20324206352929547</v>
      </c>
      <c r="W1817">
        <v>0.21811997023710716</v>
      </c>
      <c r="X1817">
        <v>5.4838308576286757E-2</v>
      </c>
      <c r="Y1817">
        <v>9.5330687439181792E-3</v>
      </c>
    </row>
    <row r="1818" spans="1:25" x14ac:dyDescent="0.25">
      <c r="A1818" s="1083"/>
      <c r="B1818" s="1455">
        <v>1568</v>
      </c>
      <c r="C1818" s="1087">
        <v>1.0451170401430052</v>
      </c>
      <c r="D1818" s="1087">
        <v>1.0259942151325505</v>
      </c>
      <c r="E1818" s="1087">
        <v>1.0031303501723683</v>
      </c>
      <c r="F1818" s="1087">
        <v>1.0052819682599976</v>
      </c>
      <c r="G1818" s="1087">
        <v>0.9931811402695383</v>
      </c>
      <c r="H1818" s="1087">
        <v>0.96196837669825863</v>
      </c>
      <c r="I1818" s="1087">
        <v>1.0211625760355847</v>
      </c>
      <c r="K1818">
        <v>1.7640228891663181</v>
      </c>
      <c r="L1818">
        <v>0</v>
      </c>
      <c r="M1818">
        <v>3.2784595024028251E-3</v>
      </c>
      <c r="N1818">
        <v>0.31425927483830202</v>
      </c>
      <c r="O1818">
        <v>0.23148704662465855</v>
      </c>
      <c r="P1818">
        <v>1.2911467553021675E-2</v>
      </c>
      <c r="Q1818">
        <v>1.5048676905292939E-3</v>
      </c>
      <c r="R1818">
        <v>3.2725782266621734E-3</v>
      </c>
      <c r="S1818">
        <v>0.34505827138808498</v>
      </c>
      <c r="T1818">
        <v>0.40483983073920732</v>
      </c>
      <c r="U1818">
        <v>0</v>
      </c>
      <c r="V1818">
        <v>0.19417980850156821</v>
      </c>
      <c r="W1818">
        <v>0.19978532920399764</v>
      </c>
      <c r="X1818">
        <v>5.1095994774834542E-2</v>
      </c>
      <c r="Y1818">
        <v>8.9068791278519525E-3</v>
      </c>
    </row>
    <row r="1819" spans="1:25" x14ac:dyDescent="0.25">
      <c r="A1819" s="1083"/>
      <c r="B1819" s="1455">
        <v>1569</v>
      </c>
      <c r="C1819" s="1087">
        <v>0.98683448915736305</v>
      </c>
      <c r="D1819" s="1087">
        <v>0.95405983331155431</v>
      </c>
      <c r="E1819" s="1087">
        <v>1.0164013969112293</v>
      </c>
      <c r="F1819" s="1087">
        <v>1.00263650416592</v>
      </c>
      <c r="G1819" s="1087">
        <v>0.99707703169505013</v>
      </c>
      <c r="H1819" s="1087">
        <v>0.96399443695850418</v>
      </c>
      <c r="I1819" s="1087">
        <v>1.0075535203771957</v>
      </c>
      <c r="K1819">
        <v>1.8833842690342768</v>
      </c>
      <c r="L1819">
        <v>0</v>
      </c>
      <c r="M1819">
        <v>3.5233856229115695E-3</v>
      </c>
      <c r="N1819">
        <v>0.35169355130008029</v>
      </c>
      <c r="O1819">
        <v>0.2455775521333233</v>
      </c>
      <c r="P1819">
        <v>1.3588981928374932E-2</v>
      </c>
      <c r="Q1819">
        <v>1.6640151324697923E-3</v>
      </c>
      <c r="R1819">
        <v>3.5171452228175003E-3</v>
      </c>
      <c r="S1819">
        <v>0.37603159466825464</v>
      </c>
      <c r="T1819">
        <v>0.4038556483880516</v>
      </c>
      <c r="U1819">
        <v>0</v>
      </c>
      <c r="V1819">
        <v>0.2040289345702134</v>
      </c>
      <c r="W1819">
        <v>0.22175070587763185</v>
      </c>
      <c r="X1819">
        <v>5.5627015566071025E-2</v>
      </c>
      <c r="Y1819">
        <v>9.5725098698981378E-3</v>
      </c>
    </row>
    <row r="1820" spans="1:25" x14ac:dyDescent="0.25">
      <c r="A1820" s="1083"/>
      <c r="B1820" s="1455">
        <v>1570</v>
      </c>
      <c r="C1820" s="1087">
        <v>1.0315444498176864</v>
      </c>
      <c r="D1820" s="1087">
        <v>1.047018213283313</v>
      </c>
      <c r="E1820" s="1087">
        <v>0.99815065903968025</v>
      </c>
      <c r="F1820" s="1087">
        <v>0.96158192530816677</v>
      </c>
      <c r="G1820" s="1087">
        <v>0.96513107374097695</v>
      </c>
      <c r="H1820" s="1087">
        <v>0.95755649321040159</v>
      </c>
      <c r="I1820" s="1087">
        <v>1.005715791419187</v>
      </c>
      <c r="K1820">
        <v>1.7275167732033614</v>
      </c>
      <c r="L1820">
        <v>0</v>
      </c>
      <c r="M1820">
        <v>3.3053398163286258E-3</v>
      </c>
      <c r="N1820">
        <v>0.31205380841097186</v>
      </c>
      <c r="O1820">
        <v>0.22608876145043408</v>
      </c>
      <c r="P1820">
        <v>1.2505388170642409E-2</v>
      </c>
      <c r="Q1820">
        <v>1.504346437030837E-3</v>
      </c>
      <c r="R1820">
        <v>3.2993687895617307E-3</v>
      </c>
      <c r="S1820">
        <v>0.33974374074926095</v>
      </c>
      <c r="T1820">
        <v>0.38721224098867368</v>
      </c>
      <c r="U1820">
        <v>0</v>
      </c>
      <c r="V1820">
        <v>0.19082682027377773</v>
      </c>
      <c r="W1820">
        <v>0.19900115677006372</v>
      </c>
      <c r="X1820">
        <v>4.9606686770712824E-2</v>
      </c>
      <c r="Y1820">
        <v>8.9797942085578595E-3</v>
      </c>
    </row>
    <row r="1821" spans="1:25" x14ac:dyDescent="0.25">
      <c r="A1821" s="1083"/>
      <c r="B1821" s="1455">
        <v>1571</v>
      </c>
      <c r="C1821" s="1087">
        <v>0.97859430970001438</v>
      </c>
      <c r="D1821" s="1087">
        <v>1.0017037739967654</v>
      </c>
      <c r="E1821" s="1087">
        <v>0.98470246851350052</v>
      </c>
      <c r="F1821" s="1087">
        <v>1.0349745435805566</v>
      </c>
      <c r="G1821" s="1087">
        <v>0.97469722573861317</v>
      </c>
      <c r="H1821" s="1087">
        <v>1.0218543225919161</v>
      </c>
      <c r="I1821" s="1087">
        <v>1.0278418678972163</v>
      </c>
      <c r="K1821">
        <v>1.9156277871893457</v>
      </c>
      <c r="L1821">
        <v>0</v>
      </c>
      <c r="M1821">
        <v>3.9150162609794242E-3</v>
      </c>
      <c r="N1821">
        <v>0.35478611812474836</v>
      </c>
      <c r="O1821">
        <v>0.24510355420482338</v>
      </c>
      <c r="P1821">
        <v>1.3607224554473434E-2</v>
      </c>
      <c r="Q1821">
        <v>1.5909917517093054E-3</v>
      </c>
      <c r="R1821">
        <v>3.9084313334583299E-3</v>
      </c>
      <c r="S1821">
        <v>0.38717401367396032</v>
      </c>
      <c r="T1821">
        <v>0.41668234859564984</v>
      </c>
      <c r="U1821">
        <v>0</v>
      </c>
      <c r="V1821">
        <v>0.2049292994120942</v>
      </c>
      <c r="W1821">
        <v>0.22817373282028705</v>
      </c>
      <c r="X1821">
        <v>5.2949627303490447E-2</v>
      </c>
      <c r="Y1821">
        <v>1.0637461675630769E-2</v>
      </c>
    </row>
    <row r="1822" spans="1:25" x14ac:dyDescent="0.25">
      <c r="A1822" s="1083"/>
      <c r="B1822" s="1455">
        <v>1572</v>
      </c>
      <c r="C1822" s="1087">
        <v>1.0262194607237418</v>
      </c>
      <c r="D1822" s="1087">
        <v>0.9968101483401548</v>
      </c>
      <c r="E1822" s="1087">
        <v>1.0199517996068439</v>
      </c>
      <c r="F1822" s="1087">
        <v>1.0124076413439331</v>
      </c>
      <c r="G1822" s="1087">
        <v>0.98315295966451155</v>
      </c>
      <c r="H1822" s="1087">
        <v>1.0394890127600769</v>
      </c>
      <c r="I1822" s="1087">
        <v>0.99723882824148657</v>
      </c>
      <c r="K1822">
        <v>1.8679746024013655</v>
      </c>
      <c r="L1822">
        <v>0</v>
      </c>
      <c r="M1822">
        <v>3.5420586019730689E-3</v>
      </c>
      <c r="N1822">
        <v>0.35744625127917884</v>
      </c>
      <c r="O1822">
        <v>0.23764804920376492</v>
      </c>
      <c r="P1822">
        <v>1.3415332324422435E-2</v>
      </c>
      <c r="Q1822">
        <v>1.5782446070613341E-3</v>
      </c>
      <c r="R1822">
        <v>3.5362047890095871E-3</v>
      </c>
      <c r="S1822">
        <v>0.36265895859155467</v>
      </c>
      <c r="T1822">
        <v>0.40781345856111367</v>
      </c>
      <c r="U1822">
        <v>0</v>
      </c>
      <c r="V1822">
        <v>0.19834674255957169</v>
      </c>
      <c r="W1822">
        <v>0.2248852546820834</v>
      </c>
      <c r="X1822">
        <v>5.4563780679488756E-2</v>
      </c>
      <c r="Y1822">
        <v>9.6243837260886894E-3</v>
      </c>
    </row>
    <row r="1823" spans="1:25" x14ac:dyDescent="0.25">
      <c r="A1823" s="1083"/>
      <c r="B1823" s="1455">
        <v>1573</v>
      </c>
      <c r="C1823" s="1087">
        <v>1.0187594218238403</v>
      </c>
      <c r="D1823" s="1087">
        <v>0.97470911448999997</v>
      </c>
      <c r="E1823" s="1087">
        <v>1.0193662225305449</v>
      </c>
      <c r="F1823" s="1087">
        <v>1.0049171328835911</v>
      </c>
      <c r="G1823" s="1087">
        <v>0.99960652664937588</v>
      </c>
      <c r="H1823" s="1087">
        <v>1.0042024896281105</v>
      </c>
      <c r="I1823" s="1087">
        <v>1.0243595482191215</v>
      </c>
      <c r="K1823">
        <v>1.8706771921575118</v>
      </c>
      <c r="L1823">
        <v>0</v>
      </c>
      <c r="M1823">
        <v>3.4936423211021942E-3</v>
      </c>
      <c r="N1823">
        <v>0.35191328731144461</v>
      </c>
      <c r="O1823">
        <v>0.2399020894551927</v>
      </c>
      <c r="P1823">
        <v>1.3535450867922108E-2</v>
      </c>
      <c r="Q1823">
        <v>1.6031332967918273E-3</v>
      </c>
      <c r="R1823">
        <v>3.4876853676339367E-3</v>
      </c>
      <c r="S1823">
        <v>0.37343765579888766</v>
      </c>
      <c r="T1823">
        <v>0.40479255106674317</v>
      </c>
      <c r="U1823">
        <v>0</v>
      </c>
      <c r="V1823">
        <v>0.19968137311487302</v>
      </c>
      <c r="W1823">
        <v>0.22148405801724286</v>
      </c>
      <c r="X1823">
        <v>5.4841220326355855E-2</v>
      </c>
      <c r="Y1823">
        <v>9.4923298555271256E-3</v>
      </c>
    </row>
    <row r="1824" spans="1:25" x14ac:dyDescent="0.25">
      <c r="A1824" s="1083"/>
      <c r="B1824" s="1455">
        <v>1574</v>
      </c>
      <c r="C1824" s="1087">
        <v>0.95617930416368635</v>
      </c>
      <c r="D1824" s="1087">
        <v>1.0164546886988732</v>
      </c>
      <c r="E1824" s="1087">
        <v>1.0284897868056997</v>
      </c>
      <c r="F1824" s="1087">
        <v>1.0450975961117011</v>
      </c>
      <c r="G1824" s="1087">
        <v>0.99732469545011759</v>
      </c>
      <c r="H1824" s="1087">
        <v>1.0088581530842595</v>
      </c>
      <c r="I1824" s="1087">
        <v>0.96602210507438036</v>
      </c>
      <c r="K1824">
        <v>1.9320164517254661</v>
      </c>
      <c r="L1824">
        <v>0</v>
      </c>
      <c r="M1824">
        <v>3.5883588685389823E-3</v>
      </c>
      <c r="N1824">
        <v>0.37164041701330031</v>
      </c>
      <c r="O1824">
        <v>0.24833635091198258</v>
      </c>
      <c r="P1824">
        <v>1.3884121689887861E-2</v>
      </c>
      <c r="Q1824">
        <v>1.6958488818349848E-3</v>
      </c>
      <c r="R1824">
        <v>3.5822334420133363E-3</v>
      </c>
      <c r="S1824">
        <v>0.36757608808697168</v>
      </c>
      <c r="T1824">
        <v>0.42103646178676246</v>
      </c>
      <c r="U1824">
        <v>0</v>
      </c>
      <c r="V1824">
        <v>0.20783532721148218</v>
      </c>
      <c r="W1824">
        <v>0.23259374630470686</v>
      </c>
      <c r="X1824">
        <v>5.7674556718838116E-2</v>
      </c>
      <c r="Y1824">
        <v>9.7496585462235087E-3</v>
      </c>
    </row>
    <row r="1825" spans="1:25" x14ac:dyDescent="0.25">
      <c r="A1825" s="1083"/>
      <c r="B1825" s="1455">
        <v>1575</v>
      </c>
      <c r="C1825" s="1087">
        <v>1.0023642476286405</v>
      </c>
      <c r="D1825" s="1087">
        <v>0.99649253607935273</v>
      </c>
      <c r="E1825" s="1087">
        <v>1.0011314211488764</v>
      </c>
      <c r="F1825" s="1087">
        <v>0.99705462251742361</v>
      </c>
      <c r="G1825" s="1087">
        <v>1.00244537156319</v>
      </c>
      <c r="H1825" s="1087">
        <v>1.0434590040336698</v>
      </c>
      <c r="I1825" s="1087">
        <v>0.96021251126063067</v>
      </c>
      <c r="K1825">
        <v>1.8657420739406996</v>
      </c>
      <c r="L1825">
        <v>0</v>
      </c>
      <c r="M1825">
        <v>3.7845943335839158E-3</v>
      </c>
      <c r="N1825">
        <v>0.36062274811134926</v>
      </c>
      <c r="O1825">
        <v>0.23847231582405939</v>
      </c>
      <c r="P1825">
        <v>1.3096648688920801E-2</v>
      </c>
      <c r="Q1825">
        <v>1.5840977966957602E-3</v>
      </c>
      <c r="R1825">
        <v>3.7783647987738359E-3</v>
      </c>
      <c r="S1825">
        <v>0.35807722633947558</v>
      </c>
      <c r="T1825">
        <v>0.40151447954358127</v>
      </c>
      <c r="U1825">
        <v>0</v>
      </c>
      <c r="V1825">
        <v>0.19944947461668877</v>
      </c>
      <c r="W1825">
        <v>0.2295462292592769</v>
      </c>
      <c r="X1825">
        <v>5.3101619850819438E-2</v>
      </c>
      <c r="Y1825">
        <v>1.0283463444641209E-2</v>
      </c>
    </row>
    <row r="1826" spans="1:25" x14ac:dyDescent="0.25">
      <c r="A1826" s="1083"/>
      <c r="B1826" s="1455">
        <v>1576</v>
      </c>
      <c r="C1826" s="1087">
        <v>0.98640572015816541</v>
      </c>
      <c r="D1826" s="1087">
        <v>0.99894507447694647</v>
      </c>
      <c r="E1826" s="1087">
        <v>1.0310093516326846</v>
      </c>
      <c r="F1826" s="1087">
        <v>0.98494946781413739</v>
      </c>
      <c r="G1826" s="1087">
        <v>1.0064091890720455</v>
      </c>
      <c r="H1826" s="1087">
        <v>0.9719371198423028</v>
      </c>
      <c r="I1826" s="1087">
        <v>0.98974410664046231</v>
      </c>
      <c r="K1826">
        <v>1.8483398186548876</v>
      </c>
      <c r="L1826">
        <v>0</v>
      </c>
      <c r="M1826">
        <v>3.3647140011372301E-3</v>
      </c>
      <c r="N1826">
        <v>0.3511403999829551</v>
      </c>
      <c r="O1826">
        <v>0.23914547061586008</v>
      </c>
      <c r="P1826">
        <v>1.3384697395613971E-2</v>
      </c>
      <c r="Q1826">
        <v>1.6597311218073051E-3</v>
      </c>
      <c r="R1826">
        <v>3.3587657386126208E-3</v>
      </c>
      <c r="S1826">
        <v>0.36185775918312985</v>
      </c>
      <c r="T1826">
        <v>0.39682004999433523</v>
      </c>
      <c r="U1826">
        <v>0</v>
      </c>
      <c r="V1826">
        <v>0.20016942121771075</v>
      </c>
      <c r="W1826">
        <v>0.21942558741379325</v>
      </c>
      <c r="X1826">
        <v>5.5601196868529455E-2</v>
      </c>
      <c r="Y1826">
        <v>9.1414531236753919E-3</v>
      </c>
    </row>
    <row r="1827" spans="1:25" x14ac:dyDescent="0.25">
      <c r="A1827" s="1083"/>
      <c r="B1827" s="1455">
        <v>1577</v>
      </c>
      <c r="C1827" s="1087">
        <v>0.97650503808098998</v>
      </c>
      <c r="D1827" s="1087">
        <v>0.98540634643893721</v>
      </c>
      <c r="E1827" s="1087">
        <v>1.0081520516158213</v>
      </c>
      <c r="F1827" s="1087">
        <v>1.0267997256165298</v>
      </c>
      <c r="G1827" s="1087">
        <v>1.030878709773444</v>
      </c>
      <c r="H1827" s="1087">
        <v>1.0231503762199539</v>
      </c>
      <c r="I1827" s="1087">
        <v>1.0047180291189401</v>
      </c>
      <c r="K1827">
        <v>1.9307111077210517</v>
      </c>
      <c r="L1827">
        <v>0</v>
      </c>
      <c r="M1827">
        <v>3.7779028846572564E-3</v>
      </c>
      <c r="N1827">
        <v>0.36776727820640059</v>
      </c>
      <c r="O1827">
        <v>0.2464349841200959</v>
      </c>
      <c r="P1827">
        <v>1.375902599115E-2</v>
      </c>
      <c r="Q1827">
        <v>1.6455751937375918E-3</v>
      </c>
      <c r="R1827">
        <v>3.771571353098815E-3</v>
      </c>
      <c r="S1827">
        <v>0.38326526418430373</v>
      </c>
      <c r="T1827">
        <v>0.41353667289921459</v>
      </c>
      <c r="U1827">
        <v>0</v>
      </c>
      <c r="V1827">
        <v>0.20550483104031439</v>
      </c>
      <c r="W1827">
        <v>0.23307283922134453</v>
      </c>
      <c r="X1827">
        <v>5.5465994471073567E-2</v>
      </c>
      <c r="Y1827">
        <v>1.0264973924972567E-2</v>
      </c>
    </row>
    <row r="1828" spans="1:25" x14ac:dyDescent="0.25">
      <c r="A1828" s="1083"/>
      <c r="B1828" s="1455">
        <v>1578</v>
      </c>
      <c r="C1828" s="1087">
        <v>0.98854703252948484</v>
      </c>
      <c r="D1828" s="1087">
        <v>0.95738697824839458</v>
      </c>
      <c r="E1828" s="1087">
        <v>0.99225267170399878</v>
      </c>
      <c r="F1828" s="1087">
        <v>1.0036508135330029</v>
      </c>
      <c r="G1828" s="1087">
        <v>0.99274945056360575</v>
      </c>
      <c r="H1828" s="1087">
        <v>1.0174164494848943</v>
      </c>
      <c r="I1828" s="1087">
        <v>0.97536040039824545</v>
      </c>
      <c r="K1828">
        <v>1.8958385616425675</v>
      </c>
      <c r="L1828">
        <v>0</v>
      </c>
      <c r="M1828">
        <v>3.8931383358632539E-3</v>
      </c>
      <c r="N1828">
        <v>0.36103489460358784</v>
      </c>
      <c r="O1828">
        <v>0.24478661945256369</v>
      </c>
      <c r="P1828">
        <v>1.32931400807276E-2</v>
      </c>
      <c r="Q1828">
        <v>1.6167726028607611E-3</v>
      </c>
      <c r="R1828">
        <v>3.8866021871009492E-3</v>
      </c>
      <c r="S1828">
        <v>0.37219992212214353</v>
      </c>
      <c r="T1828">
        <v>0.40411690265166567</v>
      </c>
      <c r="U1828">
        <v>0</v>
      </c>
      <c r="V1828">
        <v>0.20359503522598296</v>
      </c>
      <c r="W1828">
        <v>0.23109020877039443</v>
      </c>
      <c r="X1828">
        <v>5.3533552346179056E-2</v>
      </c>
      <c r="Y1828">
        <v>1.057804993522214E-2</v>
      </c>
    </row>
    <row r="1829" spans="1:25" x14ac:dyDescent="0.25">
      <c r="A1829" s="1083"/>
      <c r="B1829" s="1455">
        <v>1579</v>
      </c>
      <c r="C1829" s="1087">
        <v>0.99310179217436723</v>
      </c>
      <c r="D1829" s="1087">
        <v>0.99314742052031046</v>
      </c>
      <c r="E1829" s="1087">
        <v>0.99416100300604771</v>
      </c>
      <c r="F1829" s="1087">
        <v>0.99158287281572277</v>
      </c>
      <c r="G1829" s="1087">
        <v>0.96096439151827517</v>
      </c>
      <c r="H1829" s="1087">
        <v>1.0302133814406238</v>
      </c>
      <c r="I1829" s="1087">
        <v>0.99968507362846082</v>
      </c>
      <c r="K1829">
        <v>1.8768932490591248</v>
      </c>
      <c r="L1829">
        <v>0</v>
      </c>
      <c r="M1829">
        <v>3.8324266040980289E-3</v>
      </c>
      <c r="N1829">
        <v>0.35748599962227606</v>
      </c>
      <c r="O1829">
        <v>0.23916940970777634</v>
      </c>
      <c r="P1829">
        <v>1.3229651240707008E-2</v>
      </c>
      <c r="Q1829">
        <v>1.5891623471869488E-3</v>
      </c>
      <c r="R1829">
        <v>3.8260401244033346E-3</v>
      </c>
      <c r="S1829">
        <v>0.37446230840006595</v>
      </c>
      <c r="T1829">
        <v>0.39926919353658535</v>
      </c>
      <c r="U1829">
        <v>0</v>
      </c>
      <c r="V1829">
        <v>0.20010483700907936</v>
      </c>
      <c r="W1829">
        <v>0.22854457124295813</v>
      </c>
      <c r="X1829">
        <v>5.2631282467344408E-2</v>
      </c>
      <c r="Y1829">
        <v>1.0413219964837832E-2</v>
      </c>
    </row>
    <row r="1830" spans="1:25" x14ac:dyDescent="0.25">
      <c r="A1830" s="1083"/>
      <c r="B1830" s="1455">
        <v>1580</v>
      </c>
      <c r="C1830" s="1087">
        <v>1.0337178051026807</v>
      </c>
      <c r="D1830" s="1087">
        <v>1.0136713168148486</v>
      </c>
      <c r="E1830" s="1087">
        <v>0.99406994216854483</v>
      </c>
      <c r="F1830" s="1087">
        <v>1.0183938160786252</v>
      </c>
      <c r="G1830" s="1087">
        <v>1.0099591885142032</v>
      </c>
      <c r="H1830" s="1087">
        <v>0.97636944993478814</v>
      </c>
      <c r="I1830" s="1087">
        <v>1.039750725849117</v>
      </c>
      <c r="K1830">
        <v>1.8052686056570171</v>
      </c>
      <c r="L1830">
        <v>0</v>
      </c>
      <c r="M1830">
        <v>3.4501471831150368E-3</v>
      </c>
      <c r="N1830">
        <v>0.32170628957411918</v>
      </c>
      <c r="O1830">
        <v>0.2353622725251065</v>
      </c>
      <c r="P1830">
        <v>1.3138587862665304E-2</v>
      </c>
      <c r="Q1830">
        <v>1.5141342759954191E-3</v>
      </c>
      <c r="R1830">
        <v>3.444060499196217E-3</v>
      </c>
      <c r="S1830">
        <v>0.36012580296092517</v>
      </c>
      <c r="T1830">
        <v>0.41006428606495243</v>
      </c>
      <c r="U1830">
        <v>0</v>
      </c>
      <c r="V1830">
        <v>0.19701236335230884</v>
      </c>
      <c r="W1830">
        <v>0.20568197938717775</v>
      </c>
      <c r="X1830">
        <v>5.1295378993109743E-2</v>
      </c>
      <c r="Y1830">
        <v>9.3735973445736708E-3</v>
      </c>
    </row>
    <row r="1831" spans="1:25" x14ac:dyDescent="0.25">
      <c r="A1831" s="1083"/>
      <c r="B1831" s="1455">
        <v>1581</v>
      </c>
      <c r="C1831" s="1087">
        <v>1.0074670544566446</v>
      </c>
      <c r="D1831" s="1087">
        <v>1.0059694690393337</v>
      </c>
      <c r="E1831" s="1087">
        <v>1.0219949140363109</v>
      </c>
      <c r="F1831" s="1087">
        <v>1.0312313882959641</v>
      </c>
      <c r="G1831" s="1087">
        <v>1.0151981054811099</v>
      </c>
      <c r="H1831" s="1087">
        <v>1.0109185695994169</v>
      </c>
      <c r="I1831" s="1087">
        <v>0.98998696500198702</v>
      </c>
      <c r="K1831">
        <v>1.87258028400793</v>
      </c>
      <c r="L1831">
        <v>0</v>
      </c>
      <c r="M1831">
        <v>3.4768520484825811E-3</v>
      </c>
      <c r="N1831">
        <v>0.35303974707364344</v>
      </c>
      <c r="O1831">
        <v>0.24116181102032491</v>
      </c>
      <c r="P1831">
        <v>1.3543990238514049E-2</v>
      </c>
      <c r="Q1831">
        <v>1.605203507587884E-3</v>
      </c>
      <c r="R1831">
        <v>3.4709359093377124E-3</v>
      </c>
      <c r="S1831">
        <v>0.35981279421257389</v>
      </c>
      <c r="T1831">
        <v>0.41540890923585855</v>
      </c>
      <c r="U1831">
        <v>0</v>
      </c>
      <c r="V1831">
        <v>0.20142871943285504</v>
      </c>
      <c r="W1831">
        <v>0.22183398457044345</v>
      </c>
      <c r="X1831">
        <v>5.5304297503769424E-2</v>
      </c>
      <c r="Y1831">
        <v>9.4467433515022479E-3</v>
      </c>
    </row>
    <row r="1832" spans="1:25" x14ac:dyDescent="0.25">
      <c r="A1832" s="1083"/>
      <c r="B1832" s="1455">
        <v>1582</v>
      </c>
      <c r="C1832" s="1087">
        <v>1.0092444950754853</v>
      </c>
      <c r="D1832" s="1087">
        <v>0.9828053190760081</v>
      </c>
      <c r="E1832" s="1087">
        <v>0.98755695821649603</v>
      </c>
      <c r="F1832" s="1087">
        <v>0.98869503275315607</v>
      </c>
      <c r="G1832" s="1087">
        <v>1.0002144943315834</v>
      </c>
      <c r="H1832" s="1087">
        <v>1.0176166941181062</v>
      </c>
      <c r="I1832" s="1087">
        <v>1.0328320802647122</v>
      </c>
      <c r="K1832">
        <v>1.8616701868592309</v>
      </c>
      <c r="L1832">
        <v>0</v>
      </c>
      <c r="M1832">
        <v>3.796955987688993E-3</v>
      </c>
      <c r="N1832">
        <v>0.3470998637975119</v>
      </c>
      <c r="O1832">
        <v>0.23782385182655752</v>
      </c>
      <c r="P1832">
        <v>1.3209304708594053E-2</v>
      </c>
      <c r="Q1832">
        <v>1.5592417555129654E-3</v>
      </c>
      <c r="R1832">
        <v>3.7905595856930689E-3</v>
      </c>
      <c r="S1832">
        <v>0.38046401701575405</v>
      </c>
      <c r="T1832">
        <v>0.39806707636421218</v>
      </c>
      <c r="U1832">
        <v>0</v>
      </c>
      <c r="V1832">
        <v>0.19864524661753793</v>
      </c>
      <c r="W1832">
        <v>0.22282850620502523</v>
      </c>
      <c r="X1832">
        <v>5.1662821335895337E-2</v>
      </c>
      <c r="Y1832">
        <v>1.0316653634624934E-2</v>
      </c>
    </row>
    <row r="1833" spans="1:25" x14ac:dyDescent="0.25">
      <c r="A1833" s="1083"/>
      <c r="B1833" s="1455">
        <v>1583</v>
      </c>
      <c r="C1833" s="1087">
        <v>0.99293313990421017</v>
      </c>
      <c r="D1833" s="1087">
        <v>1.0074703699337562</v>
      </c>
      <c r="E1833" s="1087">
        <v>0.97447977025037713</v>
      </c>
      <c r="F1833" s="1087">
        <v>0.97118047080429681</v>
      </c>
      <c r="G1833" s="1087">
        <v>0.99218684286772862</v>
      </c>
      <c r="H1833" s="1087">
        <v>0.9863643469517801</v>
      </c>
      <c r="I1833" s="1087">
        <v>0.99724586569254769</v>
      </c>
      <c r="K1833">
        <v>1.8087166161490627</v>
      </c>
      <c r="L1833">
        <v>0</v>
      </c>
      <c r="M1833">
        <v>3.7907084798248386E-3</v>
      </c>
      <c r="N1833">
        <v>0.33293367222020864</v>
      </c>
      <c r="O1833">
        <v>0.23505953361803231</v>
      </c>
      <c r="P1833">
        <v>1.2727179491085868E-2</v>
      </c>
      <c r="Q1833">
        <v>1.547292073843009E-3</v>
      </c>
      <c r="R1833">
        <v>3.7840971539358703E-3</v>
      </c>
      <c r="S1833">
        <v>0.36247709044176629</v>
      </c>
      <c r="T1833">
        <v>0.39093948434618347</v>
      </c>
      <c r="U1833">
        <v>0</v>
      </c>
      <c r="V1833">
        <v>0.19747824046578144</v>
      </c>
      <c r="W1833">
        <v>0.21551315132896909</v>
      </c>
      <c r="X1833">
        <v>4.9748518463358087E-2</v>
      </c>
      <c r="Y1833">
        <v>1.0299065025721898E-2</v>
      </c>
    </row>
    <row r="1834" spans="1:25" x14ac:dyDescent="0.25">
      <c r="A1834" s="1083"/>
      <c r="B1834" s="1455">
        <v>1584</v>
      </c>
      <c r="C1834" s="1087">
        <v>0.99089412828645207</v>
      </c>
      <c r="D1834" s="1087">
        <v>1.0116218517923068</v>
      </c>
      <c r="E1834" s="1087">
        <v>0.98956783149470029</v>
      </c>
      <c r="F1834" s="1087">
        <v>1.0290221840741325</v>
      </c>
      <c r="G1834" s="1087">
        <v>1.0313221795753071</v>
      </c>
      <c r="H1834" s="1087">
        <v>0.97961094547400718</v>
      </c>
      <c r="I1834" s="1087">
        <v>1.0055938722451703</v>
      </c>
      <c r="K1834">
        <v>1.8512450163412499</v>
      </c>
      <c r="L1834">
        <v>0</v>
      </c>
      <c r="M1834">
        <v>3.6500925228568439E-3</v>
      </c>
      <c r="N1834">
        <v>0.33570554897188498</v>
      </c>
      <c r="O1834">
        <v>0.24192048677483463</v>
      </c>
      <c r="P1834">
        <v>1.3284166331442098E-2</v>
      </c>
      <c r="Q1834">
        <v>1.5732524464130079E-3</v>
      </c>
      <c r="R1834">
        <v>3.6436789292520594E-3</v>
      </c>
      <c r="S1834">
        <v>0.36437109740525969</v>
      </c>
      <c r="T1834">
        <v>0.41431597545226073</v>
      </c>
      <c r="U1834">
        <v>0</v>
      </c>
      <c r="V1834">
        <v>0.20254363483813706</v>
      </c>
      <c r="W1834">
        <v>0.21524072177286763</v>
      </c>
      <c r="X1834">
        <v>5.2379653034767243E-2</v>
      </c>
      <c r="Y1834">
        <v>9.9168929069878894E-3</v>
      </c>
    </row>
    <row r="1835" spans="1:25" x14ac:dyDescent="0.25">
      <c r="A1835" s="1083"/>
      <c r="B1835" s="1455">
        <v>1585</v>
      </c>
      <c r="C1835" s="1087">
        <v>1.0007125242828585</v>
      </c>
      <c r="D1835" s="1087">
        <v>0.98995288979614948</v>
      </c>
      <c r="E1835" s="1087">
        <v>0.9850015221800098</v>
      </c>
      <c r="F1835" s="1087">
        <v>0.96400807351701101</v>
      </c>
      <c r="G1835" s="1087">
        <v>0.99040232792032923</v>
      </c>
      <c r="H1835" s="1087">
        <v>0.989203659789889</v>
      </c>
      <c r="I1835" s="1087">
        <v>1.0184290388533608</v>
      </c>
      <c r="K1835">
        <v>1.8224020440407704</v>
      </c>
      <c r="L1835">
        <v>0</v>
      </c>
      <c r="M1835">
        <v>3.7267121904804999E-3</v>
      </c>
      <c r="N1835">
        <v>0.33801238124131655</v>
      </c>
      <c r="O1835">
        <v>0.2351026726845428</v>
      </c>
      <c r="P1835">
        <v>1.2906420416305743E-2</v>
      </c>
      <c r="Q1835">
        <v>1.5636900631839025E-3</v>
      </c>
      <c r="R1835">
        <v>3.7202462868037391E-3</v>
      </c>
      <c r="S1835">
        <v>0.37151153059735731</v>
      </c>
      <c r="T1835">
        <v>0.38811286603416589</v>
      </c>
      <c r="U1835">
        <v>0</v>
      </c>
      <c r="V1835">
        <v>0.19698846815976825</v>
      </c>
      <c r="W1835">
        <v>0.21734495074858065</v>
      </c>
      <c r="X1835">
        <v>5.0740245985405073E-2</v>
      </c>
      <c r="Y1835">
        <v>1.0125284013820931E-2</v>
      </c>
    </row>
    <row r="1836" spans="1:25" x14ac:dyDescent="0.25">
      <c r="A1836" s="1083"/>
      <c r="B1836" s="1455">
        <v>1586</v>
      </c>
      <c r="C1836" s="1087">
        <v>0.98177177458206988</v>
      </c>
      <c r="D1836" s="1087">
        <v>0.99839897808373934</v>
      </c>
      <c r="E1836" s="1087">
        <v>0.98751618382314432</v>
      </c>
      <c r="F1836" s="1087">
        <v>1.0201308334723309</v>
      </c>
      <c r="G1836" s="1087">
        <v>0.99489530445587149</v>
      </c>
      <c r="H1836" s="1087">
        <v>0.99473992033060443</v>
      </c>
      <c r="I1836" s="1087">
        <v>1.0153968522920462</v>
      </c>
      <c r="K1836">
        <v>1.8802540906964094</v>
      </c>
      <c r="L1836">
        <v>0</v>
      </c>
      <c r="M1836">
        <v>3.7838189036408934E-3</v>
      </c>
      <c r="N1836">
        <v>0.34584117127408998</v>
      </c>
      <c r="O1836">
        <v>0.2433415413405976</v>
      </c>
      <c r="P1836">
        <v>1.3397271760723209E-2</v>
      </c>
      <c r="Q1836">
        <v>1.5927428351505994E-3</v>
      </c>
      <c r="R1836">
        <v>3.7772842421281024E-3</v>
      </c>
      <c r="S1836">
        <v>0.37689154353968946</v>
      </c>
      <c r="T1836">
        <v>0.41072346677014271</v>
      </c>
      <c r="U1836">
        <v>0</v>
      </c>
      <c r="V1836">
        <v>0.2034986376458276</v>
      </c>
      <c r="W1836">
        <v>0.22202617023272497</v>
      </c>
      <c r="X1836">
        <v>5.2667557433317976E-2</v>
      </c>
      <c r="Y1836">
        <v>1.0280522525656928E-2</v>
      </c>
    </row>
    <row r="1837" spans="1:25" x14ac:dyDescent="0.25">
      <c r="A1837" s="1083"/>
      <c r="B1837" s="1455">
        <v>1587</v>
      </c>
      <c r="C1837" s="1087">
        <v>0.9674278957928687</v>
      </c>
      <c r="D1837" s="1087">
        <v>0.96359890050479591</v>
      </c>
      <c r="E1837" s="1087">
        <v>1.001238391130435</v>
      </c>
      <c r="F1837" s="1087">
        <v>1.0407377441147452</v>
      </c>
      <c r="G1837" s="1087">
        <v>1.0132639308922591</v>
      </c>
      <c r="H1837" s="1087">
        <v>0.97067381969289346</v>
      </c>
      <c r="I1837" s="1087">
        <v>1.0151606769513857</v>
      </c>
      <c r="K1837">
        <v>1.9253877868249432</v>
      </c>
      <c r="L1837">
        <v>0</v>
      </c>
      <c r="M1837">
        <v>3.713995686827622E-3</v>
      </c>
      <c r="N1837">
        <v>0.3539703805331566</v>
      </c>
      <c r="O1837">
        <v>0.251462842978318</v>
      </c>
      <c r="P1837">
        <v>1.3841990775440171E-2</v>
      </c>
      <c r="Q1837">
        <v>1.6636789664190353E-3</v>
      </c>
      <c r="R1837">
        <v>3.7074553722980606E-3</v>
      </c>
      <c r="S1837">
        <v>0.3854938835833232</v>
      </c>
      <c r="T1837">
        <v>0.41910637327741845</v>
      </c>
      <c r="U1837">
        <v>0</v>
      </c>
      <c r="V1837">
        <v>0.20893882463955235</v>
      </c>
      <c r="W1837">
        <v>0.22529677028614439</v>
      </c>
      <c r="X1837">
        <v>5.5529110738639302E-2</v>
      </c>
      <c r="Y1837">
        <v>1.0090471361060303E-2</v>
      </c>
    </row>
    <row r="1838" spans="1:25" x14ac:dyDescent="0.25">
      <c r="A1838" s="1083"/>
      <c r="B1838" s="1455">
        <v>1588</v>
      </c>
      <c r="C1838" s="1087">
        <v>0.99024675896912762</v>
      </c>
      <c r="D1838" s="1087">
        <v>1.0345410940669084</v>
      </c>
      <c r="E1838" s="1087">
        <v>1.0241217456932421</v>
      </c>
      <c r="F1838" s="1087">
        <v>0.98068019757330216</v>
      </c>
      <c r="G1838" s="1087">
        <v>1.0311915931265911</v>
      </c>
      <c r="H1838" s="1087">
        <v>1.0163450112903891</v>
      </c>
      <c r="I1838" s="1087">
        <v>1.0402045324389124</v>
      </c>
      <c r="K1838">
        <v>1.8662890479781282</v>
      </c>
      <c r="L1838">
        <v>0</v>
      </c>
      <c r="M1838">
        <v>3.4884260235882236E-3</v>
      </c>
      <c r="N1838">
        <v>0.35651857189484343</v>
      </c>
      <c r="O1838">
        <v>0.23464804003839718</v>
      </c>
      <c r="P1838">
        <v>1.3505985731141808E-2</v>
      </c>
      <c r="Q1838">
        <v>1.6185456785872529E-3</v>
      </c>
      <c r="R1838">
        <v>3.4824999847103935E-3</v>
      </c>
      <c r="S1838">
        <v>0.37982067811399389</v>
      </c>
      <c r="T1838">
        <v>0.39505831486588039</v>
      </c>
      <c r="U1838">
        <v>0</v>
      </c>
      <c r="V1838">
        <v>0.19751507950038991</v>
      </c>
      <c r="W1838">
        <v>0.22372751614078945</v>
      </c>
      <c r="X1838">
        <v>5.4404025100412187E-2</v>
      </c>
      <c r="Y1838">
        <v>9.4782169525702634E-3</v>
      </c>
    </row>
    <row r="1839" spans="1:25" x14ac:dyDescent="0.25">
      <c r="A1839" s="1083"/>
      <c r="B1839" s="1455">
        <v>1589</v>
      </c>
      <c r="C1839" s="1087">
        <v>1.0114237396339145</v>
      </c>
      <c r="D1839" s="1087">
        <v>1.0074374166075435</v>
      </c>
      <c r="E1839" s="1087">
        <v>0.98711884392609817</v>
      </c>
      <c r="F1839" s="1087">
        <v>1.0282924114953969</v>
      </c>
      <c r="G1839" s="1087">
        <v>0.96890008832602847</v>
      </c>
      <c r="H1839" s="1087">
        <v>0.98812444581889514</v>
      </c>
      <c r="I1839" s="1087">
        <v>1.0062853702109409</v>
      </c>
      <c r="K1839">
        <v>1.8344887998318919</v>
      </c>
      <c r="L1839">
        <v>0</v>
      </c>
      <c r="M1839">
        <v>3.6326826729159802E-3</v>
      </c>
      <c r="N1839">
        <v>0.33161985217319973</v>
      </c>
      <c r="O1839">
        <v>0.23968717715873275</v>
      </c>
      <c r="P1839">
        <v>1.3161797707456542E-2</v>
      </c>
      <c r="Q1839">
        <v>1.5398286284440061E-3</v>
      </c>
      <c r="R1839">
        <v>3.6263572845968086E-3</v>
      </c>
      <c r="S1839">
        <v>0.35951304617140423</v>
      </c>
      <c r="T1839">
        <v>0.41400701526688272</v>
      </c>
      <c r="U1839">
        <v>0</v>
      </c>
      <c r="V1839">
        <v>0.20046783638955945</v>
      </c>
      <c r="W1839">
        <v>0.21294961135381241</v>
      </c>
      <c r="X1839">
        <v>5.1679211270400933E-2</v>
      </c>
      <c r="Y1839">
        <v>9.8697491003149219E-3</v>
      </c>
    </row>
    <row r="1840" spans="1:25" x14ac:dyDescent="0.25">
      <c r="A1840" s="1083"/>
      <c r="B1840" s="1455">
        <v>1590</v>
      </c>
      <c r="C1840" s="1087">
        <v>0.96560357641483485</v>
      </c>
      <c r="D1840" s="1087">
        <v>0.99181027119687359</v>
      </c>
      <c r="E1840" s="1087">
        <v>1.004108834032011</v>
      </c>
      <c r="F1840" s="1087">
        <v>1.0155582068275697</v>
      </c>
      <c r="G1840" s="1087">
        <v>1.0038763863341054</v>
      </c>
      <c r="H1840" s="1087">
        <v>1.0005609345728748</v>
      </c>
      <c r="I1840" s="1087">
        <v>1.0202337522066316</v>
      </c>
      <c r="K1840">
        <v>1.9185691887606788</v>
      </c>
      <c r="L1840">
        <v>0</v>
      </c>
      <c r="M1840">
        <v>3.7539511115652372E-3</v>
      </c>
      <c r="N1840">
        <v>0.36094208737488237</v>
      </c>
      <c r="O1840">
        <v>0.24575526867916933</v>
      </c>
      <c r="P1840">
        <v>1.3715390703937892E-2</v>
      </c>
      <c r="Q1840">
        <v>1.6527336744696403E-3</v>
      </c>
      <c r="R1840">
        <v>3.7475115783630231E-3</v>
      </c>
      <c r="S1840">
        <v>0.38776004932171892</v>
      </c>
      <c r="T1840">
        <v>0.40898423917961485</v>
      </c>
      <c r="U1840">
        <v>0</v>
      </c>
      <c r="V1840">
        <v>0.2053821013436721</v>
      </c>
      <c r="W1840">
        <v>0.22932331882541684</v>
      </c>
      <c r="X1840">
        <v>5.4860948041555092E-2</v>
      </c>
      <c r="Y1840">
        <v>1.0199491149444351E-2</v>
      </c>
    </row>
    <row r="1841" spans="1:25" x14ac:dyDescent="0.25">
      <c r="A1841" s="1083"/>
      <c r="B1841" s="1455">
        <v>1591</v>
      </c>
      <c r="C1841" s="1087">
        <v>0.98419197623046839</v>
      </c>
      <c r="D1841" s="1087">
        <v>1.0150023118244518</v>
      </c>
      <c r="E1841" s="1087">
        <v>1.0135601727928907</v>
      </c>
      <c r="F1841" s="1087">
        <v>0.99523347357594527</v>
      </c>
      <c r="G1841" s="1087">
        <v>0.99980624340278479</v>
      </c>
      <c r="H1841" s="1087">
        <v>0.98647733859729736</v>
      </c>
      <c r="I1841" s="1087">
        <v>1.0282314580510352</v>
      </c>
      <c r="K1841">
        <v>1.8627185419080916</v>
      </c>
      <c r="L1841">
        <v>0</v>
      </c>
      <c r="M1841">
        <v>3.5174022024013871E-3</v>
      </c>
      <c r="N1841">
        <v>0.34807749135041177</v>
      </c>
      <c r="O1841">
        <v>0.2388287076070936</v>
      </c>
      <c r="P1841">
        <v>1.3468452644543679E-2</v>
      </c>
      <c r="Q1841">
        <v>1.6227831202956927E-3</v>
      </c>
      <c r="R1841">
        <v>3.5112624582129266E-3</v>
      </c>
      <c r="S1841">
        <v>0.37600963391834791</v>
      </c>
      <c r="T1841">
        <v>0.40085644015773236</v>
      </c>
      <c r="U1841">
        <v>0</v>
      </c>
      <c r="V1841">
        <v>0.20036321988557868</v>
      </c>
      <c r="W1841">
        <v>0.21985629670912094</v>
      </c>
      <c r="X1841">
        <v>5.4085157335258136E-2</v>
      </c>
      <c r="Y1841">
        <v>9.5564989238973198E-3</v>
      </c>
    </row>
    <row r="1842" spans="1:25" x14ac:dyDescent="0.25">
      <c r="A1842" s="1083"/>
      <c r="B1842" s="1455">
        <v>1592</v>
      </c>
      <c r="C1842" s="1087">
        <v>1.0155614706777176</v>
      </c>
      <c r="D1842" s="1087">
        <v>0.99755474467309013</v>
      </c>
      <c r="E1842" s="1087">
        <v>0.99192864697606242</v>
      </c>
      <c r="F1842" s="1087">
        <v>1.0061647997999543</v>
      </c>
      <c r="G1842" s="1087">
        <v>0.99081653238635958</v>
      </c>
      <c r="H1842" s="1087">
        <v>1.0024320263276629</v>
      </c>
      <c r="I1842" s="1087">
        <v>0.95425022498190237</v>
      </c>
      <c r="K1842">
        <v>1.8168172214171647</v>
      </c>
      <c r="L1842">
        <v>0</v>
      </c>
      <c r="M1842">
        <v>3.6543692159902693E-3</v>
      </c>
      <c r="N1842">
        <v>0.3385453953583768</v>
      </c>
      <c r="O1842">
        <v>0.23771818900793087</v>
      </c>
      <c r="P1842">
        <v>1.2853778942977005E-2</v>
      </c>
      <c r="Q1842">
        <v>1.54756823881122E-3</v>
      </c>
      <c r="R1842">
        <v>3.648106526870469E-3</v>
      </c>
      <c r="S1842">
        <v>0.34391025433652411</v>
      </c>
      <c r="T1842">
        <v>0.40512718720100394</v>
      </c>
      <c r="U1842">
        <v>0</v>
      </c>
      <c r="V1842">
        <v>0.19872067510224292</v>
      </c>
      <c r="W1842">
        <v>0.21673933098875939</v>
      </c>
      <c r="X1842">
        <v>5.1732161561507846E-2</v>
      </c>
      <c r="Y1842">
        <v>9.9289433681480389E-3</v>
      </c>
    </row>
    <row r="1843" spans="1:25" x14ac:dyDescent="0.25">
      <c r="A1843" s="1083"/>
      <c r="B1843" s="1455">
        <v>1593</v>
      </c>
      <c r="C1843" s="1087">
        <v>0.99096966561588973</v>
      </c>
      <c r="D1843" s="1087">
        <v>0.97630238945186554</v>
      </c>
      <c r="E1843" s="1087">
        <v>0.97680610175643812</v>
      </c>
      <c r="F1843" s="1087">
        <v>1.0080066927688038</v>
      </c>
      <c r="G1843" s="1087">
        <v>0.99451123363526828</v>
      </c>
      <c r="H1843" s="1087">
        <v>0.99206712443925549</v>
      </c>
      <c r="I1843" s="1087">
        <v>0.99347541344147727</v>
      </c>
      <c r="K1843">
        <v>1.8604175040366204</v>
      </c>
      <c r="L1843">
        <v>0</v>
      </c>
      <c r="M1843">
        <v>3.8674764945760914E-3</v>
      </c>
      <c r="N1843">
        <v>0.34210655929528982</v>
      </c>
      <c r="O1843">
        <v>0.24284578484490088</v>
      </c>
      <c r="P1843">
        <v>1.3108073669163453E-2</v>
      </c>
      <c r="Q1843">
        <v>1.5739153435880031E-3</v>
      </c>
      <c r="R1843">
        <v>3.8607999960659084E-3</v>
      </c>
      <c r="S1843">
        <v>0.36926923443981852</v>
      </c>
      <c r="T1843">
        <v>0.40577748943032227</v>
      </c>
      <c r="U1843">
        <v>0</v>
      </c>
      <c r="V1843">
        <v>0.20257240572870183</v>
      </c>
      <c r="W1843">
        <v>0.22112328874853382</v>
      </c>
      <c r="X1843">
        <v>5.1539604157896442E-2</v>
      </c>
      <c r="Y1843">
        <v>1.050782487691475E-2</v>
      </c>
    </row>
    <row r="1844" spans="1:25" x14ac:dyDescent="0.25">
      <c r="A1844" s="1083"/>
      <c r="B1844" s="1455">
        <v>1594</v>
      </c>
      <c r="C1844" s="1087">
        <v>0.96402774968276261</v>
      </c>
      <c r="D1844" s="1087">
        <v>1.0018667864973845</v>
      </c>
      <c r="E1844" s="1087">
        <v>1.0087859139788571</v>
      </c>
      <c r="F1844" s="1087">
        <v>0.97781207530612424</v>
      </c>
      <c r="G1844" s="1087">
        <v>1.023242957369449</v>
      </c>
      <c r="H1844" s="1087">
        <v>0.99905243475295491</v>
      </c>
      <c r="I1844" s="1087">
        <v>0.98929619565198113</v>
      </c>
      <c r="K1844">
        <v>1.8784940066605516</v>
      </c>
      <c r="L1844">
        <v>0</v>
      </c>
      <c r="M1844">
        <v>3.6975841516440132E-3</v>
      </c>
      <c r="N1844">
        <v>0.36062879451884744</v>
      </c>
      <c r="O1844">
        <v>0.24041771382107305</v>
      </c>
      <c r="P1844">
        <v>1.3318925570605962E-2</v>
      </c>
      <c r="Q1844">
        <v>1.6569785641439654E-3</v>
      </c>
      <c r="R1844">
        <v>3.6912212965153944E-3</v>
      </c>
      <c r="S1844">
        <v>0.37424992119983003</v>
      </c>
      <c r="T1844">
        <v>0.39381100468691554</v>
      </c>
      <c r="U1844">
        <v>0</v>
      </c>
      <c r="V1844">
        <v>0.20172936203592637</v>
      </c>
      <c r="W1844">
        <v>0.22845889366455555</v>
      </c>
      <c r="X1844">
        <v>5.4182487895437649E-2</v>
      </c>
      <c r="Y1844">
        <v>1.0046287558341532E-2</v>
      </c>
    </row>
    <row r="1845" spans="1:25" x14ac:dyDescent="0.25">
      <c r="A1845" s="1083"/>
      <c r="B1845" s="1455">
        <v>1595</v>
      </c>
      <c r="C1845" s="1087">
        <v>0.96521029855058749</v>
      </c>
      <c r="D1845" s="1087">
        <v>0.99689345822062747</v>
      </c>
      <c r="E1845" s="1087">
        <v>1.0380145404577645</v>
      </c>
      <c r="F1845" s="1087">
        <v>0.99929175052251606</v>
      </c>
      <c r="G1845" s="1087">
        <v>1.0027481520300532</v>
      </c>
      <c r="H1845" s="1087">
        <v>0.97449035735776723</v>
      </c>
      <c r="I1845" s="1087">
        <v>1.0213245971090543</v>
      </c>
      <c r="K1845">
        <v>1.903685970910985</v>
      </c>
      <c r="L1845">
        <v>0</v>
      </c>
      <c r="M1845">
        <v>3.4021158248503402E-3</v>
      </c>
      <c r="N1845">
        <v>0.36269775523491393</v>
      </c>
      <c r="O1845">
        <v>0.24382185088671327</v>
      </c>
      <c r="P1845">
        <v>1.387841953281495E-2</v>
      </c>
      <c r="Q1845">
        <v>1.7100676079726438E-3</v>
      </c>
      <c r="R1845">
        <v>3.3961189522030855E-3</v>
      </c>
      <c r="S1845">
        <v>0.3826148780676123</v>
      </c>
      <c r="T1845">
        <v>0.40264175643034561</v>
      </c>
      <c r="U1845">
        <v>0</v>
      </c>
      <c r="V1845">
        <v>0.20393533319259408</v>
      </c>
      <c r="W1845">
        <v>0.22568305011976186</v>
      </c>
      <c r="X1845">
        <v>5.7465740453316407E-2</v>
      </c>
      <c r="Y1845">
        <v>9.2431162575850861E-3</v>
      </c>
    </row>
    <row r="1846" spans="1:25" x14ac:dyDescent="0.25">
      <c r="A1846" s="1083"/>
      <c r="B1846" s="1455">
        <v>1596</v>
      </c>
      <c r="C1846" s="1087">
        <v>1.0162544869565446</v>
      </c>
      <c r="D1846" s="1087">
        <v>1.0199494272368828</v>
      </c>
      <c r="E1846" s="1087">
        <v>1.030353245222472</v>
      </c>
      <c r="F1846" s="1087">
        <v>1.0313255835224537</v>
      </c>
      <c r="G1846" s="1087">
        <v>1.0039829951412191</v>
      </c>
      <c r="H1846" s="1087">
        <v>1.006843062599321</v>
      </c>
      <c r="I1846" s="1087">
        <v>0.97883266775948286</v>
      </c>
      <c r="K1846">
        <v>1.8498167699756773</v>
      </c>
      <c r="L1846">
        <v>0</v>
      </c>
      <c r="M1846">
        <v>3.3485387526367926E-3</v>
      </c>
      <c r="N1846">
        <v>0.3487743624709721</v>
      </c>
      <c r="O1846">
        <v>0.23879037690144103</v>
      </c>
      <c r="P1846">
        <v>1.345903963140087E-2</v>
      </c>
      <c r="Q1846">
        <v>1.5965302853943998E-3</v>
      </c>
      <c r="R1846">
        <v>3.3428053290089233E-3</v>
      </c>
      <c r="S1846">
        <v>0.3493449362351152</v>
      </c>
      <c r="T1846">
        <v>0.4155000415816878</v>
      </c>
      <c r="U1846">
        <v>0</v>
      </c>
      <c r="V1846">
        <v>0.19979069693032228</v>
      </c>
      <c r="W1846">
        <v>0.21803439825390222</v>
      </c>
      <c r="X1846">
        <v>5.5434106958986998E-2</v>
      </c>
      <c r="Y1846">
        <v>9.0980141500817385E-3</v>
      </c>
    </row>
    <row r="1847" spans="1:25" x14ac:dyDescent="0.25">
      <c r="A1847" s="1083"/>
      <c r="B1847" s="1455">
        <v>1597</v>
      </c>
      <c r="C1847" s="1087">
        <v>1.0181253627884566</v>
      </c>
      <c r="D1847" s="1087">
        <v>1.0068332243164901</v>
      </c>
      <c r="E1847" s="1087">
        <v>1.0126712040615402</v>
      </c>
      <c r="F1847" s="1087">
        <v>0.96033832332190339</v>
      </c>
      <c r="G1847" s="1087">
        <v>0.98954757807662486</v>
      </c>
      <c r="H1847" s="1087">
        <v>1.0012519317103636</v>
      </c>
      <c r="I1847" s="1087">
        <v>0.97667724929040578</v>
      </c>
      <c r="K1847">
        <v>1.7971267694536333</v>
      </c>
      <c r="L1847">
        <v>0</v>
      </c>
      <c r="M1847">
        <v>3.4721207286313167E-3</v>
      </c>
      <c r="N1847">
        <v>0.34267596260150873</v>
      </c>
      <c r="O1847">
        <v>0.23141968716278205</v>
      </c>
      <c r="P1847">
        <v>1.2813097396491006E-2</v>
      </c>
      <c r="Q1847">
        <v>1.5722956978851403E-3</v>
      </c>
      <c r="R1847">
        <v>3.4661555428343212E-3</v>
      </c>
      <c r="S1847">
        <v>0.34933261681361433</v>
      </c>
      <c r="T1847">
        <v>0.38679628056442189</v>
      </c>
      <c r="U1847">
        <v>0</v>
      </c>
      <c r="V1847">
        <v>0.19416018075980668</v>
      </c>
      <c r="W1847">
        <v>0.21656360531390703</v>
      </c>
      <c r="X1847">
        <v>5.2365275559286689E-2</v>
      </c>
      <c r="Y1847">
        <v>9.4337327697274122E-3</v>
      </c>
    </row>
    <row r="1848" spans="1:25" x14ac:dyDescent="0.25">
      <c r="A1848" s="1083"/>
      <c r="B1848" s="1455">
        <v>1598</v>
      </c>
      <c r="C1848" s="1087">
        <v>0.99650712901771821</v>
      </c>
      <c r="D1848" s="1087">
        <v>0.99419347231757049</v>
      </c>
      <c r="E1848" s="1087">
        <v>1.0059539369951618</v>
      </c>
      <c r="F1848" s="1087">
        <v>1.0056210707063953</v>
      </c>
      <c r="G1848" s="1087">
        <v>0.98667326343115658</v>
      </c>
      <c r="H1848" s="1087">
        <v>0.97219393421710676</v>
      </c>
      <c r="I1848" s="1087">
        <v>1.0077356523433605</v>
      </c>
      <c r="K1848">
        <v>1.8456788772821666</v>
      </c>
      <c r="L1848">
        <v>0</v>
      </c>
      <c r="M1848">
        <v>3.5164616085827196E-3</v>
      </c>
      <c r="N1848">
        <v>0.33999867608718065</v>
      </c>
      <c r="O1848">
        <v>0.24050089092673488</v>
      </c>
      <c r="P1848">
        <v>1.3313095414145526E-2</v>
      </c>
      <c r="Q1848">
        <v>1.6030831824535609E-3</v>
      </c>
      <c r="R1848">
        <v>3.5102512667109309E-3</v>
      </c>
      <c r="S1848">
        <v>0.36543616187687017</v>
      </c>
      <c r="T1848">
        <v>0.40499365178681496</v>
      </c>
      <c r="U1848">
        <v>0</v>
      </c>
      <c r="V1848">
        <v>0.20097358296542342</v>
      </c>
      <c r="W1848">
        <v>0.21576903901422351</v>
      </c>
      <c r="X1848">
        <v>5.354315957622293E-2</v>
      </c>
      <c r="Y1848">
        <v>9.5537467939680754E-3</v>
      </c>
    </row>
    <row r="1849" spans="1:25" x14ac:dyDescent="0.25">
      <c r="A1849" s="1083"/>
      <c r="B1849" s="1455">
        <v>1599</v>
      </c>
      <c r="C1849" s="1087">
        <v>1.0356273116680554</v>
      </c>
      <c r="D1849" s="1087">
        <v>1.0187604898029869</v>
      </c>
      <c r="E1849" s="1087">
        <v>0.99910927560302387</v>
      </c>
      <c r="F1849" s="1087">
        <v>0.99777288409321108</v>
      </c>
      <c r="G1849" s="1087">
        <v>0.9922702379738787</v>
      </c>
      <c r="H1849" s="1087">
        <v>0.95749474487097752</v>
      </c>
      <c r="I1849" s="1087">
        <v>0.99860917819107176</v>
      </c>
      <c r="K1849">
        <v>1.7613413211702798</v>
      </c>
      <c r="L1849">
        <v>0</v>
      </c>
      <c r="M1849">
        <v>3.3340500648212407E-3</v>
      </c>
      <c r="N1849">
        <v>0.31568862888486515</v>
      </c>
      <c r="O1849">
        <v>0.23240318439095115</v>
      </c>
      <c r="P1849">
        <v>1.2786663424203711E-2</v>
      </c>
      <c r="Q1849">
        <v>1.5164535336378631E-3</v>
      </c>
      <c r="R1849">
        <v>3.3280489089288195E-3</v>
      </c>
      <c r="S1849">
        <v>0.34109589342956742</v>
      </c>
      <c r="T1849">
        <v>0.4017914976152045</v>
      </c>
      <c r="U1849">
        <v>0</v>
      </c>
      <c r="V1849">
        <v>0.19486878129849353</v>
      </c>
      <c r="W1849">
        <v>0.20119846220795129</v>
      </c>
      <c r="X1849">
        <v>5.0939905502218233E-2</v>
      </c>
      <c r="Y1849">
        <v>9.0578520390762682E-3</v>
      </c>
    </row>
    <row r="1850" spans="1:25" x14ac:dyDescent="0.25">
      <c r="A1850" s="1083"/>
      <c r="B1850" s="1455">
        <v>1600</v>
      </c>
      <c r="C1850" s="1087">
        <v>1.0020852947140604</v>
      </c>
      <c r="D1850" s="1087">
        <v>0.98198067621578911</v>
      </c>
      <c r="E1850" s="1087">
        <v>1.0247861160878518</v>
      </c>
      <c r="F1850" s="1087">
        <v>1.0288576901616293</v>
      </c>
      <c r="G1850" s="1087">
        <v>0.99573016112714896</v>
      </c>
      <c r="H1850" s="1087">
        <v>0.98018484990825872</v>
      </c>
      <c r="I1850" s="1087">
        <v>1.0064094441493119</v>
      </c>
      <c r="K1850">
        <v>1.8784428371466124</v>
      </c>
      <c r="L1850">
        <v>0</v>
      </c>
      <c r="M1850">
        <v>3.4148050165854977E-3</v>
      </c>
      <c r="N1850">
        <v>0.3496840278712029</v>
      </c>
      <c r="O1850">
        <v>0.24407023741994105</v>
      </c>
      <c r="P1850">
        <v>1.3683829223976006E-2</v>
      </c>
      <c r="Q1850">
        <v>1.6342753370146221E-3</v>
      </c>
      <c r="R1850">
        <v>3.4088337188064376E-3</v>
      </c>
      <c r="S1850">
        <v>0.367107720379929</v>
      </c>
      <c r="T1850">
        <v>0.41447040289124348</v>
      </c>
      <c r="U1850">
        <v>0</v>
      </c>
      <c r="V1850">
        <v>0.20314620882154111</v>
      </c>
      <c r="W1850">
        <v>0.21934918931776856</v>
      </c>
      <c r="X1850">
        <v>5.6025195520914367E-2</v>
      </c>
      <c r="Y1850">
        <v>9.2777216608577236E-3</v>
      </c>
    </row>
    <row r="1851" spans="1:25" x14ac:dyDescent="0.25">
      <c r="A1851" s="1083"/>
      <c r="B1851" s="1455">
        <v>1601</v>
      </c>
      <c r="C1851" s="1087">
        <v>1.0071311077016241</v>
      </c>
      <c r="D1851" s="1087">
        <v>1.0045844702140607</v>
      </c>
      <c r="E1851" s="1087">
        <v>0.98968794069236732</v>
      </c>
      <c r="F1851" s="1087">
        <v>1.004866209222973</v>
      </c>
      <c r="G1851" s="1087">
        <v>0.97665540503142267</v>
      </c>
      <c r="H1851" s="1087">
        <v>1.0046594611021928</v>
      </c>
      <c r="I1851" s="1087">
        <v>1.0001385573278185</v>
      </c>
      <c r="K1851">
        <v>1.8384447206896104</v>
      </c>
      <c r="L1851">
        <v>0</v>
      </c>
      <c r="M1851">
        <v>3.6961348316474469E-3</v>
      </c>
      <c r="N1851">
        <v>0.34008036360562954</v>
      </c>
      <c r="O1851">
        <v>0.23784626942807788</v>
      </c>
      <c r="P1851">
        <v>1.3081050273759668E-2</v>
      </c>
      <c r="Q1851">
        <v>1.5524164626424572E-3</v>
      </c>
      <c r="R1851">
        <v>3.6898085451995519E-3</v>
      </c>
      <c r="S1851">
        <v>0.36243469894326708</v>
      </c>
      <c r="T1851">
        <v>0.40459076301744945</v>
      </c>
      <c r="U1851">
        <v>0</v>
      </c>
      <c r="V1851">
        <v>0.19911399808283953</v>
      </c>
      <c r="W1851">
        <v>0.21802918333068283</v>
      </c>
      <c r="X1851">
        <v>5.1679861316735826E-2</v>
      </c>
      <c r="Y1851">
        <v>1.0042442514973153E-2</v>
      </c>
    </row>
    <row r="1852" spans="1:25" x14ac:dyDescent="0.25">
      <c r="A1852" s="1083"/>
      <c r="B1852" s="1455">
        <v>1602</v>
      </c>
      <c r="C1852" s="1087">
        <v>0.99588075405359955</v>
      </c>
      <c r="D1852" s="1087">
        <v>0.97763353596246705</v>
      </c>
      <c r="E1852" s="1087">
        <v>1.0176401312897458</v>
      </c>
      <c r="F1852" s="1087">
        <v>0.98835143691815708</v>
      </c>
      <c r="G1852" s="1087">
        <v>0.99293766434438224</v>
      </c>
      <c r="H1852" s="1087">
        <v>1.0163402577765841</v>
      </c>
      <c r="I1852" s="1087">
        <v>0.98820374527992616</v>
      </c>
      <c r="K1852">
        <v>1.8807628999772248</v>
      </c>
      <c r="L1852">
        <v>0</v>
      </c>
      <c r="M1852">
        <v>3.6237556782952895E-3</v>
      </c>
      <c r="N1852">
        <v>0.36311154812665281</v>
      </c>
      <c r="O1852">
        <v>0.2403323005411728</v>
      </c>
      <c r="P1852">
        <v>1.339104074564124E-2</v>
      </c>
      <c r="Q1852">
        <v>1.6350171153857718E-3</v>
      </c>
      <c r="R1852">
        <v>3.6176475820376974E-3</v>
      </c>
      <c r="S1852">
        <v>0.37009777335429989</v>
      </c>
      <c r="T1852">
        <v>0.39810922071254301</v>
      </c>
      <c r="U1852">
        <v>0</v>
      </c>
      <c r="V1852">
        <v>0.20049583791725709</v>
      </c>
      <c r="W1852">
        <v>0.22877512184455651</v>
      </c>
      <c r="X1852">
        <v>5.4975103554870543E-2</v>
      </c>
      <c r="Y1852">
        <v>9.8460441611017014E-3</v>
      </c>
    </row>
    <row r="1853" spans="1:25" x14ac:dyDescent="0.25">
      <c r="A1853" s="1083"/>
      <c r="B1853" s="1455">
        <v>1603</v>
      </c>
      <c r="C1853" s="1087">
        <v>0.9823984065334419</v>
      </c>
      <c r="D1853" s="1087">
        <v>0.99292824758340203</v>
      </c>
      <c r="E1853" s="1087">
        <v>1.0085700426087563</v>
      </c>
      <c r="F1853" s="1087">
        <v>1.0102171311657018</v>
      </c>
      <c r="G1853" s="1087">
        <v>1.0297269762839367</v>
      </c>
      <c r="H1853" s="1087">
        <v>1.0009668030920438</v>
      </c>
      <c r="I1853" s="1087">
        <v>0.97550076977175215</v>
      </c>
      <c r="K1853">
        <v>1.8786239319725351</v>
      </c>
      <c r="L1853">
        <v>0</v>
      </c>
      <c r="M1853">
        <v>3.6554938958795278E-3</v>
      </c>
      <c r="N1853">
        <v>0.35629113619763664</v>
      </c>
      <c r="O1853">
        <v>0.24295014560314518</v>
      </c>
      <c r="P1853">
        <v>1.3376981704812045E-2</v>
      </c>
      <c r="Q1853">
        <v>1.6314590162923197E-3</v>
      </c>
      <c r="R1853">
        <v>3.6492248305125706E-3</v>
      </c>
      <c r="S1853">
        <v>0.3643176096527227</v>
      </c>
      <c r="T1853">
        <v>0.40686071837746451</v>
      </c>
      <c r="U1853">
        <v>0</v>
      </c>
      <c r="V1853">
        <v>0.20299741991268175</v>
      </c>
      <c r="W1853">
        <v>0.22574122881224115</v>
      </c>
      <c r="X1853">
        <v>5.4531514738892138E-2</v>
      </c>
      <c r="Y1853">
        <v>9.9319870220131445E-3</v>
      </c>
    </row>
    <row r="1854" spans="1:25" x14ac:dyDescent="0.25">
      <c r="A1854" s="1083"/>
      <c r="B1854" s="1455">
        <v>1604</v>
      </c>
      <c r="C1854" s="1087">
        <v>1.0215312350588226</v>
      </c>
      <c r="D1854" s="1087">
        <v>0.98002102472227604</v>
      </c>
      <c r="E1854" s="1087">
        <v>0.98508593521783239</v>
      </c>
      <c r="F1854" s="1087">
        <v>0.95778135204057102</v>
      </c>
      <c r="G1854" s="1087">
        <v>1.0088410009334783</v>
      </c>
      <c r="H1854" s="1087">
        <v>0.97095127127287062</v>
      </c>
      <c r="I1854" s="1087">
        <v>1.0159865234159144</v>
      </c>
      <c r="K1854">
        <v>1.7861722927487584</v>
      </c>
      <c r="L1854">
        <v>0</v>
      </c>
      <c r="M1854">
        <v>3.6023313186637597E-3</v>
      </c>
      <c r="N1854">
        <v>0.32680545610727291</v>
      </c>
      <c r="O1854">
        <v>0.23290285723619986</v>
      </c>
      <c r="P1854">
        <v>1.2712584386253896E-2</v>
      </c>
      <c r="Q1854">
        <v>1.5381524549290073E-3</v>
      </c>
      <c r="R1854">
        <v>3.5959726857018831E-3</v>
      </c>
      <c r="S1854">
        <v>0.36177712631369302</v>
      </c>
      <c r="T1854">
        <v>0.38560645182024211</v>
      </c>
      <c r="U1854">
        <v>0</v>
      </c>
      <c r="V1854">
        <v>0.19480306149986643</v>
      </c>
      <c r="W1854">
        <v>0.21012759006213449</v>
      </c>
      <c r="X1854">
        <v>5.0118319262724725E-2</v>
      </c>
      <c r="Y1854">
        <v>9.7870522384032686E-3</v>
      </c>
    </row>
    <row r="1855" spans="1:25" x14ac:dyDescent="0.25">
      <c r="A1855" s="1083"/>
      <c r="B1855" s="1455">
        <v>1605</v>
      </c>
      <c r="C1855" s="1087">
        <v>1.0001060364298155</v>
      </c>
      <c r="D1855" s="1087">
        <v>1.0061207793327045</v>
      </c>
      <c r="E1855" s="1087">
        <v>1.0113193020468083</v>
      </c>
      <c r="F1855" s="1087">
        <v>1.0043499278926957</v>
      </c>
      <c r="G1855" s="1087">
        <v>1.0209005213102531</v>
      </c>
      <c r="H1855" s="1087">
        <v>1.0068263521117322</v>
      </c>
      <c r="I1855" s="1087">
        <v>1.0101724457806203</v>
      </c>
      <c r="K1855">
        <v>1.8629141274569685</v>
      </c>
      <c r="L1855">
        <v>0</v>
      </c>
      <c r="M1855">
        <v>3.5658299533027761E-3</v>
      </c>
      <c r="N1855">
        <v>0.35048025981914577</v>
      </c>
      <c r="O1855">
        <v>0.23879774126367415</v>
      </c>
      <c r="P1855">
        <v>1.3393079733903636E-2</v>
      </c>
      <c r="Q1855">
        <v>1.5987871103500303E-3</v>
      </c>
      <c r="R1855">
        <v>3.5597387180570841E-3</v>
      </c>
      <c r="S1855">
        <v>0.36898237914555282</v>
      </c>
      <c r="T1855">
        <v>0.40451457513626554</v>
      </c>
      <c r="U1855">
        <v>0</v>
      </c>
      <c r="V1855">
        <v>0.19987143302078386</v>
      </c>
      <c r="W1855">
        <v>0.22168124465430938</v>
      </c>
      <c r="X1855">
        <v>5.3912283485229549E-2</v>
      </c>
      <c r="Y1855">
        <v>9.6884353229983542E-3</v>
      </c>
    </row>
    <row r="1856" spans="1:25" x14ac:dyDescent="0.25">
      <c r="A1856" s="1083"/>
      <c r="B1856" s="1455">
        <v>1606</v>
      </c>
      <c r="C1856" s="1087">
        <v>1.0434566491391144</v>
      </c>
      <c r="D1856" s="1087">
        <v>1.0009691497271576</v>
      </c>
      <c r="E1856" s="1087">
        <v>0.99258754559584939</v>
      </c>
      <c r="F1856" s="1087">
        <v>0.96406372881229785</v>
      </c>
      <c r="G1856" s="1087">
        <v>1.0178312951350277</v>
      </c>
      <c r="H1856" s="1087">
        <v>0.99067224025609668</v>
      </c>
      <c r="I1856" s="1087">
        <v>0.95969680477850738</v>
      </c>
      <c r="K1856">
        <v>1.750296061276726</v>
      </c>
      <c r="L1856">
        <v>0</v>
      </c>
      <c r="M1856">
        <v>3.5035671135737931E-3</v>
      </c>
      <c r="N1856">
        <v>0.32522163702901991</v>
      </c>
      <c r="O1856">
        <v>0.22927246488249026</v>
      </c>
      <c r="P1856">
        <v>1.2406468610368503E-2</v>
      </c>
      <c r="Q1856">
        <v>1.5051998851198303E-3</v>
      </c>
      <c r="R1856">
        <v>3.4974883612542826E-3</v>
      </c>
      <c r="S1856">
        <v>0.33402858315823891</v>
      </c>
      <c r="T1856">
        <v>0.38817923071121274</v>
      </c>
      <c r="U1856">
        <v>0</v>
      </c>
      <c r="V1856">
        <v>0.19211540939819063</v>
      </c>
      <c r="W1856">
        <v>0.20812315786592728</v>
      </c>
      <c r="X1856">
        <v>4.993097811587234E-2</v>
      </c>
      <c r="Y1856">
        <v>9.5190103726057324E-3</v>
      </c>
    </row>
    <row r="1857" spans="1:25" x14ac:dyDescent="0.25">
      <c r="A1857" s="1083"/>
      <c r="B1857" s="1455">
        <v>1607</v>
      </c>
      <c r="C1857" s="1087">
        <v>0.99963088470176265</v>
      </c>
      <c r="D1857" s="1087">
        <v>1.0174880303651983</v>
      </c>
      <c r="E1857" s="1087">
        <v>0.97578029913586661</v>
      </c>
      <c r="F1857" s="1087">
        <v>0.98063704423336739</v>
      </c>
      <c r="G1857" s="1087">
        <v>0.99388972899899453</v>
      </c>
      <c r="H1857" s="1087">
        <v>1.037522668948383</v>
      </c>
      <c r="I1857" s="1087">
        <v>1.0424399667429545</v>
      </c>
      <c r="K1857">
        <v>1.8561572382401026</v>
      </c>
      <c r="L1857">
        <v>0</v>
      </c>
      <c r="M1857">
        <v>3.9293027970464861E-3</v>
      </c>
      <c r="N1857">
        <v>0.34651022485702004</v>
      </c>
      <c r="O1857">
        <v>0.23445128153616315</v>
      </c>
      <c r="P1857">
        <v>1.307287115887955E-2</v>
      </c>
      <c r="Q1857">
        <v>1.5330047294438262E-3</v>
      </c>
      <c r="R1857">
        <v>3.9227790168300048E-3</v>
      </c>
      <c r="S1857">
        <v>0.38391870344583051</v>
      </c>
      <c r="T1857">
        <v>0.3947537271136497</v>
      </c>
      <c r="U1857">
        <v>0</v>
      </c>
      <c r="V1857">
        <v>0.197080685858018</v>
      </c>
      <c r="W1857">
        <v>0.22411582284856582</v>
      </c>
      <c r="X1857">
        <v>5.0050929132690498E-2</v>
      </c>
      <c r="Y1857">
        <v>1.0676511340055914E-2</v>
      </c>
    </row>
    <row r="1858" spans="1:25" x14ac:dyDescent="0.25">
      <c r="A1858" s="1083"/>
      <c r="B1858" s="1455">
        <v>1608</v>
      </c>
      <c r="C1858" s="1087">
        <v>0.96824393636438599</v>
      </c>
      <c r="D1858" s="1087">
        <v>0.9989207517873756</v>
      </c>
      <c r="E1858" s="1087">
        <v>0.97707530946620469</v>
      </c>
      <c r="F1858" s="1087">
        <v>0.95525458587623258</v>
      </c>
      <c r="G1858" s="1087">
        <v>0.96280463201870536</v>
      </c>
      <c r="H1858" s="1087">
        <v>1.0018171344406837</v>
      </c>
      <c r="I1858" s="1087">
        <v>1.0346968399970602</v>
      </c>
      <c r="K1858">
        <v>1.8619402888885517</v>
      </c>
      <c r="L1858">
        <v>0</v>
      </c>
      <c r="M1858">
        <v>3.9440320010912097E-3</v>
      </c>
      <c r="N1858">
        <v>0.34916935073358257</v>
      </c>
      <c r="O1858">
        <v>0.23691426348275191</v>
      </c>
      <c r="P1858">
        <v>1.3064967461109217E-2</v>
      </c>
      <c r="Q1858">
        <v>1.596630243664758E-3</v>
      </c>
      <c r="R1858">
        <v>3.9372648265280381E-3</v>
      </c>
      <c r="S1858">
        <v>0.39045407558276019</v>
      </c>
      <c r="T1858">
        <v>0.38454343106952055</v>
      </c>
      <c r="U1858">
        <v>0</v>
      </c>
      <c r="V1858">
        <v>0.19920206696547582</v>
      </c>
      <c r="W1858">
        <v>0.2256497549266247</v>
      </c>
      <c r="X1858">
        <v>5.0636578658816919E-2</v>
      </c>
      <c r="Y1858">
        <v>1.0715936938808075E-2</v>
      </c>
    </row>
    <row r="1859" spans="1:25" x14ac:dyDescent="0.25">
      <c r="A1859" s="1083"/>
      <c r="B1859" s="1455">
        <v>1609</v>
      </c>
      <c r="C1859" s="1087">
        <v>1.0257710772931354</v>
      </c>
      <c r="D1859" s="1087">
        <v>0.99554018236878161</v>
      </c>
      <c r="E1859" s="1087">
        <v>0.9817401195849812</v>
      </c>
      <c r="F1859" s="1087">
        <v>1.0160363454399288</v>
      </c>
      <c r="G1859" s="1087">
        <v>0.98966368162665053</v>
      </c>
      <c r="H1859" s="1087">
        <v>1.0165044718492129</v>
      </c>
      <c r="I1859" s="1087">
        <v>0.99372402891037048</v>
      </c>
      <c r="K1859">
        <v>1.8318829451498575</v>
      </c>
      <c r="L1859">
        <v>0</v>
      </c>
      <c r="M1859">
        <v>3.7495562008708298E-3</v>
      </c>
      <c r="N1859">
        <v>0.33672752751421559</v>
      </c>
      <c r="O1859">
        <v>0.23769648596146831</v>
      </c>
      <c r="P1859">
        <v>1.2985979073813114E-2</v>
      </c>
      <c r="Q1859">
        <v>1.5167342856579446E-3</v>
      </c>
      <c r="R1859">
        <v>3.7432204207156158E-3</v>
      </c>
      <c r="S1859">
        <v>0.3573129887223272</v>
      </c>
      <c r="T1859">
        <v>0.40903978334764196</v>
      </c>
      <c r="U1859">
        <v>0</v>
      </c>
      <c r="V1859">
        <v>0.19853966827701494</v>
      </c>
      <c r="W1859">
        <v>0.21696602603227449</v>
      </c>
      <c r="X1859">
        <v>5.091627568268934E-2</v>
      </c>
      <c r="Y1859">
        <v>1.0187812032907849E-2</v>
      </c>
    </row>
    <row r="1860" spans="1:25" x14ac:dyDescent="0.25">
      <c r="A1860" s="1083"/>
      <c r="B1860" s="1455">
        <v>1610</v>
      </c>
      <c r="C1860" s="1087">
        <v>0.99866006212786351</v>
      </c>
      <c r="D1860" s="1087">
        <v>1.0018945537091972</v>
      </c>
      <c r="E1860" s="1087">
        <v>0.98666071493045404</v>
      </c>
      <c r="F1860" s="1087">
        <v>0.97604909706812326</v>
      </c>
      <c r="G1860" s="1087">
        <v>1.0258604076209594</v>
      </c>
      <c r="H1860" s="1087">
        <v>0.95877050491993698</v>
      </c>
      <c r="I1860" s="1087">
        <v>0.97402964402165215</v>
      </c>
      <c r="K1860">
        <v>1.7859627901223345</v>
      </c>
      <c r="L1860">
        <v>0</v>
      </c>
      <c r="M1860">
        <v>3.5844273390429125E-3</v>
      </c>
      <c r="N1860">
        <v>0.32674024252988254</v>
      </c>
      <c r="O1860">
        <v>0.23567463273692599</v>
      </c>
      <c r="P1860">
        <v>1.2684313319957521E-2</v>
      </c>
      <c r="Q1860">
        <v>1.562186284605148E-3</v>
      </c>
      <c r="R1860">
        <v>3.5780009469377734E-3</v>
      </c>
      <c r="S1860">
        <v>0.3483531441030801</v>
      </c>
      <c r="T1860">
        <v>0.39297033512748319</v>
      </c>
      <c r="U1860">
        <v>0</v>
      </c>
      <c r="V1860">
        <v>0.19765294161424787</v>
      </c>
      <c r="W1860">
        <v>0.2098768357938485</v>
      </c>
      <c r="X1860">
        <v>5.0716445914539401E-2</v>
      </c>
      <c r="Y1860">
        <v>9.7381390898694555E-3</v>
      </c>
    </row>
    <row r="1861" spans="1:25" x14ac:dyDescent="0.25">
      <c r="A1861" s="1083"/>
      <c r="B1861" s="1455">
        <v>1611</v>
      </c>
      <c r="C1861" s="1087">
        <v>0.96088685477123403</v>
      </c>
      <c r="D1861" s="1087">
        <v>1.0170980533776899</v>
      </c>
      <c r="E1861" s="1087">
        <v>0.96952717108631803</v>
      </c>
      <c r="F1861" s="1087">
        <v>1.0092160457103188</v>
      </c>
      <c r="G1861" s="1087">
        <v>0.98131751017216651</v>
      </c>
      <c r="H1861" s="1087">
        <v>1.0302161526742994</v>
      </c>
      <c r="I1861" s="1087">
        <v>1.0122253763094486</v>
      </c>
      <c r="K1861">
        <v>1.9030103481030285</v>
      </c>
      <c r="L1861">
        <v>0</v>
      </c>
      <c r="M1861">
        <v>4.1121951065604271E-3</v>
      </c>
      <c r="N1861">
        <v>0.35576662384717445</v>
      </c>
      <c r="O1861">
        <v>0.24256219499804862</v>
      </c>
      <c r="P1861">
        <v>1.3287041636007744E-2</v>
      </c>
      <c r="Q1861">
        <v>1.58431803762629E-3</v>
      </c>
      <c r="R1861">
        <v>4.1053202414081096E-3</v>
      </c>
      <c r="S1861">
        <v>0.38646412123352419</v>
      </c>
      <c r="T1861">
        <v>0.40622067198547829</v>
      </c>
      <c r="U1861">
        <v>0</v>
      </c>
      <c r="V1861">
        <v>0.20380488053447357</v>
      </c>
      <c r="W1861">
        <v>0.23102228724797111</v>
      </c>
      <c r="X1861">
        <v>5.1131755069213587E-2</v>
      </c>
      <c r="Y1861">
        <v>1.1173328378659008E-2</v>
      </c>
    </row>
    <row r="1862" spans="1:25" x14ac:dyDescent="0.25">
      <c r="A1862" s="1083"/>
      <c r="B1862" s="1455">
        <v>1612</v>
      </c>
      <c r="C1862" s="1087">
        <v>0.97561060029494129</v>
      </c>
      <c r="D1862" s="1087">
        <v>0.99423176003382641</v>
      </c>
      <c r="E1862" s="1087">
        <v>1.0136176148497178</v>
      </c>
      <c r="F1862" s="1087">
        <v>0.99642861091567825</v>
      </c>
      <c r="G1862" s="1087">
        <v>1.001261666593974</v>
      </c>
      <c r="H1862" s="1087">
        <v>1.0102297051146787</v>
      </c>
      <c r="I1862" s="1087">
        <v>0.98148554233696528</v>
      </c>
      <c r="K1862">
        <v>1.8898610621817196</v>
      </c>
      <c r="L1862">
        <v>0</v>
      </c>
      <c r="M1862">
        <v>3.673898897035714E-3</v>
      </c>
      <c r="N1862">
        <v>0.36364457491365593</v>
      </c>
      <c r="O1862">
        <v>0.24207996789298644</v>
      </c>
      <c r="P1862">
        <v>1.3430360719008804E-2</v>
      </c>
      <c r="Q1862">
        <v>1.6507524401199107E-3</v>
      </c>
      <c r="R1862">
        <v>3.6676544468009801E-3</v>
      </c>
      <c r="S1862">
        <v>0.3705765989245482</v>
      </c>
      <c r="T1862">
        <v>0.4013381632665155</v>
      </c>
      <c r="U1862">
        <v>0</v>
      </c>
      <c r="V1862">
        <v>0.20250986139650187</v>
      </c>
      <c r="W1862">
        <v>0.22968077871728365</v>
      </c>
      <c r="X1862">
        <v>5.4974101999106323E-2</v>
      </c>
      <c r="Y1862">
        <v>9.9821463622288172E-3</v>
      </c>
    </row>
    <row r="1863" spans="1:25" x14ac:dyDescent="0.25">
      <c r="A1863" s="1083"/>
      <c r="B1863" s="1455">
        <v>1613</v>
      </c>
      <c r="C1863" s="1087">
        <v>1.0175997844501925</v>
      </c>
      <c r="D1863" s="1087">
        <v>0.9903877771866757</v>
      </c>
      <c r="E1863" s="1087">
        <v>1.0112120554790462</v>
      </c>
      <c r="F1863" s="1087">
        <v>0.96691309558863758</v>
      </c>
      <c r="G1863" s="1087">
        <v>0.98020209015483717</v>
      </c>
      <c r="H1863" s="1087">
        <v>1.0037154483390802</v>
      </c>
      <c r="I1863" s="1087">
        <v>1.0266691826383556</v>
      </c>
      <c r="K1863">
        <v>1.8325291047339014</v>
      </c>
      <c r="L1863">
        <v>0</v>
      </c>
      <c r="M1863">
        <v>3.5240241651192331E-3</v>
      </c>
      <c r="N1863">
        <v>0.34625740051241205</v>
      </c>
      <c r="O1863">
        <v>0.233821920557232</v>
      </c>
      <c r="P1863">
        <v>1.3156605345407166E-2</v>
      </c>
      <c r="Q1863">
        <v>1.5810597258166348E-3</v>
      </c>
      <c r="R1863">
        <v>3.5179984611148274E-3</v>
      </c>
      <c r="S1863">
        <v>0.37120103251080611</v>
      </c>
      <c r="T1863">
        <v>0.38943578638692061</v>
      </c>
      <c r="U1863">
        <v>0</v>
      </c>
      <c r="V1863">
        <v>0.19561912238079948</v>
      </c>
      <c r="W1863">
        <v>0.21902480895941401</v>
      </c>
      <c r="X1863">
        <v>5.2862561955822604E-2</v>
      </c>
      <c r="Y1863">
        <v>9.5748321032735357E-3</v>
      </c>
    </row>
    <row r="1864" spans="1:25" x14ac:dyDescent="0.25">
      <c r="A1864" s="1083"/>
      <c r="B1864" s="1455">
        <v>1614</v>
      </c>
      <c r="C1864" s="1087">
        <v>1.0293119667204524</v>
      </c>
      <c r="D1864" s="1087">
        <v>1.0041538011283153</v>
      </c>
      <c r="E1864" s="1087">
        <v>1.0214883049244077</v>
      </c>
      <c r="F1864" s="1087">
        <v>1.0228800071791775</v>
      </c>
      <c r="G1864" s="1087">
        <v>1.0181949725400916</v>
      </c>
      <c r="H1864" s="1087">
        <v>0.99912511510768698</v>
      </c>
      <c r="I1864" s="1087">
        <v>1.0090094774067035</v>
      </c>
      <c r="K1864">
        <v>1.8402982322571095</v>
      </c>
      <c r="L1864">
        <v>0</v>
      </c>
      <c r="M1864">
        <v>3.3695861399405257E-3</v>
      </c>
      <c r="N1864">
        <v>0.34161341770053494</v>
      </c>
      <c r="O1864">
        <v>0.23774141965689419</v>
      </c>
      <c r="P1864">
        <v>1.34153090798966E-2</v>
      </c>
      <c r="Q1864">
        <v>1.5714331981138284E-3</v>
      </c>
      <c r="R1864">
        <v>3.3637853438152742E-3</v>
      </c>
      <c r="S1864">
        <v>0.35717371198962544</v>
      </c>
      <c r="T1864">
        <v>0.41204155104944767</v>
      </c>
      <c r="U1864">
        <v>0</v>
      </c>
      <c r="V1864">
        <v>0.19851452282653675</v>
      </c>
      <c r="W1864">
        <v>0.21472106114436826</v>
      </c>
      <c r="X1864">
        <v>5.435649157349251E-2</v>
      </c>
      <c r="Y1864">
        <v>9.1551148343246031E-3</v>
      </c>
    </row>
    <row r="1865" spans="1:25" x14ac:dyDescent="0.25">
      <c r="A1865" s="1083"/>
      <c r="B1865" s="1455">
        <v>1615</v>
      </c>
      <c r="C1865" s="1087">
        <v>0.98619476128688477</v>
      </c>
      <c r="D1865" s="1087">
        <v>1.0135688915671666</v>
      </c>
      <c r="E1865" s="1087">
        <v>1.0031220602664486</v>
      </c>
      <c r="F1865" s="1087">
        <v>1.0047802638493781</v>
      </c>
      <c r="G1865" s="1087">
        <v>0.98224514480281522</v>
      </c>
      <c r="H1865" s="1087">
        <v>1.0076342351453362</v>
      </c>
      <c r="I1865" s="1087">
        <v>1.0384149441521038</v>
      </c>
      <c r="K1865">
        <v>1.8818142572536327</v>
      </c>
      <c r="L1865">
        <v>0</v>
      </c>
      <c r="M1865">
        <v>3.6658204394400783E-3</v>
      </c>
      <c r="N1865">
        <v>0.35141122091009558</v>
      </c>
      <c r="O1865">
        <v>0.239696257499595</v>
      </c>
      <c r="P1865">
        <v>1.3522533481644148E-2</v>
      </c>
      <c r="Q1865">
        <v>1.6025566148755689E-3</v>
      </c>
      <c r="R1865">
        <v>3.6595572174779618E-3</v>
      </c>
      <c r="S1865">
        <v>0.38314637411923735</v>
      </c>
      <c r="T1865">
        <v>0.40463773741183245</v>
      </c>
      <c r="U1865">
        <v>0</v>
      </c>
      <c r="V1865">
        <v>0.20097597415173268</v>
      </c>
      <c r="W1865">
        <v>0.22340524170791881</v>
      </c>
      <c r="X1865">
        <v>5.34625162053987E-2</v>
      </c>
      <c r="Y1865">
        <v>9.9601083732624909E-3</v>
      </c>
    </row>
    <row r="1866" spans="1:25" x14ac:dyDescent="0.25">
      <c r="A1866" s="1083"/>
      <c r="B1866" s="1455">
        <v>1616</v>
      </c>
      <c r="C1866" s="1087">
        <v>0.98932977978313863</v>
      </c>
      <c r="D1866" s="1087">
        <v>1.0057496341915828</v>
      </c>
      <c r="E1866" s="1087">
        <v>0.97130667870334098</v>
      </c>
      <c r="F1866" s="1087">
        <v>0.96087839577971756</v>
      </c>
      <c r="G1866" s="1087">
        <v>0.99294758351058543</v>
      </c>
      <c r="H1866" s="1087">
        <v>1.0114796653096614</v>
      </c>
      <c r="I1866" s="1087">
        <v>0.98885617515695157</v>
      </c>
      <c r="K1866">
        <v>1.821673708849046</v>
      </c>
      <c r="L1866">
        <v>0</v>
      </c>
      <c r="M1866">
        <v>3.9299413853970625E-3</v>
      </c>
      <c r="N1866">
        <v>0.34184451570100594</v>
      </c>
      <c r="O1866">
        <v>0.23436215217895337</v>
      </c>
      <c r="P1866">
        <v>1.2675980334889909E-2</v>
      </c>
      <c r="Q1866">
        <v>1.5486702778520322E-3</v>
      </c>
      <c r="R1866">
        <v>3.9232583903480063E-3</v>
      </c>
      <c r="S1866">
        <v>0.36556029585275401</v>
      </c>
      <c r="T1866">
        <v>0.3867743695167683</v>
      </c>
      <c r="U1866">
        <v>0</v>
      </c>
      <c r="V1866">
        <v>0.19703263135010188</v>
      </c>
      <c r="W1866">
        <v>0.22172951538635757</v>
      </c>
      <c r="X1866">
        <v>4.9474445208666055E-2</v>
      </c>
      <c r="Y1866">
        <v>1.0677816036746477E-2</v>
      </c>
    </row>
    <row r="1867" spans="1:25" x14ac:dyDescent="0.25">
      <c r="A1867" s="1083"/>
      <c r="B1867" s="1455">
        <v>1617</v>
      </c>
      <c r="C1867" s="1087">
        <v>1.0022771519591822</v>
      </c>
      <c r="D1867" s="1087">
        <v>1.0412920952726756</v>
      </c>
      <c r="E1867" s="1087">
        <v>0.9872223735831972</v>
      </c>
      <c r="F1867" s="1087">
        <v>0.98745730923928698</v>
      </c>
      <c r="G1867" s="1087">
        <v>0.99602741335386613</v>
      </c>
      <c r="H1867" s="1087">
        <v>1.0130940752163629</v>
      </c>
      <c r="I1867" s="1087">
        <v>0.95542274828002216</v>
      </c>
      <c r="K1867">
        <v>1.7973555345142953</v>
      </c>
      <c r="L1867">
        <v>0</v>
      </c>
      <c r="M1867">
        <v>3.6917761376832297E-3</v>
      </c>
      <c r="N1867">
        <v>0.33713288455525864</v>
      </c>
      <c r="O1867">
        <v>0.23282933967009797</v>
      </c>
      <c r="P1867">
        <v>1.2653388961594356E-2</v>
      </c>
      <c r="Q1867">
        <v>1.5336424985108821E-3</v>
      </c>
      <c r="R1867">
        <v>3.6854781918476886E-3</v>
      </c>
      <c r="S1867">
        <v>0.34247956700738214</v>
      </c>
      <c r="T1867">
        <v>0.39756676198067697</v>
      </c>
      <c r="U1867">
        <v>0</v>
      </c>
      <c r="V1867">
        <v>0.19624554122419066</v>
      </c>
      <c r="W1867">
        <v>0.21647566405882587</v>
      </c>
      <c r="X1867">
        <v>5.0414385782944236E-2</v>
      </c>
      <c r="Y1867">
        <v>1.0030656720649988E-2</v>
      </c>
    </row>
    <row r="1868" spans="1:25" x14ac:dyDescent="0.25">
      <c r="A1868" s="1083"/>
      <c r="B1868" s="1455">
        <v>1618</v>
      </c>
      <c r="C1868" s="1087">
        <v>1.0328305738526451</v>
      </c>
      <c r="D1868" s="1087">
        <v>0.98977014155540644</v>
      </c>
      <c r="E1868" s="1087">
        <v>1.0031374373978701</v>
      </c>
      <c r="F1868" s="1087">
        <v>1.0023030661084285</v>
      </c>
      <c r="G1868" s="1087">
        <v>0.98114013830116864</v>
      </c>
      <c r="H1868" s="1087">
        <v>0.99942973384739631</v>
      </c>
      <c r="I1868" s="1087">
        <v>0.97335252426536634</v>
      </c>
      <c r="K1868">
        <v>1.8106806460029685</v>
      </c>
      <c r="L1868">
        <v>0</v>
      </c>
      <c r="M1868">
        <v>3.5159820229939561E-3</v>
      </c>
      <c r="N1868">
        <v>0.33706039918527236</v>
      </c>
      <c r="O1868">
        <v>0.23617879751641174</v>
      </c>
      <c r="P1868">
        <v>1.2948179928535484E-2</v>
      </c>
      <c r="Q1868">
        <v>1.5448334384713443E-3</v>
      </c>
      <c r="R1868">
        <v>3.5099446874850763E-3</v>
      </c>
      <c r="S1868">
        <v>0.34602579551834994</v>
      </c>
      <c r="T1868">
        <v>0.40364023210350286</v>
      </c>
      <c r="U1868">
        <v>0</v>
      </c>
      <c r="V1868">
        <v>0.19709071540958506</v>
      </c>
      <c r="W1868">
        <v>0.21427983423037653</v>
      </c>
      <c r="X1868">
        <v>5.2364983621591671E-2</v>
      </c>
      <c r="Y1868">
        <v>9.5529123863791112E-3</v>
      </c>
    </row>
    <row r="1869" spans="1:25" x14ac:dyDescent="0.25">
      <c r="A1869" s="1083"/>
      <c r="B1869" s="1455">
        <v>1619</v>
      </c>
      <c r="C1869" s="1087">
        <v>0.99287014242647686</v>
      </c>
      <c r="D1869" s="1087">
        <v>1.0320643490321486</v>
      </c>
      <c r="E1869" s="1087">
        <v>0.96767444424321569</v>
      </c>
      <c r="F1869" s="1087">
        <v>0.98988903296335284</v>
      </c>
      <c r="G1869" s="1087">
        <v>1.0306457945537424</v>
      </c>
      <c r="H1869" s="1087">
        <v>0.96398303906005767</v>
      </c>
      <c r="I1869" s="1087">
        <v>0.99508026440705466</v>
      </c>
      <c r="K1869">
        <v>1.7834709112718976</v>
      </c>
      <c r="L1869">
        <v>0</v>
      </c>
      <c r="M1869">
        <v>3.7082868825448778E-3</v>
      </c>
      <c r="N1869">
        <v>0.3189716409699293</v>
      </c>
      <c r="O1869">
        <v>0.23483951910864373</v>
      </c>
      <c r="P1869">
        <v>1.2637219398429602E-2</v>
      </c>
      <c r="Q1869">
        <v>1.5212938290845364E-3</v>
      </c>
      <c r="R1869">
        <v>3.7016472499661218E-3</v>
      </c>
      <c r="S1869">
        <v>0.35286810781413636</v>
      </c>
      <c r="T1869">
        <v>0.39843047490073902</v>
      </c>
      <c r="U1869">
        <v>0</v>
      </c>
      <c r="V1869">
        <v>0.19780699749959668</v>
      </c>
      <c r="W1869">
        <v>0.20737459954706416</v>
      </c>
      <c r="X1869">
        <v>4.8953034270132936E-2</v>
      </c>
      <c r="Y1869">
        <v>1.0074663566719778E-2</v>
      </c>
    </row>
    <row r="1870" spans="1:25" x14ac:dyDescent="0.25">
      <c r="A1870" s="1083"/>
      <c r="B1870" s="1455">
        <v>1620</v>
      </c>
      <c r="C1870" s="1087">
        <v>1.0267233166318868</v>
      </c>
      <c r="D1870" s="1087">
        <v>1.0005087249991858</v>
      </c>
      <c r="E1870" s="1087">
        <v>1.0088472268380952</v>
      </c>
      <c r="F1870" s="1087">
        <v>1.0070875181647616</v>
      </c>
      <c r="G1870" s="1087">
        <v>0.97953132074257732</v>
      </c>
      <c r="H1870" s="1087">
        <v>0.96388201617140667</v>
      </c>
      <c r="I1870" s="1087">
        <v>0.98950016040193756</v>
      </c>
      <c r="K1870">
        <v>1.7956446761969633</v>
      </c>
      <c r="L1870">
        <v>0</v>
      </c>
      <c r="M1870">
        <v>3.3517026961622496E-3</v>
      </c>
      <c r="N1870">
        <v>0.32693535042919802</v>
      </c>
      <c r="O1870">
        <v>0.23644603810507522</v>
      </c>
      <c r="P1870">
        <v>1.3030803462653654E-2</v>
      </c>
      <c r="Q1870">
        <v>1.5567428699460437E-3</v>
      </c>
      <c r="R1870">
        <v>3.3457258890213755E-3</v>
      </c>
      <c r="S1870">
        <v>0.34559130819143874</v>
      </c>
      <c r="T1870">
        <v>0.40560198167965983</v>
      </c>
      <c r="U1870">
        <v>0</v>
      </c>
      <c r="V1870">
        <v>0.1975797859213328</v>
      </c>
      <c r="W1870">
        <v>0.20710616330307935</v>
      </c>
      <c r="X1870">
        <v>5.2696516090047059E-2</v>
      </c>
      <c r="Y1870">
        <v>9.1059629516732823E-3</v>
      </c>
    </row>
    <row r="1871" spans="1:25" x14ac:dyDescent="0.25">
      <c r="A1871" s="1083"/>
      <c r="B1871" s="1455">
        <v>1621</v>
      </c>
      <c r="C1871" s="1087">
        <v>0.98339224066765196</v>
      </c>
      <c r="D1871" s="1087">
        <v>1.0227555681617708</v>
      </c>
      <c r="E1871" s="1087">
        <v>1.0091577835690946</v>
      </c>
      <c r="F1871" s="1087">
        <v>1.027889777300294</v>
      </c>
      <c r="G1871" s="1087">
        <v>0.98359798392231135</v>
      </c>
      <c r="H1871" s="1087">
        <v>0.96592284720742216</v>
      </c>
      <c r="I1871" s="1087">
        <v>0.99844997944719005</v>
      </c>
      <c r="K1871">
        <v>1.8495985853730359</v>
      </c>
      <c r="L1871">
        <v>0</v>
      </c>
      <c r="M1871">
        <v>3.463611614520328E-3</v>
      </c>
      <c r="N1871">
        <v>0.33817091054455162</v>
      </c>
      <c r="O1871">
        <v>0.24190047362489087</v>
      </c>
      <c r="P1871">
        <v>1.3419691596021665E-2</v>
      </c>
      <c r="Q1871">
        <v>1.6116331615765021E-3</v>
      </c>
      <c r="R1871">
        <v>3.4574300383291212E-3</v>
      </c>
      <c r="S1871">
        <v>0.36007805953224958</v>
      </c>
      <c r="T1871">
        <v>0.41398198608361525</v>
      </c>
      <c r="U1871">
        <v>0</v>
      </c>
      <c r="V1871">
        <v>0.20280275798794847</v>
      </c>
      <c r="W1871">
        <v>0.21418235262954988</v>
      </c>
      <c r="X1871">
        <v>5.404691696599357E-2</v>
      </c>
      <c r="Y1871">
        <v>9.4099848228260449E-3</v>
      </c>
    </row>
    <row r="1872" spans="1:25" x14ac:dyDescent="0.25">
      <c r="A1872" s="1083"/>
      <c r="B1872" s="1455">
        <v>1622</v>
      </c>
      <c r="C1872" s="1087">
        <v>1.0123794293683088</v>
      </c>
      <c r="D1872" s="1087">
        <v>0.99274287420875951</v>
      </c>
      <c r="E1872" s="1087">
        <v>0.98542521038365427</v>
      </c>
      <c r="F1872" s="1087">
        <v>1.0339657273056366</v>
      </c>
      <c r="G1872" s="1087">
        <v>0.98290964876196074</v>
      </c>
      <c r="H1872" s="1087">
        <v>1.0353847658018955</v>
      </c>
      <c r="I1872" s="1087">
        <v>0.981991250950076</v>
      </c>
      <c r="K1872">
        <v>1.8726700279658233</v>
      </c>
      <c r="L1872">
        <v>0</v>
      </c>
      <c r="M1872">
        <v>3.8466946287822007E-3</v>
      </c>
      <c r="N1872">
        <v>0.34937353743088057</v>
      </c>
      <c r="O1872">
        <v>0.24169189105170444</v>
      </c>
      <c r="P1872">
        <v>1.3220924016584519E-2</v>
      </c>
      <c r="Q1872">
        <v>1.5446332469536794E-3</v>
      </c>
      <c r="R1872">
        <v>3.8403159483683855E-3</v>
      </c>
      <c r="S1872">
        <v>0.36170293153056343</v>
      </c>
      <c r="T1872">
        <v>0.41628067704710392</v>
      </c>
      <c r="U1872">
        <v>0</v>
      </c>
      <c r="V1872">
        <v>0.20163106462210068</v>
      </c>
      <c r="W1872">
        <v>0.2245901447225109</v>
      </c>
      <c r="X1872">
        <v>5.2188528926188887E-2</v>
      </c>
      <c r="Y1872">
        <v>1.0452074051646597E-2</v>
      </c>
    </row>
    <row r="1873" spans="1:25" x14ac:dyDescent="0.25">
      <c r="A1873" s="1083"/>
      <c r="B1873" s="1455">
        <v>1623</v>
      </c>
      <c r="C1873" s="1087">
        <v>0.98890664963007513</v>
      </c>
      <c r="D1873" s="1087">
        <v>1.0131608050515899</v>
      </c>
      <c r="E1873" s="1087">
        <v>0.99407914694030886</v>
      </c>
      <c r="F1873" s="1087">
        <v>1.0311037792804394</v>
      </c>
      <c r="G1873" s="1087">
        <v>0.99027484264009391</v>
      </c>
      <c r="H1873" s="1087">
        <v>1.0223915571565143</v>
      </c>
      <c r="I1873" s="1087">
        <v>1.0090479898948137</v>
      </c>
      <c r="K1873">
        <v>1.8905488179597107</v>
      </c>
      <c r="L1873">
        <v>0</v>
      </c>
      <c r="M1873">
        <v>3.7790195428006848E-3</v>
      </c>
      <c r="N1873">
        <v>0.35240996343617759</v>
      </c>
      <c r="O1873">
        <v>0.24231649281574194</v>
      </c>
      <c r="P1873">
        <v>1.3475899689923502E-2</v>
      </c>
      <c r="Q1873">
        <v>1.5830800434652973E-3</v>
      </c>
      <c r="R1873">
        <v>3.7726558854026E-3</v>
      </c>
      <c r="S1873">
        <v>0.37396166206776665</v>
      </c>
      <c r="T1873">
        <v>0.41518211005621103</v>
      </c>
      <c r="U1873">
        <v>0</v>
      </c>
      <c r="V1873">
        <v>0.2028818631636288</v>
      </c>
      <c r="W1873">
        <v>0.22531098221913851</v>
      </c>
      <c r="X1873">
        <v>5.3165202460665133E-2</v>
      </c>
      <c r="Y1873">
        <v>1.0267925664387492E-2</v>
      </c>
    </row>
    <row r="1874" spans="1:25" x14ac:dyDescent="0.25">
      <c r="A1874" s="1083"/>
      <c r="B1874" s="1455">
        <v>1624</v>
      </c>
      <c r="C1874" s="1087">
        <v>1.0316622135847386</v>
      </c>
      <c r="D1874" s="1087">
        <v>1.0143943072185939</v>
      </c>
      <c r="E1874" s="1087">
        <v>1.0185989418505603</v>
      </c>
      <c r="F1874" s="1087">
        <v>1.0022014571100812</v>
      </c>
      <c r="G1874" s="1087">
        <v>1.0143231582444354</v>
      </c>
      <c r="H1874" s="1087">
        <v>0.98843554776445575</v>
      </c>
      <c r="I1874" s="1087">
        <v>0.98346620754831182</v>
      </c>
      <c r="K1874">
        <v>1.799085377692065</v>
      </c>
      <c r="L1874">
        <v>0</v>
      </c>
      <c r="M1874">
        <v>3.327658439280492E-3</v>
      </c>
      <c r="N1874">
        <v>0.33439840554263794</v>
      </c>
      <c r="O1874">
        <v>0.23406895494281243</v>
      </c>
      <c r="P1874">
        <v>1.3047904614822295E-2</v>
      </c>
      <c r="Q1874">
        <v>1.5567519533445972E-3</v>
      </c>
      <c r="R1874">
        <v>3.3218600250261381E-3</v>
      </c>
      <c r="S1874">
        <v>0.3435409183607383</v>
      </c>
      <c r="T1874">
        <v>0.40369392312498975</v>
      </c>
      <c r="U1874">
        <v>0</v>
      </c>
      <c r="V1874">
        <v>0.19598580916299629</v>
      </c>
      <c r="W1874">
        <v>0.21056019146113053</v>
      </c>
      <c r="X1874">
        <v>5.3197309005587189E-2</v>
      </c>
      <c r="Y1874">
        <v>9.0410079372582001E-3</v>
      </c>
    </row>
    <row r="1875" spans="1:25" x14ac:dyDescent="0.25">
      <c r="A1875" s="1083"/>
      <c r="B1875" s="1455">
        <v>1625</v>
      </c>
      <c r="C1875" s="1087">
        <v>0.98293246292738545</v>
      </c>
      <c r="D1875" s="1087">
        <v>0.98170279147558759</v>
      </c>
      <c r="E1875" s="1087">
        <v>0.99447235427467917</v>
      </c>
      <c r="F1875" s="1087">
        <v>0.99821013590879437</v>
      </c>
      <c r="G1875" s="1087">
        <v>0.96534965663494243</v>
      </c>
      <c r="H1875" s="1087">
        <v>0.9987635613171697</v>
      </c>
      <c r="I1875" s="1087">
        <v>0.99722896041540832</v>
      </c>
      <c r="K1875">
        <v>1.8767335520785891</v>
      </c>
      <c r="L1875">
        <v>0</v>
      </c>
      <c r="M1875">
        <v>3.7749139710506188E-3</v>
      </c>
      <c r="N1875">
        <v>0.35243856638193022</v>
      </c>
      <c r="O1875">
        <v>0.24236548411431424</v>
      </c>
      <c r="P1875">
        <v>1.3293985788678516E-2</v>
      </c>
      <c r="Q1875">
        <v>1.6136016908369019E-3</v>
      </c>
      <c r="R1875">
        <v>3.7684355562201213E-3</v>
      </c>
      <c r="S1875">
        <v>0.3739919476791248</v>
      </c>
      <c r="T1875">
        <v>0.40193959234517912</v>
      </c>
      <c r="U1875">
        <v>0</v>
      </c>
      <c r="V1875">
        <v>0.20241241475538879</v>
      </c>
      <c r="W1875">
        <v>0.22527367716060326</v>
      </c>
      <c r="X1875">
        <v>5.3154321257777019E-2</v>
      </c>
      <c r="Y1875">
        <v>1.025643931958393E-2</v>
      </c>
    </row>
    <row r="1876" spans="1:25" x14ac:dyDescent="0.25">
      <c r="A1876" s="1083"/>
      <c r="B1876" s="1455">
        <v>1626</v>
      </c>
      <c r="C1876" s="1087">
        <v>0.9964083671454248</v>
      </c>
      <c r="D1876" s="1087">
        <v>1.0112146877564387</v>
      </c>
      <c r="E1876" s="1087">
        <v>1.0001506894871091</v>
      </c>
      <c r="F1876" s="1087">
        <v>0.98881786430674845</v>
      </c>
      <c r="G1876" s="1087">
        <v>1.0078823820315137</v>
      </c>
      <c r="H1876" s="1087">
        <v>1.0011920581305247</v>
      </c>
      <c r="I1876" s="1087">
        <v>0.98652072899917098</v>
      </c>
      <c r="K1876">
        <v>1.8346970566233056</v>
      </c>
      <c r="L1876">
        <v>0</v>
      </c>
      <c r="M1876">
        <v>3.631477731535427E-3</v>
      </c>
      <c r="N1876">
        <v>0.3449734510326315</v>
      </c>
      <c r="O1876">
        <v>0.23675723292297052</v>
      </c>
      <c r="P1876">
        <v>1.3050134203515704E-2</v>
      </c>
      <c r="Q1876">
        <v>1.5825912413514696E-3</v>
      </c>
      <c r="R1876">
        <v>3.6252351039635544E-3</v>
      </c>
      <c r="S1876">
        <v>0.35954176678490019</v>
      </c>
      <c r="T1876">
        <v>0.39819165354496655</v>
      </c>
      <c r="U1876">
        <v>0</v>
      </c>
      <c r="V1876">
        <v>0.19859957652820132</v>
      </c>
      <c r="W1876">
        <v>0.21971955857757294</v>
      </c>
      <c r="X1876">
        <v>5.242063952020673E-2</v>
      </c>
      <c r="Y1876">
        <v>9.8666948945579525E-3</v>
      </c>
    </row>
    <row r="1877" spans="1:25" x14ac:dyDescent="0.25">
      <c r="A1877" s="1083"/>
      <c r="B1877" s="1455">
        <v>1627</v>
      </c>
      <c r="C1877" s="1087">
        <v>0.97445653901128637</v>
      </c>
      <c r="D1877" s="1087">
        <v>1.009196529828627</v>
      </c>
      <c r="E1877" s="1087">
        <v>1.0022075635187289</v>
      </c>
      <c r="F1877" s="1087">
        <v>1.0030045405138681</v>
      </c>
      <c r="G1877" s="1087">
        <v>1.0419839107134687</v>
      </c>
      <c r="H1877" s="1087">
        <v>0.98701321337144921</v>
      </c>
      <c r="I1877" s="1087">
        <v>1.0051128967433769</v>
      </c>
      <c r="K1877">
        <v>1.8692567900390054</v>
      </c>
      <c r="L1877">
        <v>0</v>
      </c>
      <c r="M1877">
        <v>3.649420738397904E-3</v>
      </c>
      <c r="N1877">
        <v>0.34885225527967167</v>
      </c>
      <c r="O1877">
        <v>0.24136494709597506</v>
      </c>
      <c r="P1877">
        <v>1.3375045389586523E-2</v>
      </c>
      <c r="Q1877">
        <v>1.6230876942420079E-3</v>
      </c>
      <c r="R1877">
        <v>3.6430592055405739E-3</v>
      </c>
      <c r="S1877">
        <v>0.37237608918289439</v>
      </c>
      <c r="T1877">
        <v>0.40391706287949208</v>
      </c>
      <c r="U1877">
        <v>0</v>
      </c>
      <c r="V1877">
        <v>0.20234884139599543</v>
      </c>
      <c r="W1877">
        <v>0.22190491781934865</v>
      </c>
      <c r="X1877">
        <v>5.3585698611316637E-2</v>
      </c>
      <c r="Y1877">
        <v>9.9152062233370929E-3</v>
      </c>
    </row>
    <row r="1878" spans="1:25" x14ac:dyDescent="0.25">
      <c r="A1878" s="1083"/>
      <c r="B1878" s="1455">
        <v>1628</v>
      </c>
      <c r="C1878" s="1087">
        <v>1.0141435032587396</v>
      </c>
      <c r="D1878" s="1087">
        <v>1.0054307947759467</v>
      </c>
      <c r="E1878" s="1087">
        <v>1.0411801588908642</v>
      </c>
      <c r="F1878" s="1087">
        <v>0.9991472591217001</v>
      </c>
      <c r="G1878" s="1087">
        <v>0.99733816074202697</v>
      </c>
      <c r="H1878" s="1087">
        <v>1.0032876907000257</v>
      </c>
      <c r="I1878" s="1087">
        <v>0.99490610045623007</v>
      </c>
      <c r="K1878">
        <v>1.8514519296126091</v>
      </c>
      <c r="L1878">
        <v>0</v>
      </c>
      <c r="M1878">
        <v>3.2967027954914829E-3</v>
      </c>
      <c r="N1878">
        <v>0.35487882339251581</v>
      </c>
      <c r="O1878">
        <v>0.23699601203136303</v>
      </c>
      <c r="P1878">
        <v>1.3484954317552362E-2</v>
      </c>
      <c r="Q1878">
        <v>1.6273833984862536E-3</v>
      </c>
      <c r="R1878">
        <v>3.291051646638142E-3</v>
      </c>
      <c r="S1878">
        <v>0.35821005944438911</v>
      </c>
      <c r="T1878">
        <v>0.40260322849261959</v>
      </c>
      <c r="U1878">
        <v>0</v>
      </c>
      <c r="V1878">
        <v>0.19814938554969627</v>
      </c>
      <c r="W1878">
        <v>0.22039423884138942</v>
      </c>
      <c r="X1878">
        <v>5.6156337606183993E-2</v>
      </c>
      <c r="Y1878">
        <v>8.9571576872652815E-3</v>
      </c>
    </row>
    <row r="1879" spans="1:25" x14ac:dyDescent="0.25">
      <c r="A1879" s="1083"/>
      <c r="B1879" s="1455">
        <v>1629</v>
      </c>
      <c r="C1879" s="1087">
        <v>1.0386770106629684</v>
      </c>
      <c r="D1879" s="1087">
        <v>1.0081798653070615</v>
      </c>
      <c r="E1879" s="1087">
        <v>0.97346281804329893</v>
      </c>
      <c r="F1879" s="1087">
        <v>1.0096670648336705</v>
      </c>
      <c r="G1879" s="1087">
        <v>0.98303701897081408</v>
      </c>
      <c r="H1879" s="1087">
        <v>0.9537994593075394</v>
      </c>
      <c r="I1879" s="1087">
        <v>1.039955900428108</v>
      </c>
      <c r="K1879">
        <v>1.7708756213433299</v>
      </c>
      <c r="L1879">
        <v>0</v>
      </c>
      <c r="M1879">
        <v>3.5089400328201506E-3</v>
      </c>
      <c r="N1879">
        <v>0.3072109427749235</v>
      </c>
      <c r="O1879">
        <v>0.23406475596429338</v>
      </c>
      <c r="P1879">
        <v>1.2807503486958851E-2</v>
      </c>
      <c r="Q1879">
        <v>1.4771087676401882E-3</v>
      </c>
      <c r="R1879">
        <v>3.5026085499266731E-3</v>
      </c>
      <c r="S1879">
        <v>0.35526372260545397</v>
      </c>
      <c r="T1879">
        <v>0.40642579311470733</v>
      </c>
      <c r="U1879">
        <v>0</v>
      </c>
      <c r="V1879">
        <v>0.19595282353138682</v>
      </c>
      <c r="W1879">
        <v>0.19899133590375234</v>
      </c>
      <c r="X1879">
        <v>4.9155020838803208E-2</v>
      </c>
      <c r="Y1879">
        <v>9.5329458383022325E-3</v>
      </c>
    </row>
    <row r="1880" spans="1:25" x14ac:dyDescent="0.25">
      <c r="A1880" s="1083"/>
      <c r="B1880" s="1455">
        <v>1630</v>
      </c>
      <c r="C1880" s="1087">
        <v>1.0261750875545048</v>
      </c>
      <c r="D1880" s="1087">
        <v>1.0133300541637733</v>
      </c>
      <c r="E1880" s="1087">
        <v>0.95955026455234105</v>
      </c>
      <c r="F1880" s="1087">
        <v>1.0191049255701441</v>
      </c>
      <c r="G1880" s="1087">
        <v>0.9971173806910737</v>
      </c>
      <c r="H1880" s="1087">
        <v>1.0313105273387362</v>
      </c>
      <c r="I1880" s="1087">
        <v>0.97927333327128885</v>
      </c>
      <c r="K1880">
        <v>1.8146383558895238</v>
      </c>
      <c r="L1880">
        <v>0</v>
      </c>
      <c r="M1880">
        <v>3.9397567969854308E-3</v>
      </c>
      <c r="N1880">
        <v>0.33060140079771222</v>
      </c>
      <c r="O1880">
        <v>0.2358832488218521</v>
      </c>
      <c r="P1880">
        <v>1.2684204006123615E-2</v>
      </c>
      <c r="Q1880">
        <v>1.4697214339426041E-3</v>
      </c>
      <c r="R1880">
        <v>3.9331776054530093E-3</v>
      </c>
      <c r="S1880">
        <v>0.35081128374095089</v>
      </c>
      <c r="T1880">
        <v>0.41014103595405871</v>
      </c>
      <c r="U1880">
        <v>0</v>
      </c>
      <c r="V1880">
        <v>0.19766611627853417</v>
      </c>
      <c r="W1880">
        <v>0.21605990135951933</v>
      </c>
      <c r="X1880">
        <v>4.8623209817966827E-2</v>
      </c>
      <c r="Y1880">
        <v>1.0704812870393914E-2</v>
      </c>
    </row>
    <row r="1881" spans="1:25" x14ac:dyDescent="0.25">
      <c r="A1881" s="1083"/>
      <c r="B1881" s="1455">
        <v>1631</v>
      </c>
      <c r="C1881" s="1087">
        <v>1.0015689748697201</v>
      </c>
      <c r="D1881" s="1087">
        <v>1.0030453134435215</v>
      </c>
      <c r="E1881" s="1087">
        <v>0.97361131087909014</v>
      </c>
      <c r="F1881" s="1087">
        <v>0.99716168700499452</v>
      </c>
      <c r="G1881" s="1087">
        <v>0.98257270680377906</v>
      </c>
      <c r="H1881" s="1087">
        <v>1.0126418856531552</v>
      </c>
      <c r="I1881" s="1087">
        <v>0.97744299216365205</v>
      </c>
      <c r="K1881">
        <v>1.8299888061719762</v>
      </c>
      <c r="L1881">
        <v>0</v>
      </c>
      <c r="M1881">
        <v>3.8744103819117514E-3</v>
      </c>
      <c r="N1881">
        <v>0.33939853416178095</v>
      </c>
      <c r="O1881">
        <v>0.23753940275968863</v>
      </c>
      <c r="P1881">
        <v>1.2815667219377927E-2</v>
      </c>
      <c r="Q1881">
        <v>1.5352135233640371E-3</v>
      </c>
      <c r="R1881">
        <v>3.8678328839713686E-3</v>
      </c>
      <c r="S1881">
        <v>0.35771621618759675</v>
      </c>
      <c r="T1881">
        <v>0.40139282756407302</v>
      </c>
      <c r="U1881">
        <v>0</v>
      </c>
      <c r="V1881">
        <v>0.1990337451577307</v>
      </c>
      <c r="W1881">
        <v>0.21981956372023062</v>
      </c>
      <c r="X1881">
        <v>5.0217247296670771E-2</v>
      </c>
      <c r="Y1881">
        <v>1.0526966079402535E-2</v>
      </c>
    </row>
    <row r="1882" spans="1:25" x14ac:dyDescent="0.25">
      <c r="A1882" s="1083"/>
      <c r="B1882" s="1455">
        <v>1632</v>
      </c>
      <c r="C1882" s="1087">
        <v>0.99133590741238309</v>
      </c>
      <c r="D1882" s="1087">
        <v>0.9955763133456671</v>
      </c>
      <c r="E1882" s="1087">
        <v>0.99451661799697222</v>
      </c>
      <c r="F1882" s="1087">
        <v>0.96091196340778817</v>
      </c>
      <c r="G1882" s="1087">
        <v>0.98238499914325916</v>
      </c>
      <c r="H1882" s="1087">
        <v>0.97187523397139608</v>
      </c>
      <c r="I1882" s="1087">
        <v>1.0031541245522106</v>
      </c>
      <c r="K1882">
        <v>1.8139164198684488</v>
      </c>
      <c r="L1882">
        <v>0</v>
      </c>
      <c r="M1882">
        <v>3.6137068917785221E-3</v>
      </c>
      <c r="N1882">
        <v>0.33741600713478426</v>
      </c>
      <c r="O1882">
        <v>0.23542041572152281</v>
      </c>
      <c r="P1882">
        <v>1.2903216258007135E-2</v>
      </c>
      <c r="Q1882">
        <v>1.5910429826983547E-3</v>
      </c>
      <c r="R1882">
        <v>3.6073199273858577E-3</v>
      </c>
      <c r="S1882">
        <v>0.36515788829907381</v>
      </c>
      <c r="T1882">
        <v>0.38692135573882336</v>
      </c>
      <c r="U1882">
        <v>0</v>
      </c>
      <c r="V1882">
        <v>0.19747455251787704</v>
      </c>
      <c r="W1882">
        <v>0.21566548322897636</v>
      </c>
      <c r="X1882">
        <v>5.1554909261427702E-2</v>
      </c>
      <c r="Y1882">
        <v>9.8179356896498302E-3</v>
      </c>
    </row>
    <row r="1883" spans="1:25" x14ac:dyDescent="0.25">
      <c r="A1883" s="1083"/>
      <c r="B1883" s="1455">
        <v>1633</v>
      </c>
      <c r="C1883" s="1087">
        <v>1.0317354237213578</v>
      </c>
      <c r="D1883" s="1087">
        <v>1.0046462683104238</v>
      </c>
      <c r="E1883" s="1087">
        <v>0.97935485216371354</v>
      </c>
      <c r="F1883" s="1087">
        <v>0.97126449431105677</v>
      </c>
      <c r="G1883" s="1087">
        <v>0.99694815818446858</v>
      </c>
      <c r="H1883" s="1087">
        <v>1.0035788928003304</v>
      </c>
      <c r="I1883" s="1087">
        <v>0.9899284431916352</v>
      </c>
      <c r="K1883">
        <v>1.7785860427499092</v>
      </c>
      <c r="L1883">
        <v>0</v>
      </c>
      <c r="M1883">
        <v>3.6806069989665921E-3</v>
      </c>
      <c r="N1883">
        <v>0.32812708613240787</v>
      </c>
      <c r="O1883">
        <v>0.23089750228625872</v>
      </c>
      <c r="P1883">
        <v>1.2554143000340252E-2</v>
      </c>
      <c r="Q1883">
        <v>1.4986314223548423E-3</v>
      </c>
      <c r="R1883">
        <v>3.6743001430919373E-3</v>
      </c>
      <c r="S1883">
        <v>0.34985857845658935</v>
      </c>
      <c r="T1883">
        <v>0.39100151991874321</v>
      </c>
      <c r="U1883">
        <v>0</v>
      </c>
      <c r="V1883">
        <v>0.19363405668710418</v>
      </c>
      <c r="W1883">
        <v>0.21174444052741034</v>
      </c>
      <c r="X1883">
        <v>4.9276157417793565E-2</v>
      </c>
      <c r="Y1883">
        <v>1.0000233756779607E-2</v>
      </c>
    </row>
    <row r="1884" spans="1:25" x14ac:dyDescent="0.25">
      <c r="A1884" s="1083"/>
      <c r="B1884" s="1455">
        <v>1634</v>
      </c>
      <c r="C1884" s="1087">
        <v>0.98621569082907967</v>
      </c>
      <c r="D1884" s="1087">
        <v>1.011742324417588</v>
      </c>
      <c r="E1884" s="1087">
        <v>1.0187045785703208</v>
      </c>
      <c r="F1884" s="1087">
        <v>0.9856961560494264</v>
      </c>
      <c r="G1884" s="1087">
        <v>1.0065174939689032</v>
      </c>
      <c r="H1884" s="1087">
        <v>1.0195211386530889</v>
      </c>
      <c r="I1884" s="1087">
        <v>0.99398155285627499</v>
      </c>
      <c r="K1884">
        <v>1.8722630926698278</v>
      </c>
      <c r="L1884">
        <v>0</v>
      </c>
      <c r="M1884">
        <v>3.5958280337213991E-3</v>
      </c>
      <c r="N1884">
        <v>0.36148291863065507</v>
      </c>
      <c r="O1884">
        <v>0.23783499118534321</v>
      </c>
      <c r="P1884">
        <v>1.3364189510873514E-2</v>
      </c>
      <c r="Q1884">
        <v>1.6303776283360801E-3</v>
      </c>
      <c r="R1884">
        <v>3.5897573795293726E-3</v>
      </c>
      <c r="S1884">
        <v>0.36944473093384073</v>
      </c>
      <c r="T1884">
        <v>0.39704610886289859</v>
      </c>
      <c r="U1884">
        <v>0</v>
      </c>
      <c r="V1884">
        <v>0.19951509418654464</v>
      </c>
      <c r="W1884">
        <v>0.22759964598043714</v>
      </c>
      <c r="X1884">
        <v>5.4580970181213724E-2</v>
      </c>
      <c r="Y1884">
        <v>9.7701362238768255E-3</v>
      </c>
    </row>
    <row r="1885" spans="1:25" x14ac:dyDescent="0.25">
      <c r="A1885" s="1083"/>
      <c r="B1885" s="1455">
        <v>1635</v>
      </c>
      <c r="C1885" s="1087">
        <v>1.0098418764026944</v>
      </c>
      <c r="D1885" s="1087">
        <v>0.9801079697468138</v>
      </c>
      <c r="E1885" s="1087">
        <v>1.0152917512327209</v>
      </c>
      <c r="F1885" s="1087">
        <v>1.0145694620820482</v>
      </c>
      <c r="G1885" s="1087">
        <v>0.99445638498482469</v>
      </c>
      <c r="H1885" s="1087">
        <v>0.98660210794182379</v>
      </c>
      <c r="I1885" s="1087">
        <v>0.99514949745907089</v>
      </c>
      <c r="K1885">
        <v>1.8568973348757398</v>
      </c>
      <c r="L1885">
        <v>0</v>
      </c>
      <c r="M1885">
        <v>3.4814181396977525E-3</v>
      </c>
      <c r="N1885">
        <v>0.34634298138248015</v>
      </c>
      <c r="O1885">
        <v>0.24149987998588957</v>
      </c>
      <c r="P1885">
        <v>1.3405620381519254E-2</v>
      </c>
      <c r="Q1885">
        <v>1.6067916153580748E-3</v>
      </c>
      <c r="R1885">
        <v>3.4753715256714678E-3</v>
      </c>
      <c r="S1885">
        <v>0.36164528255462686</v>
      </c>
      <c r="T1885">
        <v>0.40865527080258546</v>
      </c>
      <c r="U1885">
        <v>0</v>
      </c>
      <c r="V1885">
        <v>0.20113353827943792</v>
      </c>
      <c r="W1885">
        <v>0.21852671931764209</v>
      </c>
      <c r="X1885">
        <v>5.4628481533260553E-2</v>
      </c>
      <c r="Y1885">
        <v>9.4588156369621989E-3</v>
      </c>
    </row>
    <row r="1886" spans="1:25" x14ac:dyDescent="0.25">
      <c r="A1886" s="1083"/>
      <c r="B1886" s="1455">
        <v>1636</v>
      </c>
      <c r="C1886" s="1087">
        <v>1.0084945275283519</v>
      </c>
      <c r="D1886" s="1087">
        <v>1.017378691995203</v>
      </c>
      <c r="E1886" s="1087">
        <v>0.98454664203400633</v>
      </c>
      <c r="F1886" s="1087">
        <v>0.98218648167174338</v>
      </c>
      <c r="G1886" s="1087">
        <v>0.99882548889219536</v>
      </c>
      <c r="H1886" s="1087">
        <v>1.0386486245112121</v>
      </c>
      <c r="I1886" s="1087">
        <v>0.98153056857237886</v>
      </c>
      <c r="K1886">
        <v>1.8294956771188498</v>
      </c>
      <c r="L1886">
        <v>0</v>
      </c>
      <c r="M1886">
        <v>3.8300418890118925E-3</v>
      </c>
      <c r="N1886">
        <v>0.34692853620809366</v>
      </c>
      <c r="O1886">
        <v>0.23372139362394487</v>
      </c>
      <c r="P1886">
        <v>1.2818003752165193E-2</v>
      </c>
      <c r="Q1886">
        <v>1.5340059645640907E-3</v>
      </c>
      <c r="R1886">
        <v>3.823689736708373E-3</v>
      </c>
      <c r="S1886">
        <v>0.3586211313554305</v>
      </c>
      <c r="T1886">
        <v>0.39542887627144274</v>
      </c>
      <c r="U1886">
        <v>0</v>
      </c>
      <c r="V1886">
        <v>0.19633859899140049</v>
      </c>
      <c r="W1886">
        <v>0.22314226124408296</v>
      </c>
      <c r="X1886">
        <v>5.0562398875691895E-2</v>
      </c>
      <c r="Y1886">
        <v>1.0406822984337245E-2</v>
      </c>
    </row>
    <row r="1887" spans="1:25" x14ac:dyDescent="0.25">
      <c r="A1887" s="1083"/>
      <c r="B1887" s="1455">
        <v>1637</v>
      </c>
      <c r="C1887" s="1087">
        <v>1.0130911258763766</v>
      </c>
      <c r="D1887" s="1087">
        <v>0.99115152696540432</v>
      </c>
      <c r="E1887" s="1087">
        <v>1.0034998146116159</v>
      </c>
      <c r="F1887" s="1087">
        <v>1.0265913634919592</v>
      </c>
      <c r="G1887" s="1087">
        <v>0.98209527767370286</v>
      </c>
      <c r="H1887" s="1087">
        <v>0.98355219803017135</v>
      </c>
      <c r="I1887" s="1087">
        <v>1.0082322186574715</v>
      </c>
      <c r="K1887">
        <v>1.8488312469391386</v>
      </c>
      <c r="L1887">
        <v>0</v>
      </c>
      <c r="M1887">
        <v>3.5223556429828076E-3</v>
      </c>
      <c r="N1887">
        <v>0.33803545405742597</v>
      </c>
      <c r="O1887">
        <v>0.24119359073641131</v>
      </c>
      <c r="P1887">
        <v>1.3362837712848288E-2</v>
      </c>
      <c r="Q1887">
        <v>1.5746620628616058E-3</v>
      </c>
      <c r="R1887">
        <v>3.516208667046156E-3</v>
      </c>
      <c r="S1887">
        <v>0.36225503968947714</v>
      </c>
      <c r="T1887">
        <v>0.41342369873141838</v>
      </c>
      <c r="U1887">
        <v>0</v>
      </c>
      <c r="V1887">
        <v>0.20113347596527634</v>
      </c>
      <c r="W1887">
        <v>0.21485117594250011</v>
      </c>
      <c r="X1887">
        <v>5.3437498143032246E-2</v>
      </c>
      <c r="Y1887">
        <v>9.5699608738240641E-3</v>
      </c>
    </row>
    <row r="1888" spans="1:25" x14ac:dyDescent="0.25">
      <c r="A1888" s="1083"/>
      <c r="B1888" s="1455">
        <v>1638</v>
      </c>
      <c r="C1888" s="1087">
        <v>0.99362629945850622</v>
      </c>
      <c r="D1888" s="1087">
        <v>1.0167615733502704</v>
      </c>
      <c r="E1888" s="1087">
        <v>1.0009449931762993</v>
      </c>
      <c r="F1888" s="1087">
        <v>1.0166757257778583</v>
      </c>
      <c r="G1888" s="1087">
        <v>1.0096091002475578</v>
      </c>
      <c r="H1888" s="1087">
        <v>0.96054760002604889</v>
      </c>
      <c r="I1888" s="1087">
        <v>0.99973926459651752</v>
      </c>
      <c r="K1888">
        <v>1.8261459600368755</v>
      </c>
      <c r="L1888">
        <v>0</v>
      </c>
      <c r="M1888">
        <v>3.4776879331841213E-3</v>
      </c>
      <c r="N1888">
        <v>0.33114125671790651</v>
      </c>
      <c r="O1888">
        <v>0.23981243780181444</v>
      </c>
      <c r="P1888">
        <v>1.3208064110544811E-2</v>
      </c>
      <c r="Q1888">
        <v>1.5848940038430204E-3</v>
      </c>
      <c r="R1888">
        <v>3.4714516515491245E-3</v>
      </c>
      <c r="S1888">
        <v>0.35692580712540484</v>
      </c>
      <c r="T1888">
        <v>0.40941476001714183</v>
      </c>
      <c r="U1888">
        <v>0</v>
      </c>
      <c r="V1888">
        <v>0.20099470705548861</v>
      </c>
      <c r="W1888">
        <v>0.21080498962406108</v>
      </c>
      <c r="X1888">
        <v>5.2817132830515034E-2</v>
      </c>
      <c r="Y1888">
        <v>9.4481470317873371E-3</v>
      </c>
    </row>
    <row r="1889" spans="1:25" x14ac:dyDescent="0.25">
      <c r="A1889" s="1083"/>
      <c r="B1889" s="1455">
        <v>1639</v>
      </c>
      <c r="C1889" s="1087">
        <v>1.0086974921399099</v>
      </c>
      <c r="D1889" s="1087">
        <v>1.0193112572836533</v>
      </c>
      <c r="E1889" s="1087">
        <v>1.0055418753323986</v>
      </c>
      <c r="F1889" s="1087">
        <v>1.0017212967618183</v>
      </c>
      <c r="G1889" s="1087">
        <v>0.99230803175392579</v>
      </c>
      <c r="H1889" s="1087">
        <v>0.99497364761376161</v>
      </c>
      <c r="I1889" s="1087">
        <v>0.99585061876159808</v>
      </c>
      <c r="K1889">
        <v>1.8244052326934337</v>
      </c>
      <c r="L1889">
        <v>0</v>
      </c>
      <c r="M1889">
        <v>3.5103310835506137E-3</v>
      </c>
      <c r="N1889">
        <v>0.3389911895057412</v>
      </c>
      <c r="O1889">
        <v>0.23606883698920925</v>
      </c>
      <c r="P1889">
        <v>1.3115876277167688E-2</v>
      </c>
      <c r="Q1889">
        <v>1.5672960378425127E-3</v>
      </c>
      <c r="R1889">
        <v>3.5042515956113544E-3</v>
      </c>
      <c r="S1889">
        <v>0.35588431324378433</v>
      </c>
      <c r="T1889">
        <v>0.40342058506175754</v>
      </c>
      <c r="U1889">
        <v>0</v>
      </c>
      <c r="V1889">
        <v>0.19800173877424387</v>
      </c>
      <c r="W1889">
        <v>0.2151848273274935</v>
      </c>
      <c r="X1889">
        <v>5.2639231297107875E-2</v>
      </c>
      <c r="Y1889">
        <v>9.5374176670260727E-3</v>
      </c>
    </row>
    <row r="1890" spans="1:25" x14ac:dyDescent="0.25">
      <c r="A1890" s="1083"/>
      <c r="B1890" s="1455">
        <v>1640</v>
      </c>
      <c r="C1890" s="1087">
        <v>1.0325615375717927</v>
      </c>
      <c r="D1890" s="1087">
        <v>1.0127992241038506</v>
      </c>
      <c r="E1890" s="1087">
        <v>1.0324007061900369</v>
      </c>
      <c r="F1890" s="1087">
        <v>1.0067595934831408</v>
      </c>
      <c r="G1890" s="1087">
        <v>1.0333131532668756</v>
      </c>
      <c r="H1890" s="1087">
        <v>0.98792377217977911</v>
      </c>
      <c r="I1890" s="1087">
        <v>0.98040704316840088</v>
      </c>
      <c r="K1890">
        <v>1.8078977426768832</v>
      </c>
      <c r="L1890">
        <v>0</v>
      </c>
      <c r="M1890">
        <v>3.2328007084483127E-3</v>
      </c>
      <c r="N1890">
        <v>0.33881458847841589</v>
      </c>
      <c r="O1890">
        <v>0.23483312942942156</v>
      </c>
      <c r="P1890">
        <v>1.3198843656132284E-2</v>
      </c>
      <c r="Q1890">
        <v>1.5791309145872382E-3</v>
      </c>
      <c r="R1890">
        <v>3.2271656942060565E-3</v>
      </c>
      <c r="S1890">
        <v>0.34252651112490118</v>
      </c>
      <c r="T1890">
        <v>0.40561566850412573</v>
      </c>
      <c r="U1890">
        <v>0</v>
      </c>
      <c r="V1890">
        <v>0.19644126170814127</v>
      </c>
      <c r="W1890">
        <v>0.21154359591094782</v>
      </c>
      <c r="X1890">
        <v>5.4567366779709081E-2</v>
      </c>
      <c r="Y1890">
        <v>8.7832811847437034E-3</v>
      </c>
    </row>
    <row r="1891" spans="1:25" x14ac:dyDescent="0.25">
      <c r="A1891" s="1083"/>
      <c r="B1891" s="1455">
        <v>1641</v>
      </c>
      <c r="C1891" s="1087">
        <v>1.0274593052916146</v>
      </c>
      <c r="D1891" s="1087">
        <v>0.99691022488402614</v>
      </c>
      <c r="E1891" s="1087">
        <v>1.0375373294487535</v>
      </c>
      <c r="F1891" s="1087">
        <v>1.0068988075163283</v>
      </c>
      <c r="G1891" s="1087">
        <v>1.0094328665501795</v>
      </c>
      <c r="H1891" s="1087">
        <v>0.9532677678978807</v>
      </c>
      <c r="I1891" s="1087">
        <v>1.0349188563439098</v>
      </c>
      <c r="K1891">
        <v>1.8203516887000206</v>
      </c>
      <c r="L1891">
        <v>0</v>
      </c>
      <c r="M1891">
        <v>3.1291079951736873E-3</v>
      </c>
      <c r="N1891">
        <v>0.33309525194537282</v>
      </c>
      <c r="O1891">
        <v>0.23710884947083627</v>
      </c>
      <c r="P1891">
        <v>1.3518276206485253E-2</v>
      </c>
      <c r="Q1891">
        <v>1.6056507430530506E-3</v>
      </c>
      <c r="R1891">
        <v>3.1234689495428826E-3</v>
      </c>
      <c r="S1891">
        <v>0.36030243955904662</v>
      </c>
      <c r="T1891">
        <v>0.40570385816775162</v>
      </c>
      <c r="U1891">
        <v>0</v>
      </c>
      <c r="V1891">
        <v>0.19785082808620302</v>
      </c>
      <c r="W1891">
        <v>0.20732343702585695</v>
      </c>
      <c r="X1891">
        <v>5.5347683711649963E-2</v>
      </c>
      <c r="Y1891">
        <v>8.5010528293932349E-3</v>
      </c>
    </row>
    <row r="1892" spans="1:25" x14ac:dyDescent="0.25">
      <c r="A1892" s="1083"/>
      <c r="B1892" s="1455">
        <v>1642</v>
      </c>
      <c r="C1892" s="1087">
        <v>0.98026740737873208</v>
      </c>
      <c r="D1892" s="1087">
        <v>1.04223527290442</v>
      </c>
      <c r="E1892" s="1087">
        <v>1.0204392192178604</v>
      </c>
      <c r="F1892" s="1087">
        <v>1.0202799495422248</v>
      </c>
      <c r="G1892" s="1087">
        <v>0.99865118150953203</v>
      </c>
      <c r="H1892" s="1087">
        <v>1.013111288908044</v>
      </c>
      <c r="I1892" s="1087">
        <v>1.0047687274214958</v>
      </c>
      <c r="K1892">
        <v>1.8807263779537449</v>
      </c>
      <c r="L1892">
        <v>0</v>
      </c>
      <c r="M1892">
        <v>3.5248856421077183E-3</v>
      </c>
      <c r="N1892">
        <v>0.35622288358246801</v>
      </c>
      <c r="O1892">
        <v>0.23966376827792324</v>
      </c>
      <c r="P1892">
        <v>1.3588872784567231E-2</v>
      </c>
      <c r="Q1892">
        <v>1.6238723953112088E-3</v>
      </c>
      <c r="R1892">
        <v>3.5188717055872794E-3</v>
      </c>
      <c r="S1892">
        <v>0.3684572920077322</v>
      </c>
      <c r="T1892">
        <v>0.41098760208232327</v>
      </c>
      <c r="U1892">
        <v>0</v>
      </c>
      <c r="V1892">
        <v>0.20155627908295051</v>
      </c>
      <c r="W1892">
        <v>0.22404836201781445</v>
      </c>
      <c r="X1892">
        <v>5.5006250872311362E-2</v>
      </c>
      <c r="Y1892">
        <v>9.577208786862584E-3</v>
      </c>
    </row>
    <row r="1893" spans="1:25" x14ac:dyDescent="0.25">
      <c r="A1893" s="1083"/>
      <c r="B1893" s="1455">
        <v>1643</v>
      </c>
      <c r="C1893" s="1087">
        <v>1.00768439391857</v>
      </c>
      <c r="D1893" s="1087">
        <v>1.0163142658991744</v>
      </c>
      <c r="E1893" s="1087">
        <v>1.0337036419672228</v>
      </c>
      <c r="F1893" s="1087">
        <v>1.0179488451872281</v>
      </c>
      <c r="G1893" s="1087">
        <v>1.006122631466416</v>
      </c>
      <c r="H1893" s="1087">
        <v>0.9746317737657455</v>
      </c>
      <c r="I1893" s="1087">
        <v>0.98102970756380314</v>
      </c>
      <c r="K1893">
        <v>1.8322484642101196</v>
      </c>
      <c r="L1893">
        <v>0</v>
      </c>
      <c r="M1893">
        <v>3.2537058797667529E-3</v>
      </c>
      <c r="N1893">
        <v>0.34235252373330877</v>
      </c>
      <c r="O1893">
        <v>0.23874883593280807</v>
      </c>
      <c r="P1893">
        <v>1.3401504930933872E-2</v>
      </c>
      <c r="Q1893">
        <v>1.6180818156676341E-3</v>
      </c>
      <c r="R1893">
        <v>3.2479551731404623E-3</v>
      </c>
      <c r="S1893">
        <v>0.34824577056416334</v>
      </c>
      <c r="T1893">
        <v>0.41013195321345702</v>
      </c>
      <c r="U1893">
        <v>0</v>
      </c>
      <c r="V1893">
        <v>0.19980476841867989</v>
      </c>
      <c r="W1893">
        <v>0.21358286201851201</v>
      </c>
      <c r="X1893">
        <v>5.552805099606134E-2</v>
      </c>
      <c r="Y1893">
        <v>8.8398632931532672E-3</v>
      </c>
    </row>
    <row r="1894" spans="1:25" x14ac:dyDescent="0.25">
      <c r="A1894" s="1083"/>
      <c r="B1894" s="1455">
        <v>1644</v>
      </c>
      <c r="C1894" s="1087">
        <v>1.0263748581350365</v>
      </c>
      <c r="D1894" s="1087">
        <v>1.0114111914735993</v>
      </c>
      <c r="E1894" s="1087">
        <v>0.99280656667055789</v>
      </c>
      <c r="F1894" s="1087">
        <v>1.0259348648819484</v>
      </c>
      <c r="G1894" s="1087">
        <v>1.0327647988551023</v>
      </c>
      <c r="H1894" s="1087">
        <v>0.99597737970239386</v>
      </c>
      <c r="I1894" s="1087">
        <v>0.97727783499545673</v>
      </c>
      <c r="K1894">
        <v>1.8113715118968277</v>
      </c>
      <c r="L1894">
        <v>0</v>
      </c>
      <c r="M1894">
        <v>3.5582215459388686E-3</v>
      </c>
      <c r="N1894">
        <v>0.33051798589149212</v>
      </c>
      <c r="O1894">
        <v>0.23728677163008063</v>
      </c>
      <c r="P1894">
        <v>1.2978054712194393E-2</v>
      </c>
      <c r="Q1894">
        <v>1.5242685824743715E-3</v>
      </c>
      <c r="R1894">
        <v>3.5520699800213268E-3</v>
      </c>
      <c r="S1894">
        <v>0.34468810526913535</v>
      </c>
      <c r="T1894">
        <v>0.41309293196960661</v>
      </c>
      <c r="U1894">
        <v>0</v>
      </c>
      <c r="V1894">
        <v>0.19851109867721306</v>
      </c>
      <c r="W1894">
        <v>0.21148341384846445</v>
      </c>
      <c r="X1894">
        <v>5.1627469336020269E-2</v>
      </c>
      <c r="Y1894">
        <v>9.6675635460638301E-3</v>
      </c>
    </row>
    <row r="1895" spans="1:25" x14ac:dyDescent="0.25">
      <c r="A1895" s="1083"/>
      <c r="B1895" s="1455">
        <v>1645</v>
      </c>
      <c r="C1895" s="1087">
        <v>0.96779049675734907</v>
      </c>
      <c r="D1895" s="1087">
        <v>1.0258427506968733</v>
      </c>
      <c r="E1895" s="1087">
        <v>1.0180739144501814</v>
      </c>
      <c r="F1895" s="1087">
        <v>1.0209644950936867</v>
      </c>
      <c r="G1895" s="1087">
        <v>1.0209889214972414</v>
      </c>
      <c r="H1895" s="1087">
        <v>1.0103181759543316</v>
      </c>
      <c r="I1895" s="1087">
        <v>1.0057490303963124</v>
      </c>
      <c r="K1895">
        <v>1.905275061718829</v>
      </c>
      <c r="L1895">
        <v>0</v>
      </c>
      <c r="M1895">
        <v>3.6091060309774627E-3</v>
      </c>
      <c r="N1895">
        <v>0.36211433288008138</v>
      </c>
      <c r="O1895">
        <v>0.24291219301633613</v>
      </c>
      <c r="P1895">
        <v>1.3709763536301116E-2</v>
      </c>
      <c r="Q1895">
        <v>1.6511453720870002E-3</v>
      </c>
      <c r="R1895">
        <v>3.6029459906683869E-3</v>
      </c>
      <c r="S1895">
        <v>0.37633004261642916</v>
      </c>
      <c r="T1895">
        <v>0.41124851936637918</v>
      </c>
      <c r="U1895">
        <v>0</v>
      </c>
      <c r="V1895">
        <v>0.20386585819016434</v>
      </c>
      <c r="W1895">
        <v>0.22808583058014725</v>
      </c>
      <c r="X1895">
        <v>5.5557504925437276E-2</v>
      </c>
      <c r="Y1895">
        <v>9.8060312757727308E-3</v>
      </c>
    </row>
    <row r="1896" spans="1:25" x14ac:dyDescent="0.25">
      <c r="A1896" s="1083"/>
      <c r="B1896" s="1455">
        <v>1646</v>
      </c>
      <c r="C1896" s="1087">
        <v>1.0143692443227135</v>
      </c>
      <c r="D1896" s="1087">
        <v>0.96296005503699067</v>
      </c>
      <c r="E1896" s="1087">
        <v>1.0016120618476607</v>
      </c>
      <c r="F1896" s="1087">
        <v>1.0256239730201548</v>
      </c>
      <c r="G1896" s="1087">
        <v>0.97280188937248269</v>
      </c>
      <c r="H1896" s="1087">
        <v>1.0043529180309909</v>
      </c>
      <c r="I1896" s="1087">
        <v>0.98145737498149599</v>
      </c>
      <c r="K1896">
        <v>1.8717838161207507</v>
      </c>
      <c r="L1896">
        <v>0</v>
      </c>
      <c r="M1896">
        <v>3.6633913817907182E-3</v>
      </c>
      <c r="N1896">
        <v>0.3495664656905223</v>
      </c>
      <c r="O1896">
        <v>0.2438316319206387</v>
      </c>
      <c r="P1896">
        <v>1.3348076230828308E-2</v>
      </c>
      <c r="Q1896">
        <v>1.5877424862443096E-3</v>
      </c>
      <c r="R1896">
        <v>3.657156842774656E-3</v>
      </c>
      <c r="S1896">
        <v>0.36161035293130223</v>
      </c>
      <c r="T1896">
        <v>0.41302236351798582</v>
      </c>
      <c r="U1896">
        <v>0</v>
      </c>
      <c r="V1896">
        <v>0.20247122378600504</v>
      </c>
      <c r="W1896">
        <v>0.22244185972042846</v>
      </c>
      <c r="X1896">
        <v>5.3956759031206086E-2</v>
      </c>
      <c r="Y1896">
        <v>9.9535753446034006E-3</v>
      </c>
    </row>
    <row r="1897" spans="1:25" x14ac:dyDescent="0.25">
      <c r="A1897" s="1083"/>
      <c r="B1897" s="1455">
        <v>1647</v>
      </c>
      <c r="C1897" s="1087">
        <v>1.0081405657151592</v>
      </c>
      <c r="D1897" s="1087">
        <v>1.0102633633297708</v>
      </c>
      <c r="E1897" s="1087">
        <v>0.98217212555350231</v>
      </c>
      <c r="F1897" s="1087">
        <v>1.0241710196657068</v>
      </c>
      <c r="G1897" s="1087">
        <v>1.0061787052123738</v>
      </c>
      <c r="H1897" s="1087">
        <v>1.0212213973954041</v>
      </c>
      <c r="I1897" s="1087">
        <v>0.98896226343091176</v>
      </c>
      <c r="K1897">
        <v>1.8495895904952468</v>
      </c>
      <c r="L1897">
        <v>0</v>
      </c>
      <c r="M1897">
        <v>3.7992157975725899E-3</v>
      </c>
      <c r="N1897">
        <v>0.34163937019328955</v>
      </c>
      <c r="O1897">
        <v>0.23926228795665094</v>
      </c>
      <c r="P1897">
        <v>1.309048224134071E-2</v>
      </c>
      <c r="Q1897">
        <v>1.5349362346064295E-3</v>
      </c>
      <c r="R1897">
        <v>3.7928126066307816E-3</v>
      </c>
      <c r="S1897">
        <v>0.35973176674755875</v>
      </c>
      <c r="T1897">
        <v>0.41231731759315082</v>
      </c>
      <c r="U1897">
        <v>0</v>
      </c>
      <c r="V1897">
        <v>0.20028991837462218</v>
      </c>
      <c r="W1897">
        <v>0.22007068355027123</v>
      </c>
      <c r="X1897">
        <v>5.1336445179788581E-2</v>
      </c>
      <c r="Y1897">
        <v>1.0322785614909241E-2</v>
      </c>
    </row>
    <row r="1898" spans="1:25" x14ac:dyDescent="0.25">
      <c r="A1898" s="1083"/>
      <c r="B1898" s="1455">
        <v>1648</v>
      </c>
      <c r="C1898" s="1087">
        <v>0.99747711852200749</v>
      </c>
      <c r="D1898" s="1087">
        <v>1.0284547394635906</v>
      </c>
      <c r="E1898" s="1087">
        <v>0.95551627229415304</v>
      </c>
      <c r="F1898" s="1087">
        <v>0.97732824698128828</v>
      </c>
      <c r="G1898" s="1087">
        <v>1.0054403812275308</v>
      </c>
      <c r="H1898" s="1087">
        <v>1.015168989818827</v>
      </c>
      <c r="I1898" s="1087">
        <v>0.97315711661691173</v>
      </c>
      <c r="K1898">
        <v>1.7957449999101418</v>
      </c>
      <c r="L1898">
        <v>0</v>
      </c>
      <c r="M1898">
        <v>3.9919647334841673E-3</v>
      </c>
      <c r="N1898">
        <v>0.33086144849319182</v>
      </c>
      <c r="O1898">
        <v>0.23299043483494145</v>
      </c>
      <c r="P1898">
        <v>1.2433324733942288E-2</v>
      </c>
      <c r="Q1898">
        <v>1.4964814944973094E-3</v>
      </c>
      <c r="R1898">
        <v>3.9851808788371589E-3</v>
      </c>
      <c r="S1898">
        <v>0.35294347785328328</v>
      </c>
      <c r="T1898">
        <v>0.39330477030351102</v>
      </c>
      <c r="U1898">
        <v>0</v>
      </c>
      <c r="V1898">
        <v>0.19634898340232257</v>
      </c>
      <c r="W1898">
        <v>0.21679337906737897</v>
      </c>
      <c r="X1898">
        <v>4.7733134944049294E-2</v>
      </c>
      <c r="Y1898">
        <v>1.0846348637671104E-2</v>
      </c>
    </row>
    <row r="1899" spans="1:25" x14ac:dyDescent="0.25">
      <c r="A1899" s="1083"/>
      <c r="B1899" s="1455">
        <v>1649</v>
      </c>
      <c r="C1899" s="1087">
        <v>1.0219411498624467</v>
      </c>
      <c r="D1899" s="1087">
        <v>1.0118528320731837</v>
      </c>
      <c r="E1899" s="1087">
        <v>0.99355206176966804</v>
      </c>
      <c r="F1899" s="1087">
        <v>1.0339438091390971</v>
      </c>
      <c r="G1899" s="1087">
        <v>1.0110271838420233</v>
      </c>
      <c r="H1899" s="1087">
        <v>1.0226739242330329</v>
      </c>
      <c r="I1899" s="1087">
        <v>0.9762565139473478</v>
      </c>
      <c r="K1899">
        <v>1.8408475477472643</v>
      </c>
      <c r="L1899">
        <v>0</v>
      </c>
      <c r="M1899">
        <v>3.6628687885515618E-3</v>
      </c>
      <c r="N1899">
        <v>0.34102919358015116</v>
      </c>
      <c r="O1899">
        <v>0.23867857020536429</v>
      </c>
      <c r="P1899">
        <v>1.3120887875595113E-2</v>
      </c>
      <c r="Q1899">
        <v>1.5318350167874057E-3</v>
      </c>
      <c r="R1899">
        <v>3.6567010152795307E-3</v>
      </c>
      <c r="S1899">
        <v>0.35033402033961147</v>
      </c>
      <c r="T1899">
        <v>0.41632238305987024</v>
      </c>
      <c r="U1899">
        <v>0</v>
      </c>
      <c r="V1899">
        <v>0.19961972728169236</v>
      </c>
      <c r="W1899">
        <v>0.2181069155981005</v>
      </c>
      <c r="X1899">
        <v>5.215784783093947E-2</v>
      </c>
      <c r="Y1899">
        <v>9.9523347324251624E-3</v>
      </c>
    </row>
    <row r="1900" spans="1:25" x14ac:dyDescent="0.25">
      <c r="A1900" s="1083"/>
      <c r="B1900" s="1455">
        <v>1650</v>
      </c>
      <c r="C1900" s="1087">
        <v>1.0066303578280502</v>
      </c>
      <c r="D1900" s="1087">
        <v>1.0111998429805777</v>
      </c>
      <c r="E1900" s="1087">
        <v>0.99399678443930095</v>
      </c>
      <c r="F1900" s="1087">
        <v>0.99637585914983717</v>
      </c>
      <c r="G1900" s="1087">
        <v>0.98778500368333655</v>
      </c>
      <c r="H1900" s="1087">
        <v>0.99435441940810398</v>
      </c>
      <c r="I1900" s="1087">
        <v>0.9991480025314432</v>
      </c>
      <c r="K1900">
        <v>1.8234007540198109</v>
      </c>
      <c r="L1900">
        <v>0</v>
      </c>
      <c r="M1900">
        <v>3.6151425556896263E-3</v>
      </c>
      <c r="N1900">
        <v>0.33702710330933833</v>
      </c>
      <c r="O1900">
        <v>0.23633176053932561</v>
      </c>
      <c r="P1900">
        <v>1.3019276442749901E-2</v>
      </c>
      <c r="Q1900">
        <v>1.5562754604672344E-3</v>
      </c>
      <c r="R1900">
        <v>3.6088850433019918E-3</v>
      </c>
      <c r="S1900">
        <v>0.35914900453713722</v>
      </c>
      <c r="T1900">
        <v>0.40119814261075276</v>
      </c>
      <c r="U1900">
        <v>0</v>
      </c>
      <c r="V1900">
        <v>0.19812343646337352</v>
      </c>
      <c r="W1900">
        <v>0.21548719119251911</v>
      </c>
      <c r="X1900">
        <v>5.1692625557302314E-2</v>
      </c>
      <c r="Y1900">
        <v>9.8221954192332286E-3</v>
      </c>
    </row>
    <row r="1901" spans="1:25" x14ac:dyDescent="0.25">
      <c r="A1901" s="1083"/>
      <c r="B1901" s="1455">
        <v>1651</v>
      </c>
      <c r="C1901" s="1087">
        <v>1.0044923897301388</v>
      </c>
      <c r="D1901" s="1087">
        <v>1.0258788765070439</v>
      </c>
      <c r="E1901" s="1087">
        <v>1.009391973858647</v>
      </c>
      <c r="F1901" s="1087">
        <v>0.99666737602091771</v>
      </c>
      <c r="G1901" s="1087">
        <v>1.0261079990856661</v>
      </c>
      <c r="H1901" s="1087">
        <v>1.0132972596434566</v>
      </c>
      <c r="I1901" s="1087">
        <v>0.95647395563600213</v>
      </c>
      <c r="K1901">
        <v>1.8233248125061947</v>
      </c>
      <c r="L1901">
        <v>0</v>
      </c>
      <c r="M1901">
        <v>3.5495163620716283E-3</v>
      </c>
      <c r="N1901">
        <v>0.34683457001709206</v>
      </c>
      <c r="O1901">
        <v>0.23541195994689529</v>
      </c>
      <c r="P1901">
        <v>1.2974757806173345E-2</v>
      </c>
      <c r="Q1901">
        <v>1.5762477762080716E-3</v>
      </c>
      <c r="R1901">
        <v>3.5434749103106914E-3</v>
      </c>
      <c r="S1901">
        <v>0.34519696373996345</v>
      </c>
      <c r="T1901">
        <v>0.40140860639944126</v>
      </c>
      <c r="U1901">
        <v>0</v>
      </c>
      <c r="V1901">
        <v>0.19770584341455494</v>
      </c>
      <c r="W1901">
        <v>0.21963760952007746</v>
      </c>
      <c r="X1901">
        <v>5.294012473787453E-2</v>
      </c>
      <c r="Y1901">
        <v>9.6441705996754539E-3</v>
      </c>
    </row>
    <row r="1902" spans="1:25" x14ac:dyDescent="0.25">
      <c r="A1902" s="1083"/>
      <c r="B1902" s="1455">
        <v>1652</v>
      </c>
      <c r="C1902" s="1087">
        <v>1.0042418138607943</v>
      </c>
      <c r="D1902" s="1087">
        <v>1.0304915124740262</v>
      </c>
      <c r="E1902" s="1087">
        <v>0.98414875626124321</v>
      </c>
      <c r="F1902" s="1087">
        <v>0.99280102507453027</v>
      </c>
      <c r="G1902" s="1087">
        <v>0.97287104260640322</v>
      </c>
      <c r="H1902" s="1087">
        <v>1.0301399195774055</v>
      </c>
      <c r="I1902" s="1087">
        <v>1.0086835867785193</v>
      </c>
      <c r="K1902">
        <v>1.8359604138278576</v>
      </c>
      <c r="L1902">
        <v>0</v>
      </c>
      <c r="M1902">
        <v>3.7913996522843901E-3</v>
      </c>
      <c r="N1902">
        <v>0.34300530738403995</v>
      </c>
      <c r="O1902">
        <v>0.23419067545880692</v>
      </c>
      <c r="P1902">
        <v>1.2979837806472071E-2</v>
      </c>
      <c r="Q1902">
        <v>1.5319759626929647E-3</v>
      </c>
      <c r="R1902">
        <v>3.7850480392963505E-3</v>
      </c>
      <c r="S1902">
        <v>0.3659614677804317</v>
      </c>
      <c r="T1902">
        <v>0.39969993130249182</v>
      </c>
      <c r="U1902">
        <v>0</v>
      </c>
      <c r="V1902">
        <v>0.19701570642592145</v>
      </c>
      <c r="W1902">
        <v>0.2206743704199215</v>
      </c>
      <c r="X1902">
        <v>5.0605839877851118E-2</v>
      </c>
      <c r="Y1902">
        <v>1.0301653022213845E-2</v>
      </c>
    </row>
    <row r="1903" spans="1:25" x14ac:dyDescent="0.25">
      <c r="A1903" s="1083"/>
      <c r="B1903" s="1455">
        <v>1653</v>
      </c>
      <c r="C1903" s="1087">
        <v>1.0223472991638241</v>
      </c>
      <c r="D1903" s="1087">
        <v>1.0135514763685858</v>
      </c>
      <c r="E1903" s="1087">
        <v>1.0209153008548264</v>
      </c>
      <c r="F1903" s="1087">
        <v>0.99341878943147577</v>
      </c>
      <c r="G1903" s="1087">
        <v>0.99641031537104041</v>
      </c>
      <c r="H1903" s="1087">
        <v>1.0312235409447774</v>
      </c>
      <c r="I1903" s="1087">
        <v>0.98165594756269847</v>
      </c>
      <c r="K1903">
        <v>1.8375683215021361</v>
      </c>
      <c r="L1903">
        <v>0</v>
      </c>
      <c r="M1903">
        <v>3.4888336360405251E-3</v>
      </c>
      <c r="N1903">
        <v>0.35310420914560686</v>
      </c>
      <c r="O1903">
        <v>0.23427756388198598</v>
      </c>
      <c r="P1903">
        <v>1.3165140910305377E-2</v>
      </c>
      <c r="Q1903">
        <v>1.5753025393423804E-3</v>
      </c>
      <c r="R1903">
        <v>3.4830081972268777E-3</v>
      </c>
      <c r="S1903">
        <v>0.35364607817397248</v>
      </c>
      <c r="T1903">
        <v>0.4001703381176645</v>
      </c>
      <c r="U1903">
        <v>0</v>
      </c>
      <c r="V1903">
        <v>0.19626432461283638</v>
      </c>
      <c r="W1903">
        <v>0.22202181760205328</v>
      </c>
      <c r="X1903">
        <v>5.3869771817674036E-2</v>
      </c>
      <c r="Y1903">
        <v>9.4796001395079238E-3</v>
      </c>
    </row>
    <row r="1904" spans="1:25" x14ac:dyDescent="0.25">
      <c r="A1904" s="1083"/>
      <c r="B1904" s="1455">
        <v>1654</v>
      </c>
      <c r="C1904" s="1087">
        <v>1.0021125029150912</v>
      </c>
      <c r="D1904" s="1087">
        <v>1.0310346757585964</v>
      </c>
      <c r="E1904" s="1087">
        <v>1.0129068309589675</v>
      </c>
      <c r="F1904" s="1087">
        <v>1.0007726434983584</v>
      </c>
      <c r="G1904" s="1087">
        <v>0.98367009827447016</v>
      </c>
      <c r="H1904" s="1087">
        <v>0.9775125958977734</v>
      </c>
      <c r="I1904" s="1087">
        <v>0.98029277344185395</v>
      </c>
      <c r="K1904">
        <v>1.8089650578955834</v>
      </c>
      <c r="L1904">
        <v>0</v>
      </c>
      <c r="M1904">
        <v>3.3983695644317154E-3</v>
      </c>
      <c r="N1904">
        <v>0.33562222094298322</v>
      </c>
      <c r="O1904">
        <v>0.23572137185536371</v>
      </c>
      <c r="P1904">
        <v>1.306736265145997E-2</v>
      </c>
      <c r="Q1904">
        <v>1.5827088585146341E-3</v>
      </c>
      <c r="R1904">
        <v>3.3923692678253614E-3</v>
      </c>
      <c r="S1904">
        <v>0.34744133237338998</v>
      </c>
      <c r="T1904">
        <v>0.4030834876796599</v>
      </c>
      <c r="U1904">
        <v>0</v>
      </c>
      <c r="V1904">
        <v>0.19806237956420214</v>
      </c>
      <c r="W1904">
        <v>0.21207487058315361</v>
      </c>
      <c r="X1904">
        <v>5.3082412830669536E-2</v>
      </c>
      <c r="Y1904">
        <v>9.232910852792044E-3</v>
      </c>
    </row>
    <row r="1905" spans="1:25" x14ac:dyDescent="0.25">
      <c r="A1905" s="1083"/>
      <c r="B1905" s="1455">
        <v>1655</v>
      </c>
      <c r="C1905" s="1087">
        <v>0.96618639711139853</v>
      </c>
      <c r="D1905" s="1087">
        <v>1.0358515063519014</v>
      </c>
      <c r="E1905" s="1087">
        <v>1.0322304114197234</v>
      </c>
      <c r="F1905" s="1087">
        <v>1.0006292859841808</v>
      </c>
      <c r="G1905" s="1087">
        <v>1.0104199418811395</v>
      </c>
      <c r="H1905" s="1087">
        <v>0.99064219263570685</v>
      </c>
      <c r="I1905" s="1087">
        <v>1.0279096581535883</v>
      </c>
      <c r="K1905">
        <v>1.8883391237855274</v>
      </c>
      <c r="L1905">
        <v>0</v>
      </c>
      <c r="M1905">
        <v>3.4252085082796591E-3</v>
      </c>
      <c r="N1905">
        <v>0.3587938872989419</v>
      </c>
      <c r="O1905">
        <v>0.23995527913894879</v>
      </c>
      <c r="P1905">
        <v>1.3757225164745064E-2</v>
      </c>
      <c r="Q1905">
        <v>1.6721914399374161E-3</v>
      </c>
      <c r="R1905">
        <v>3.419238259610003E-3</v>
      </c>
      <c r="S1905">
        <v>0.3796493725367337</v>
      </c>
      <c r="T1905">
        <v>0.40314475917210701</v>
      </c>
      <c r="U1905">
        <v>0</v>
      </c>
      <c r="V1905">
        <v>0.20186720468092603</v>
      </c>
      <c r="W1905">
        <v>0.22404121609658451</v>
      </c>
      <c r="X1905">
        <v>5.6157919114201989E-2</v>
      </c>
      <c r="Y1905">
        <v>9.3060393910690768E-3</v>
      </c>
    </row>
    <row r="1906" spans="1:25" x14ac:dyDescent="0.25">
      <c r="A1906" s="1083"/>
      <c r="B1906" s="1455">
        <v>1656</v>
      </c>
      <c r="C1906" s="1087">
        <v>1.010073463207644</v>
      </c>
      <c r="D1906" s="1087">
        <v>1.0332931046697502</v>
      </c>
      <c r="E1906" s="1087">
        <v>0.96952501398923352</v>
      </c>
      <c r="F1906" s="1087">
        <v>0.97615476281628588</v>
      </c>
      <c r="G1906" s="1087">
        <v>0.9971008727944749</v>
      </c>
      <c r="H1906" s="1087">
        <v>0.99161770281058614</v>
      </c>
      <c r="I1906" s="1087">
        <v>1.0058538423422834</v>
      </c>
      <c r="K1906">
        <v>1.7793955305651048</v>
      </c>
      <c r="L1906">
        <v>0</v>
      </c>
      <c r="M1906">
        <v>3.7329106763365916E-3</v>
      </c>
      <c r="N1906">
        <v>0.32292832366285518</v>
      </c>
      <c r="O1906">
        <v>0.23111137068499496</v>
      </c>
      <c r="P1906">
        <v>1.2573382693638847E-2</v>
      </c>
      <c r="Q1906">
        <v>1.4976707916071563E-3</v>
      </c>
      <c r="R1906">
        <v>3.7264117577199118E-3</v>
      </c>
      <c r="S1906">
        <v>0.3552932955786437</v>
      </c>
      <c r="T1906">
        <v>0.39291312579352328</v>
      </c>
      <c r="U1906">
        <v>0</v>
      </c>
      <c r="V1906">
        <v>0.19476462598801331</v>
      </c>
      <c r="W1906">
        <v>0.20969854348344119</v>
      </c>
      <c r="X1906">
        <v>4.8479626413794642E-2</v>
      </c>
      <c r="Y1906">
        <v>1.0142064393207813E-2</v>
      </c>
    </row>
    <row r="1907" spans="1:25" x14ac:dyDescent="0.25">
      <c r="A1907" s="1083"/>
      <c r="B1907" s="1455">
        <v>1657</v>
      </c>
      <c r="C1907" s="1087">
        <v>1.0118911932557575</v>
      </c>
      <c r="D1907" s="1087">
        <v>1.0068190430485011</v>
      </c>
      <c r="E1907" s="1087">
        <v>1.0001572344335865</v>
      </c>
      <c r="F1907" s="1087">
        <v>0.99293701791782385</v>
      </c>
      <c r="G1907" s="1087">
        <v>0.96925369206234202</v>
      </c>
      <c r="H1907" s="1087">
        <v>0.99242979809215826</v>
      </c>
      <c r="I1907" s="1087">
        <v>1.0252120034518442</v>
      </c>
      <c r="K1907">
        <v>1.8293860938661111</v>
      </c>
      <c r="L1907">
        <v>0</v>
      </c>
      <c r="M1907">
        <v>3.5527538035683469E-3</v>
      </c>
      <c r="N1907">
        <v>0.33749698495348762</v>
      </c>
      <c r="O1907">
        <v>0.23581833620859247</v>
      </c>
      <c r="P1907">
        <v>1.3162873663041594E-2</v>
      </c>
      <c r="Q1907">
        <v>1.5611050017504766E-3</v>
      </c>
      <c r="R1907">
        <v>3.5465960551619067E-3</v>
      </c>
      <c r="S1907">
        <v>0.36720035572622461</v>
      </c>
      <c r="T1907">
        <v>0.39985045400520719</v>
      </c>
      <c r="U1907">
        <v>0</v>
      </c>
      <c r="V1907">
        <v>0.19753876501913292</v>
      </c>
      <c r="W1907">
        <v>0.21495678904740342</v>
      </c>
      <c r="X1907">
        <v>5.2153922662603214E-2</v>
      </c>
      <c r="Y1907">
        <v>9.6526653270753368E-3</v>
      </c>
    </row>
    <row r="1908" spans="1:25" x14ac:dyDescent="0.25">
      <c r="A1908" s="1083"/>
      <c r="B1908" s="1455">
        <v>1658</v>
      </c>
      <c r="C1908" s="1087">
        <v>0.9649697940516857</v>
      </c>
      <c r="D1908" s="1087">
        <v>0.9920697978234726</v>
      </c>
      <c r="E1908" s="1087">
        <v>1.0244042633861041</v>
      </c>
      <c r="F1908" s="1087">
        <v>1.0036922656160336</v>
      </c>
      <c r="G1908" s="1087">
        <v>0.98460468134782209</v>
      </c>
      <c r="H1908" s="1087">
        <v>1.0034016745417846</v>
      </c>
      <c r="I1908" s="1087">
        <v>1.0078576260536907</v>
      </c>
      <c r="K1908">
        <v>1.9208541144333351</v>
      </c>
      <c r="L1908">
        <v>0</v>
      </c>
      <c r="M1908">
        <v>3.612785767718796E-3</v>
      </c>
      <c r="N1908">
        <v>0.36954166783302334</v>
      </c>
      <c r="O1908">
        <v>0.24467496361865584</v>
      </c>
      <c r="P1908">
        <v>1.3793385635245663E-2</v>
      </c>
      <c r="Q1908">
        <v>1.6895303429819454E-3</v>
      </c>
      <c r="R1908">
        <v>3.6066052551214792E-3</v>
      </c>
      <c r="S1908">
        <v>0.38402370330117896</v>
      </c>
      <c r="T1908">
        <v>0.40433026962210755</v>
      </c>
      <c r="U1908">
        <v>0</v>
      </c>
      <c r="V1908">
        <v>0.20452766500593719</v>
      </c>
      <c r="W1908">
        <v>0.23185975721019422</v>
      </c>
      <c r="X1908">
        <v>5.6603361789268336E-2</v>
      </c>
      <c r="Y1908">
        <v>9.8159905873378452E-3</v>
      </c>
    </row>
    <row r="1909" spans="1:25" x14ac:dyDescent="0.25">
      <c r="A1909" s="1083"/>
      <c r="B1909" s="1455">
        <v>1659</v>
      </c>
      <c r="C1909" s="1087">
        <v>1.0033193990957796</v>
      </c>
      <c r="D1909" s="1087">
        <v>1.0342902788018355</v>
      </c>
      <c r="E1909" s="1087">
        <v>0.99957178665921886</v>
      </c>
      <c r="F1909" s="1087">
        <v>0.99743343230806847</v>
      </c>
      <c r="G1909" s="1087">
        <v>0.99079922923384622</v>
      </c>
      <c r="H1909" s="1087">
        <v>0.97625180000564415</v>
      </c>
      <c r="I1909" s="1087">
        <v>0.97097920664407456</v>
      </c>
      <c r="K1909">
        <v>1.7919112368893626</v>
      </c>
      <c r="L1909">
        <v>0</v>
      </c>
      <c r="M1909">
        <v>3.4777892980494217E-3</v>
      </c>
      <c r="N1909">
        <v>0.32977421459115114</v>
      </c>
      <c r="O1909">
        <v>0.23468729182168002</v>
      </c>
      <c r="P1909">
        <v>1.2846631520610937E-2</v>
      </c>
      <c r="Q1909">
        <v>1.5566083812548132E-3</v>
      </c>
      <c r="R1909">
        <v>3.4716380927974672E-3</v>
      </c>
      <c r="S1909">
        <v>0.34276747575404054</v>
      </c>
      <c r="T1909">
        <v>0.40165759827257136</v>
      </c>
      <c r="U1909">
        <v>0</v>
      </c>
      <c r="V1909">
        <v>0.19740364753998188</v>
      </c>
      <c r="W1909">
        <v>0.21011489712689291</v>
      </c>
      <c r="X1909">
        <v>5.1660368623024297E-2</v>
      </c>
      <c r="Y1909">
        <v>9.4486544634049888E-3</v>
      </c>
    </row>
    <row r="1910" spans="1:25" x14ac:dyDescent="0.25">
      <c r="A1910" s="1083"/>
      <c r="B1910" s="1455">
        <v>1660</v>
      </c>
      <c r="C1910" s="1087">
        <v>1.0282283125504426</v>
      </c>
      <c r="D1910" s="1087">
        <v>1.0053224173111637</v>
      </c>
      <c r="E1910" s="1087">
        <v>0.97573052797084514</v>
      </c>
      <c r="F1910" s="1087">
        <v>1.0238995508724356</v>
      </c>
      <c r="G1910" s="1087">
        <v>0.99798485930066749</v>
      </c>
      <c r="H1910" s="1087">
        <v>1.0147319489370721</v>
      </c>
      <c r="I1910" s="1087">
        <v>0.96566909196709116</v>
      </c>
      <c r="K1910">
        <v>1.8124528115315912</v>
      </c>
      <c r="L1910">
        <v>0</v>
      </c>
      <c r="M1910">
        <v>3.7594870136347575E-3</v>
      </c>
      <c r="N1910">
        <v>0.33147274273160071</v>
      </c>
      <c r="O1910">
        <v>0.23721221125942782</v>
      </c>
      <c r="P1910">
        <v>1.2789883481552931E-2</v>
      </c>
      <c r="Q1910">
        <v>1.4974759453890082E-3</v>
      </c>
      <c r="R1910">
        <v>3.7531134393739935E-3</v>
      </c>
      <c r="S1910">
        <v>0.3441281549290291</v>
      </c>
      <c r="T1910">
        <v>0.41216867012015818</v>
      </c>
      <c r="U1910">
        <v>0</v>
      </c>
      <c r="V1910">
        <v>0.19837697021458525</v>
      </c>
      <c r="W1910">
        <v>0.21439667307178698</v>
      </c>
      <c r="X1910">
        <v>5.0201665783857721E-2</v>
      </c>
      <c r="Y1910">
        <v>1.0214737568463229E-2</v>
      </c>
    </row>
    <row r="1911" spans="1:25" x14ac:dyDescent="0.25">
      <c r="A1911" s="1083"/>
      <c r="B1911" s="1455">
        <v>1661</v>
      </c>
      <c r="C1911" s="1087">
        <v>0.98583932892966641</v>
      </c>
      <c r="D1911" s="1087">
        <v>1.0302732813603024</v>
      </c>
      <c r="E1911" s="1087">
        <v>0.98434926928013466</v>
      </c>
      <c r="F1911" s="1087">
        <v>0.98545705517727245</v>
      </c>
      <c r="G1911" s="1087">
        <v>1.040736087594399</v>
      </c>
      <c r="H1911" s="1087">
        <v>1.0155075148996933</v>
      </c>
      <c r="I1911" s="1087">
        <v>1.0005630774960832</v>
      </c>
      <c r="K1911">
        <v>1.839924340773228</v>
      </c>
      <c r="L1911">
        <v>0</v>
      </c>
      <c r="M1911">
        <v>3.8066027158305022E-3</v>
      </c>
      <c r="N1911">
        <v>0.34458350186476622</v>
      </c>
      <c r="O1911">
        <v>0.23557976762450519</v>
      </c>
      <c r="P1911">
        <v>1.2977139663256575E-2</v>
      </c>
      <c r="Q1911">
        <v>1.5610415281454633E-3</v>
      </c>
      <c r="R1911">
        <v>3.8001346371175793E-3</v>
      </c>
      <c r="S1911">
        <v>0.36720757611397337</v>
      </c>
      <c r="T1911">
        <v>0.39674444578933599</v>
      </c>
      <c r="U1911">
        <v>0</v>
      </c>
      <c r="V1911">
        <v>0.1983783599982015</v>
      </c>
      <c r="W1911">
        <v>0.22166160633689969</v>
      </c>
      <c r="X1911">
        <v>5.0894656164667158E-2</v>
      </c>
      <c r="Y1911">
        <v>1.0342713768187602E-2</v>
      </c>
    </row>
    <row r="1912" spans="1:25" x14ac:dyDescent="0.25">
      <c r="A1912" s="1083"/>
      <c r="B1912" s="1455">
        <v>1662</v>
      </c>
      <c r="C1912" s="1087">
        <v>1.000897279648935</v>
      </c>
      <c r="D1912" s="1087">
        <v>0.96626307847495452</v>
      </c>
      <c r="E1912" s="1087">
        <v>1.0017332173482658</v>
      </c>
      <c r="F1912" s="1087">
        <v>0.99841972111051225</v>
      </c>
      <c r="G1912" s="1087">
        <v>0.97250633900273742</v>
      </c>
      <c r="H1912" s="1087">
        <v>1.0224317925230135</v>
      </c>
      <c r="I1912" s="1087">
        <v>1.0232466704034175</v>
      </c>
      <c r="K1912">
        <v>1.8983557671172375</v>
      </c>
      <c r="L1912">
        <v>0</v>
      </c>
      <c r="M1912">
        <v>3.7712617504323501E-3</v>
      </c>
      <c r="N1912">
        <v>0.36000318816949228</v>
      </c>
      <c r="O1912">
        <v>0.24187240208705979</v>
      </c>
      <c r="P1912">
        <v>1.3500748001399275E-2</v>
      </c>
      <c r="Q1912">
        <v>1.6071181440955157E-3</v>
      </c>
      <c r="R1912">
        <v>3.7649535075317962E-3</v>
      </c>
      <c r="S1912">
        <v>0.38475417268387624</v>
      </c>
      <c r="T1912">
        <v>0.40206784987462418</v>
      </c>
      <c r="U1912">
        <v>0</v>
      </c>
      <c r="V1912">
        <v>0.20136488826899079</v>
      </c>
      <c r="W1912">
        <v>0.22906580663895013</v>
      </c>
      <c r="X1912">
        <v>5.3878939160738437E-2</v>
      </c>
      <c r="Y1912">
        <v>1.0246962330911349E-2</v>
      </c>
    </row>
    <row r="1913" spans="1:25" x14ac:dyDescent="0.25">
      <c r="A1913" s="1083"/>
      <c r="B1913" s="1455">
        <v>1663</v>
      </c>
      <c r="C1913" s="1087">
        <v>1.0161068943997849</v>
      </c>
      <c r="D1913" s="1087">
        <v>0.97750251945533018</v>
      </c>
      <c r="E1913" s="1087">
        <v>0.96969293324269223</v>
      </c>
      <c r="F1913" s="1087">
        <v>0.99470329139756408</v>
      </c>
      <c r="G1913" s="1087">
        <v>1.0232939681418605</v>
      </c>
      <c r="H1913" s="1087">
        <v>0.99001748231135245</v>
      </c>
      <c r="I1913" s="1087">
        <v>1.0131635454561168</v>
      </c>
      <c r="K1913">
        <v>1.82300425908806</v>
      </c>
      <c r="L1913">
        <v>0</v>
      </c>
      <c r="M1913">
        <v>3.816307480109392E-3</v>
      </c>
      <c r="N1913">
        <v>0.33031600432332164</v>
      </c>
      <c r="O1913">
        <v>0.23800772957738317</v>
      </c>
      <c r="P1913">
        <v>1.2876343573101915E-2</v>
      </c>
      <c r="Q1913">
        <v>1.5224783507803146E-3</v>
      </c>
      <c r="R1913">
        <v>3.809704371051098E-3</v>
      </c>
      <c r="S1913">
        <v>0.36655924935668333</v>
      </c>
      <c r="T1913">
        <v>0.40038010420007236</v>
      </c>
      <c r="U1913">
        <v>0</v>
      </c>
      <c r="V1913">
        <v>0.19862822421985721</v>
      </c>
      <c r="W1913">
        <v>0.21447282325779587</v>
      </c>
      <c r="X1913">
        <v>4.9879145908829109E-2</v>
      </c>
      <c r="Y1913">
        <v>1.0368759429292695E-2</v>
      </c>
    </row>
    <row r="1914" spans="1:25" x14ac:dyDescent="0.25">
      <c r="A1914" s="1083"/>
      <c r="B1914" s="1455">
        <v>1664</v>
      </c>
      <c r="C1914" s="1087">
        <v>0.96800921504181092</v>
      </c>
      <c r="D1914" s="1087">
        <v>1.0112605357927</v>
      </c>
      <c r="E1914" s="1087">
        <v>1.0072248414117924</v>
      </c>
      <c r="F1914" s="1087">
        <v>0.98847469151413603</v>
      </c>
      <c r="G1914" s="1087">
        <v>1.0038414261988697</v>
      </c>
      <c r="H1914" s="1087">
        <v>1.0014809535548284</v>
      </c>
      <c r="I1914" s="1087">
        <v>1.0364812561554084</v>
      </c>
      <c r="K1914">
        <v>1.8928759885446875</v>
      </c>
      <c r="L1914">
        <v>0</v>
      </c>
      <c r="M1914">
        <v>3.6851740169433684E-3</v>
      </c>
      <c r="N1914">
        <v>0.35771204936915235</v>
      </c>
      <c r="O1914">
        <v>0.24028953113640855</v>
      </c>
      <c r="P1914">
        <v>1.356404743051472E-2</v>
      </c>
      <c r="Q1914">
        <v>1.641293534136437E-3</v>
      </c>
      <c r="R1914">
        <v>3.6788407268847369E-3</v>
      </c>
      <c r="S1914">
        <v>0.38896039211149208</v>
      </c>
      <c r="T1914">
        <v>0.39809593997734616</v>
      </c>
      <c r="U1914">
        <v>0</v>
      </c>
      <c r="V1914">
        <v>0.20172295634137813</v>
      </c>
      <c r="W1914">
        <v>0.22683094693247702</v>
      </c>
      <c r="X1914">
        <v>5.4052573272780638E-2</v>
      </c>
      <c r="Y1914">
        <v>1.0012591729060567E-2</v>
      </c>
    </row>
    <row r="1915" spans="1:25" x14ac:dyDescent="0.25">
      <c r="A1915" s="1083"/>
      <c r="B1915" s="1455">
        <v>1665</v>
      </c>
      <c r="C1915" s="1087">
        <v>1.0030015145272522</v>
      </c>
      <c r="D1915" s="1087">
        <v>0.99680320904706332</v>
      </c>
      <c r="E1915" s="1087">
        <v>0.99770273382376473</v>
      </c>
      <c r="F1915" s="1087">
        <v>1.026940273001909</v>
      </c>
      <c r="G1915" s="1087">
        <v>1.0027382839546715</v>
      </c>
      <c r="H1915" s="1087">
        <v>0.96699831855033691</v>
      </c>
      <c r="I1915" s="1087">
        <v>0.98929729587155302</v>
      </c>
      <c r="K1915">
        <v>1.8343748114201004</v>
      </c>
      <c r="L1915">
        <v>0</v>
      </c>
      <c r="M1915">
        <v>3.5289277758648453E-3</v>
      </c>
      <c r="N1915">
        <v>0.33271739782521642</v>
      </c>
      <c r="O1915">
        <v>0.24180602892061878</v>
      </c>
      <c r="P1915">
        <v>1.3216571542686297E-2</v>
      </c>
      <c r="Q1915">
        <v>1.5771196138299312E-3</v>
      </c>
      <c r="R1915">
        <v>3.522659168175677E-3</v>
      </c>
      <c r="S1915">
        <v>0.35487354272055976</v>
      </c>
      <c r="T1915">
        <v>0.41352812263357186</v>
      </c>
      <c r="U1915">
        <v>0</v>
      </c>
      <c r="V1915">
        <v>0.20190113611877533</v>
      </c>
      <c r="W1915">
        <v>0.21223810622810482</v>
      </c>
      <c r="X1915">
        <v>5.2935537412931957E-2</v>
      </c>
      <c r="Y1915">
        <v>9.5875170114914973E-3</v>
      </c>
    </row>
    <row r="1916" spans="1:25" x14ac:dyDescent="0.25">
      <c r="A1916" s="1083"/>
      <c r="B1916" s="1455">
        <v>1666</v>
      </c>
      <c r="C1916" s="1087">
        <v>0.99767673144167723</v>
      </c>
      <c r="D1916" s="1087">
        <v>1.0050095095456413</v>
      </c>
      <c r="E1916" s="1087">
        <v>1.0337517780549978</v>
      </c>
      <c r="F1916" s="1087">
        <v>1.002138177289694</v>
      </c>
      <c r="G1916" s="1087">
        <v>0.97178723501235664</v>
      </c>
      <c r="H1916" s="1087">
        <v>0.98097106886650476</v>
      </c>
      <c r="I1916" s="1087">
        <v>1.0212719775557406</v>
      </c>
      <c r="K1916">
        <v>1.8617277178101406</v>
      </c>
      <c r="L1916">
        <v>0</v>
      </c>
      <c r="M1916">
        <v>3.328020681563783E-3</v>
      </c>
      <c r="N1916">
        <v>0.35022826915712491</v>
      </c>
      <c r="O1916">
        <v>0.23927035745049327</v>
      </c>
      <c r="P1916">
        <v>1.361693088244813E-2</v>
      </c>
      <c r="Q1916">
        <v>1.6417241984375424E-3</v>
      </c>
      <c r="R1916">
        <v>3.3221868208160345E-3</v>
      </c>
      <c r="S1916">
        <v>0.36964712067024041</v>
      </c>
      <c r="T1916">
        <v>0.4037621286295916</v>
      </c>
      <c r="U1916">
        <v>0</v>
      </c>
      <c r="V1916">
        <v>0.20013894442210536</v>
      </c>
      <c r="W1916">
        <v>0.21848988181180024</v>
      </c>
      <c r="X1916">
        <v>5.5896297080975946E-2</v>
      </c>
      <c r="Y1916">
        <v>9.0418973676700942E-3</v>
      </c>
    </row>
    <row r="1917" spans="1:25" x14ac:dyDescent="0.25">
      <c r="A1917" s="1083"/>
      <c r="B1917" s="1455">
        <v>1667</v>
      </c>
      <c r="C1917" s="1087">
        <v>0.99436543539496236</v>
      </c>
      <c r="D1917" s="1087">
        <v>1.0285285623132461</v>
      </c>
      <c r="E1917" s="1087">
        <v>0.97194751724087702</v>
      </c>
      <c r="F1917" s="1087">
        <v>0.99100502689016101</v>
      </c>
      <c r="G1917" s="1087">
        <v>0.98833271270957579</v>
      </c>
      <c r="H1917" s="1087">
        <v>1.0477610870771186</v>
      </c>
      <c r="I1917" s="1087">
        <v>0.99840938817541081</v>
      </c>
      <c r="K1917">
        <v>1.8506591586600885</v>
      </c>
      <c r="L1917">
        <v>0</v>
      </c>
      <c r="M1917">
        <v>3.9970296868880491E-3</v>
      </c>
      <c r="N1917">
        <v>0.34838102597656984</v>
      </c>
      <c r="O1917">
        <v>0.23518727411592499</v>
      </c>
      <c r="P1917">
        <v>1.2905697633737744E-2</v>
      </c>
      <c r="Q1917">
        <v>1.5281444140989192E-3</v>
      </c>
      <c r="R1917">
        <v>3.9904484293029506E-3</v>
      </c>
      <c r="S1917">
        <v>0.36924810673114711</v>
      </c>
      <c r="T1917">
        <v>0.39890476023290811</v>
      </c>
      <c r="U1917">
        <v>0</v>
      </c>
      <c r="V1917">
        <v>0.19794679644584237</v>
      </c>
      <c r="W1917">
        <v>0.22587685122747944</v>
      </c>
      <c r="X1917">
        <v>4.9826397966373379E-2</v>
      </c>
      <c r="Y1917">
        <v>1.0860685173591449E-2</v>
      </c>
    </row>
    <row r="1918" spans="1:25" x14ac:dyDescent="0.25">
      <c r="A1918" s="1083"/>
      <c r="B1918" s="1455">
        <v>1668</v>
      </c>
      <c r="C1918" s="1087">
        <v>1.0337003382971814</v>
      </c>
      <c r="D1918" s="1087">
        <v>1.0161325876993839</v>
      </c>
      <c r="E1918" s="1087">
        <v>0.97928500243977934</v>
      </c>
      <c r="F1918" s="1087">
        <v>1.0119071277176819</v>
      </c>
      <c r="G1918" s="1087">
        <v>0.99451296981709159</v>
      </c>
      <c r="H1918" s="1087">
        <v>0.98758001660695394</v>
      </c>
      <c r="I1918" s="1087">
        <v>0.99303438644905229</v>
      </c>
      <c r="K1918">
        <v>1.7836505875382116</v>
      </c>
      <c r="L1918">
        <v>0</v>
      </c>
      <c r="M1918">
        <v>3.5922099137123981E-3</v>
      </c>
      <c r="N1918">
        <v>0.3201681196749217</v>
      </c>
      <c r="O1918">
        <v>0.23419190699900549</v>
      </c>
      <c r="P1918">
        <v>1.2746948694544596E-2</v>
      </c>
      <c r="Q1918">
        <v>1.4888843439883552E-3</v>
      </c>
      <c r="R1918">
        <v>3.5859427136746059E-3</v>
      </c>
      <c r="S1918">
        <v>0.34527402255251805</v>
      </c>
      <c r="T1918">
        <v>0.40736258506285983</v>
      </c>
      <c r="U1918">
        <v>0</v>
      </c>
      <c r="V1918">
        <v>0.19626237670953325</v>
      </c>
      <c r="W1918">
        <v>0.20661758074352596</v>
      </c>
      <c r="X1918">
        <v>4.9784675996424735E-2</v>
      </c>
      <c r="Y1918">
        <v>9.7597539609244124E-3</v>
      </c>
    </row>
    <row r="1919" spans="1:25" x14ac:dyDescent="0.25">
      <c r="A1919" s="1083"/>
      <c r="B1919" s="1455">
        <v>1669</v>
      </c>
      <c r="C1919" s="1087">
        <v>1.0070764780083465</v>
      </c>
      <c r="D1919" s="1087">
        <v>0.9927862946167344</v>
      </c>
      <c r="E1919" s="1087">
        <v>1.0064387477132635</v>
      </c>
      <c r="F1919" s="1087">
        <v>0.99814061134362275</v>
      </c>
      <c r="G1919" s="1087">
        <v>1.0149728423794184</v>
      </c>
      <c r="H1919" s="1087">
        <v>1.0096685260188947</v>
      </c>
      <c r="I1919" s="1087">
        <v>0.97723373251164014</v>
      </c>
      <c r="K1919">
        <v>1.8469957320687806</v>
      </c>
      <c r="L1919">
        <v>0</v>
      </c>
      <c r="M1919">
        <v>3.6127639676074631E-3</v>
      </c>
      <c r="N1919">
        <v>0.34984995669507457</v>
      </c>
      <c r="O1919">
        <v>0.23848064096898652</v>
      </c>
      <c r="P1919">
        <v>1.3145233128519408E-2</v>
      </c>
      <c r="Q1919">
        <v>1.5879751799039762E-3</v>
      </c>
      <c r="R1919">
        <v>3.6066214216509563E-3</v>
      </c>
      <c r="S1919">
        <v>0.35755571572809547</v>
      </c>
      <c r="T1919">
        <v>0.40198399225620796</v>
      </c>
      <c r="U1919">
        <v>0</v>
      </c>
      <c r="V1919">
        <v>0.19927132066441763</v>
      </c>
      <c r="W1919">
        <v>0.22195389993940351</v>
      </c>
      <c r="X1919">
        <v>5.3357105466823894E-2</v>
      </c>
      <c r="Y1919">
        <v>9.8160345873017849E-3</v>
      </c>
    </row>
    <row r="1920" spans="1:25" x14ac:dyDescent="0.25">
      <c r="A1920" s="1083"/>
      <c r="B1920" s="1455">
        <v>1670</v>
      </c>
      <c r="C1920" s="1087">
        <v>1.0108977146606284</v>
      </c>
      <c r="D1920" s="1087">
        <v>0.97638578556688771</v>
      </c>
      <c r="E1920" s="1087">
        <v>1.0091943520027786</v>
      </c>
      <c r="F1920" s="1087">
        <v>0.9750698320893888</v>
      </c>
      <c r="G1920" s="1087">
        <v>0.98687314666700154</v>
      </c>
      <c r="H1920" s="1087">
        <v>1.0071910253537146</v>
      </c>
      <c r="I1920" s="1087">
        <v>1.0104021242873655</v>
      </c>
      <c r="K1920">
        <v>1.8511481792348694</v>
      </c>
      <c r="L1920">
        <v>0</v>
      </c>
      <c r="M1920">
        <v>3.6019207061952574E-3</v>
      </c>
      <c r="N1920">
        <v>0.35174361261847203</v>
      </c>
      <c r="O1920">
        <v>0.23693419166428925</v>
      </c>
      <c r="P1920">
        <v>1.3212219908879939E-2</v>
      </c>
      <c r="Q1920">
        <v>1.5972127272422809E-3</v>
      </c>
      <c r="R1920">
        <v>3.5957951374492709E-3</v>
      </c>
      <c r="S1920">
        <v>0.37126806158784253</v>
      </c>
      <c r="T1920">
        <v>0.39270900255086721</v>
      </c>
      <c r="U1920">
        <v>0</v>
      </c>
      <c r="V1920">
        <v>0.1977536688365289</v>
      </c>
      <c r="W1920">
        <v>0.22277364080152373</v>
      </c>
      <c r="X1920">
        <v>5.3376125097381849E-2</v>
      </c>
      <c r="Y1920">
        <v>9.7865690105884261E-3</v>
      </c>
    </row>
    <row r="1921" spans="1:25" x14ac:dyDescent="0.25">
      <c r="A1921" s="1083"/>
      <c r="B1921" s="1455">
        <v>1671</v>
      </c>
      <c r="C1921" s="1087">
        <v>1.0090681132618018</v>
      </c>
      <c r="D1921" s="1087">
        <v>0.99457079414812255</v>
      </c>
      <c r="E1921" s="1087">
        <v>1.0041143466582461</v>
      </c>
      <c r="F1921" s="1087">
        <v>1.0049351441565051</v>
      </c>
      <c r="G1921" s="1087">
        <v>0.9799972227404935</v>
      </c>
      <c r="H1921" s="1087">
        <v>0.99027192276696541</v>
      </c>
      <c r="I1921" s="1087">
        <v>0.97018000094969625</v>
      </c>
      <c r="K1921">
        <v>1.8290555523458214</v>
      </c>
      <c r="L1921">
        <v>0</v>
      </c>
      <c r="M1921">
        <v>3.5497513117332827E-3</v>
      </c>
      <c r="N1921">
        <v>0.34130767756154901</v>
      </c>
      <c r="O1921">
        <v>0.23883284692827195</v>
      </c>
      <c r="P1921">
        <v>1.3066916786123017E-2</v>
      </c>
      <c r="Q1921">
        <v>1.5797958349992548E-3</v>
      </c>
      <c r="R1921">
        <v>3.5435960711942397E-3</v>
      </c>
      <c r="S1921">
        <v>0.35050103730465082</v>
      </c>
      <c r="T1921">
        <v>0.40470616729105346</v>
      </c>
      <c r="U1921">
        <v>0</v>
      </c>
      <c r="V1921">
        <v>0.19953760368794168</v>
      </c>
      <c r="W1921">
        <v>0.21684791919742516</v>
      </c>
      <c r="X1921">
        <v>5.303724263468533E-2</v>
      </c>
      <c r="Y1921">
        <v>9.6445003596598005E-3</v>
      </c>
    </row>
    <row r="1922" spans="1:25" x14ac:dyDescent="0.25">
      <c r="A1922" s="1083"/>
      <c r="B1922" s="1455">
        <v>1672</v>
      </c>
      <c r="C1922" s="1087">
        <v>0.98839764197042479</v>
      </c>
      <c r="D1922" s="1087">
        <v>1.0150611815521093</v>
      </c>
      <c r="E1922" s="1087">
        <v>1.015608276447272</v>
      </c>
      <c r="F1922" s="1087">
        <v>0.99856303850989181</v>
      </c>
      <c r="G1922" s="1087">
        <v>1.0083755177909599</v>
      </c>
      <c r="H1922" s="1087">
        <v>1.0046971679395602</v>
      </c>
      <c r="I1922" s="1087">
        <v>1.0232907719746749</v>
      </c>
      <c r="K1922">
        <v>1.8731349276190923</v>
      </c>
      <c r="L1922">
        <v>0</v>
      </c>
      <c r="M1922">
        <v>3.5520433732009588E-3</v>
      </c>
      <c r="N1922">
        <v>0.35371824712803368</v>
      </c>
      <c r="O1922">
        <v>0.2387249754593026</v>
      </c>
      <c r="P1922">
        <v>1.3505246657490323E-2</v>
      </c>
      <c r="Q1922">
        <v>1.6193444215032433E-3</v>
      </c>
      <c r="R1922">
        <v>3.5459555120404026E-3</v>
      </c>
      <c r="S1922">
        <v>0.37601744485371907</v>
      </c>
      <c r="T1922">
        <v>0.40221002932150274</v>
      </c>
      <c r="U1922">
        <v>0</v>
      </c>
      <c r="V1922">
        <v>0.20019606808605347</v>
      </c>
      <c r="W1922">
        <v>0.22313655215412959</v>
      </c>
      <c r="X1922">
        <v>5.4362185418663875E-2</v>
      </c>
      <c r="Y1922">
        <v>9.650921979853587E-3</v>
      </c>
    </row>
    <row r="1923" spans="1:25" x14ac:dyDescent="0.25">
      <c r="A1923" s="1083"/>
      <c r="B1923" s="1455">
        <v>1673</v>
      </c>
      <c r="C1923" s="1087">
        <v>0.99843403115137375</v>
      </c>
      <c r="D1923" s="1087">
        <v>0.97435448745194098</v>
      </c>
      <c r="E1923" s="1087">
        <v>1.0003977222794165</v>
      </c>
      <c r="F1923" s="1087">
        <v>0.96877787484691014</v>
      </c>
      <c r="G1923" s="1087">
        <v>1.0077083882794005</v>
      </c>
      <c r="H1923" s="1087">
        <v>1.0127635280441918</v>
      </c>
      <c r="I1923" s="1087">
        <v>1.0156195278011038</v>
      </c>
      <c r="K1923">
        <v>1.8649794436914338</v>
      </c>
      <c r="L1923">
        <v>0</v>
      </c>
      <c r="M1923">
        <v>3.7373753361668021E-3</v>
      </c>
      <c r="N1923">
        <v>0.35531094197070395</v>
      </c>
      <c r="O1923">
        <v>0.23770212944727909</v>
      </c>
      <c r="P1923">
        <v>1.3210177350928271E-2</v>
      </c>
      <c r="Q1923">
        <v>1.603435904420589E-3</v>
      </c>
      <c r="R1923">
        <v>3.7310553445269543E-3</v>
      </c>
      <c r="S1923">
        <v>0.37919277281082253</v>
      </c>
      <c r="T1923">
        <v>0.39012310757411489</v>
      </c>
      <c r="U1923">
        <v>0</v>
      </c>
      <c r="V1923">
        <v>0.19856399568539534</v>
      </c>
      <c r="W1923">
        <v>0.22626876493258835</v>
      </c>
      <c r="X1923">
        <v>5.2855735301079981E-2</v>
      </c>
      <c r="Y1923">
        <v>1.0154702705738598E-2</v>
      </c>
    </row>
    <row r="1924" spans="1:25" x14ac:dyDescent="0.25">
      <c r="A1924" s="1083"/>
      <c r="B1924" s="1455">
        <v>1674</v>
      </c>
      <c r="C1924" s="1087">
        <v>0.97857923717200546</v>
      </c>
      <c r="D1924" s="1087">
        <v>0.96910296384286321</v>
      </c>
      <c r="E1924" s="1087">
        <v>1.0148704612076085</v>
      </c>
      <c r="F1924" s="1087">
        <v>0.97514669652898256</v>
      </c>
      <c r="G1924" s="1087">
        <v>0.97001077194377439</v>
      </c>
      <c r="H1924" s="1087">
        <v>0.99128712642215966</v>
      </c>
      <c r="I1924" s="1087">
        <v>1.0059149624752111</v>
      </c>
      <c r="K1924">
        <v>1.8852046188867206</v>
      </c>
      <c r="L1924">
        <v>0</v>
      </c>
      <c r="M1924">
        <v>3.6333853557223728E-3</v>
      </c>
      <c r="N1924">
        <v>0.36100097232691214</v>
      </c>
      <c r="O1924">
        <v>0.24160634281784779</v>
      </c>
      <c r="P1924">
        <v>1.3448389698872673E-2</v>
      </c>
      <c r="Q1924">
        <v>1.6648882358911322E-3</v>
      </c>
      <c r="R1924">
        <v>3.6271119068792537E-3</v>
      </c>
      <c r="S1924">
        <v>0.38041421111021095</v>
      </c>
      <c r="T1924">
        <v>0.3927737822817759</v>
      </c>
      <c r="U1924">
        <v>0</v>
      </c>
      <c r="V1924">
        <v>0.20164330227610142</v>
      </c>
      <c r="W1924">
        <v>0.2278345372813245</v>
      </c>
      <c r="X1924">
        <v>5.4952663373217844E-2</v>
      </c>
      <c r="Y1924">
        <v>9.871802933406568E-3</v>
      </c>
    </row>
    <row r="1925" spans="1:25" x14ac:dyDescent="0.25">
      <c r="A1925" s="1083"/>
      <c r="B1925" s="1455">
        <v>1675</v>
      </c>
      <c r="C1925" s="1087">
        <v>0.99880314237823353</v>
      </c>
      <c r="D1925" s="1087">
        <v>1.0017280348667255</v>
      </c>
      <c r="E1925" s="1087">
        <v>0.97899080035837949</v>
      </c>
      <c r="F1925" s="1087">
        <v>1.0071602558326964</v>
      </c>
      <c r="G1925" s="1087">
        <v>0.96331626773161094</v>
      </c>
      <c r="H1925" s="1087">
        <v>0.97518226585410794</v>
      </c>
      <c r="I1925" s="1087">
        <v>0.99273422541972678</v>
      </c>
      <c r="K1925">
        <v>1.8209183601500318</v>
      </c>
      <c r="L1925">
        <v>0</v>
      </c>
      <c r="M1925">
        <v>3.7032784326365082E-3</v>
      </c>
      <c r="N1925">
        <v>0.32976491729049812</v>
      </c>
      <c r="O1925">
        <v>0.23925519425150552</v>
      </c>
      <c r="P1925">
        <v>1.2942149498449053E-2</v>
      </c>
      <c r="Q1925">
        <v>1.549238612722327E-3</v>
      </c>
      <c r="R1925">
        <v>3.696751200937745E-3</v>
      </c>
      <c r="S1925">
        <v>0.35790285241696934</v>
      </c>
      <c r="T1925">
        <v>0.40544987249794628</v>
      </c>
      <c r="U1925">
        <v>0</v>
      </c>
      <c r="V1925">
        <v>0.2002905275460489</v>
      </c>
      <c r="W1925">
        <v>0.21285053042520358</v>
      </c>
      <c r="X1925">
        <v>5.0858266707140255E-2</v>
      </c>
      <c r="Y1925">
        <v>1.0061338135246668E-2</v>
      </c>
    </row>
    <row r="1926" spans="1:25" x14ac:dyDescent="0.25">
      <c r="A1926" s="1083"/>
      <c r="B1926" s="1455">
        <v>1676</v>
      </c>
      <c r="C1926" s="1087">
        <v>1.0252452130083536</v>
      </c>
      <c r="D1926" s="1087">
        <v>0.97098406504915169</v>
      </c>
      <c r="E1926" s="1087">
        <v>0.97212314361682817</v>
      </c>
      <c r="F1926" s="1087">
        <v>1.0059319391818573</v>
      </c>
      <c r="G1926" s="1087">
        <v>0.98662190619344758</v>
      </c>
      <c r="H1926" s="1087">
        <v>1.0163548842615535</v>
      </c>
      <c r="I1926" s="1087">
        <v>0.98119189147780461</v>
      </c>
      <c r="K1926">
        <v>1.8332849874697705</v>
      </c>
      <c r="L1926">
        <v>0</v>
      </c>
      <c r="M1926">
        <v>3.8777726986813218E-3</v>
      </c>
      <c r="N1926">
        <v>0.33815553217226429</v>
      </c>
      <c r="O1926">
        <v>0.23894981119717137</v>
      </c>
      <c r="P1926">
        <v>1.2849091298703874E-2</v>
      </c>
      <c r="Q1926">
        <v>1.5169345130836192E-3</v>
      </c>
      <c r="R1926">
        <v>3.8712432947686309E-3</v>
      </c>
      <c r="S1926">
        <v>0.35780791354708508</v>
      </c>
      <c r="T1926">
        <v>0.40491427137909064</v>
      </c>
      <c r="U1926">
        <v>0</v>
      </c>
      <c r="V1926">
        <v>0.19901285180199993</v>
      </c>
      <c r="W1926">
        <v>0.21922246361727107</v>
      </c>
      <c r="X1926">
        <v>5.0326399253658977E-2</v>
      </c>
      <c r="Y1926">
        <v>1.0536248093351066E-2</v>
      </c>
    </row>
    <row r="1927" spans="1:25" x14ac:dyDescent="0.25">
      <c r="A1927" s="1083"/>
      <c r="B1927" s="1455">
        <v>1677</v>
      </c>
      <c r="C1927" s="1087">
        <v>1.007213211926042</v>
      </c>
      <c r="D1927" s="1087">
        <v>1.0361677758317227</v>
      </c>
      <c r="E1927" s="1087">
        <v>0.9790596343013338</v>
      </c>
      <c r="F1927" s="1087">
        <v>0.99143109074535252</v>
      </c>
      <c r="G1927" s="1087">
        <v>0.9839072804651734</v>
      </c>
      <c r="H1927" s="1087">
        <v>1.0251074438486036</v>
      </c>
      <c r="I1927" s="1087">
        <v>0.97849248098107822</v>
      </c>
      <c r="K1927">
        <v>1.8101752678182184</v>
      </c>
      <c r="L1927">
        <v>0</v>
      </c>
      <c r="M1927">
        <v>3.789587199140717E-3</v>
      </c>
      <c r="N1927">
        <v>0.33754770527589262</v>
      </c>
      <c r="O1927">
        <v>0.23306418330257689</v>
      </c>
      <c r="P1927">
        <v>1.2723895981935724E-2</v>
      </c>
      <c r="Q1927">
        <v>1.5157825398611946E-3</v>
      </c>
      <c r="R1927">
        <v>3.7832022937294239E-3</v>
      </c>
      <c r="S1927">
        <v>0.35195810227100488</v>
      </c>
      <c r="T1927">
        <v>0.39911823086693254</v>
      </c>
      <c r="U1927">
        <v>0</v>
      </c>
      <c r="V1927">
        <v>0.19626684466120656</v>
      </c>
      <c r="W1927">
        <v>0.21786450005668292</v>
      </c>
      <c r="X1927">
        <v>4.9825778256305339E-2</v>
      </c>
      <c r="Y1927">
        <v>1.029662951123054E-2</v>
      </c>
    </row>
    <row r="1928" spans="1:25" x14ac:dyDescent="0.25">
      <c r="A1928" s="1083"/>
      <c r="B1928" s="1455">
        <v>1678</v>
      </c>
      <c r="C1928" s="1087">
        <v>0.99091357859591955</v>
      </c>
      <c r="D1928" s="1087">
        <v>1.0388680631996932</v>
      </c>
      <c r="E1928" s="1087">
        <v>0.98996148145714691</v>
      </c>
      <c r="F1928" s="1087">
        <v>1.029733444209129</v>
      </c>
      <c r="G1928" s="1087">
        <v>1.0165651544447463</v>
      </c>
      <c r="H1928" s="1087">
        <v>0.9988776477962843</v>
      </c>
      <c r="I1928" s="1087">
        <v>0.98886771065287682</v>
      </c>
      <c r="K1928">
        <v>1.8419566273616774</v>
      </c>
      <c r="L1928">
        <v>0</v>
      </c>
      <c r="M1928">
        <v>3.6650801396095637E-3</v>
      </c>
      <c r="N1928">
        <v>0.33749863899924626</v>
      </c>
      <c r="O1928">
        <v>0.23927827393138093</v>
      </c>
      <c r="P1928">
        <v>1.3166196900556164E-2</v>
      </c>
      <c r="Q1928">
        <v>1.5572421571402447E-3</v>
      </c>
      <c r="R1928">
        <v>3.6587395901453938E-3</v>
      </c>
      <c r="S1928">
        <v>0.356470042347941</v>
      </c>
      <c r="T1928">
        <v>0.41460478878269441</v>
      </c>
      <c r="U1928">
        <v>0</v>
      </c>
      <c r="V1928">
        <v>0.20115512592390131</v>
      </c>
      <c r="W1928">
        <v>0.21633674917016796</v>
      </c>
      <c r="X1928">
        <v>5.1938026636917455E-2</v>
      </c>
      <c r="Y1928">
        <v>9.9578830611940158E-3</v>
      </c>
    </row>
    <row r="1929" spans="1:25" x14ac:dyDescent="0.25">
      <c r="A1929" s="1083"/>
      <c r="B1929" s="1455">
        <v>1679</v>
      </c>
      <c r="C1929" s="1087">
        <v>0.9878344538149022</v>
      </c>
      <c r="D1929" s="1087">
        <v>0.98867426661383673</v>
      </c>
      <c r="E1929" s="1087">
        <v>0.99074995982570879</v>
      </c>
      <c r="F1929" s="1087">
        <v>1.0081669278002374</v>
      </c>
      <c r="G1929" s="1087">
        <v>0.98864863897506261</v>
      </c>
      <c r="H1929" s="1087">
        <v>1.0228297606955663</v>
      </c>
      <c r="I1929" s="1087">
        <v>0.99120073819712351</v>
      </c>
      <c r="K1929">
        <v>1.8863839792610231</v>
      </c>
      <c r="L1929">
        <v>0</v>
      </c>
      <c r="M1929">
        <v>3.8615829336918592E-3</v>
      </c>
      <c r="N1929">
        <v>0.35646965141445608</v>
      </c>
      <c r="O1929">
        <v>0.24219789643416767</v>
      </c>
      <c r="P1929">
        <v>1.3293993247684457E-2</v>
      </c>
      <c r="Q1929">
        <v>1.5946939319209752E-3</v>
      </c>
      <c r="R1929">
        <v>3.8551058131531847E-3</v>
      </c>
      <c r="S1929">
        <v>0.37281561584257084</v>
      </c>
      <c r="T1929">
        <v>0.40592617832899408</v>
      </c>
      <c r="U1929">
        <v>0</v>
      </c>
      <c r="V1929">
        <v>0.20234009726341717</v>
      </c>
      <c r="W1929">
        <v>0.22838381133884342</v>
      </c>
      <c r="X1929">
        <v>5.2876191391391603E-2</v>
      </c>
      <c r="Y1929">
        <v>1.0492327188113208E-2</v>
      </c>
    </row>
    <row r="1930" spans="1:25" x14ac:dyDescent="0.25">
      <c r="A1930" s="1083"/>
      <c r="B1930" s="1455">
        <v>1680</v>
      </c>
      <c r="C1930" s="1087">
        <v>1.0054973271810468</v>
      </c>
      <c r="D1930" s="1087">
        <v>0.97576490763174462</v>
      </c>
      <c r="E1930" s="1087">
        <v>1.0084016978671917</v>
      </c>
      <c r="F1930" s="1087">
        <v>0.95308552947744163</v>
      </c>
      <c r="G1930" s="1087">
        <v>1.0324601410755037</v>
      </c>
      <c r="H1930" s="1087">
        <v>1.0018653923104084</v>
      </c>
      <c r="I1930" s="1087">
        <v>0.98907167798653839</v>
      </c>
      <c r="K1930">
        <v>1.8311506422462638</v>
      </c>
      <c r="L1930">
        <v>0</v>
      </c>
      <c r="M1930">
        <v>3.608327879914365E-3</v>
      </c>
      <c r="N1930">
        <v>0.35151524129111938</v>
      </c>
      <c r="O1930">
        <v>0.23490698227302817</v>
      </c>
      <c r="P1930">
        <v>1.2971244079685439E-2</v>
      </c>
      <c r="Q1930">
        <v>1.6048498305505342E-3</v>
      </c>
      <c r="R1930">
        <v>3.6021578347267499E-3</v>
      </c>
      <c r="S1930">
        <v>0.36449475922061242</v>
      </c>
      <c r="T1930">
        <v>0.38385022707569016</v>
      </c>
      <c r="U1930">
        <v>0</v>
      </c>
      <c r="V1930">
        <v>0.19639811293779313</v>
      </c>
      <c r="W1930">
        <v>0.22273856535744435</v>
      </c>
      <c r="X1930">
        <v>5.2872944050412561E-2</v>
      </c>
      <c r="Y1930">
        <v>9.8038861751151285E-3</v>
      </c>
    </row>
    <row r="1931" spans="1:25" x14ac:dyDescent="0.25">
      <c r="A1931" s="1083"/>
      <c r="B1931" s="1455">
        <v>1681</v>
      </c>
      <c r="C1931" s="1087">
        <v>1.0062009047500249</v>
      </c>
      <c r="D1931" s="1087">
        <v>1.0062784307105215</v>
      </c>
      <c r="E1931" s="1087">
        <v>1.0235153596354003</v>
      </c>
      <c r="F1931" s="1087">
        <v>1.0024045635340439</v>
      </c>
      <c r="G1931" s="1087">
        <v>1.004063834816376</v>
      </c>
      <c r="H1931" s="1087">
        <v>1.0093921171002063</v>
      </c>
      <c r="I1931" s="1087">
        <v>1.002756973599112</v>
      </c>
      <c r="K1931">
        <v>1.8602098570054924</v>
      </c>
      <c r="L1931">
        <v>0</v>
      </c>
      <c r="M1931">
        <v>3.4650995610889918E-3</v>
      </c>
      <c r="N1931">
        <v>0.35347917323070566</v>
      </c>
      <c r="O1931">
        <v>0.2379893944631872</v>
      </c>
      <c r="P1931">
        <v>1.3432626397851415E-2</v>
      </c>
      <c r="Q1931">
        <v>1.6096013338778438E-3</v>
      </c>
      <c r="R1931">
        <v>3.4591951616875188E-3</v>
      </c>
      <c r="S1931">
        <v>0.36462112071365127</v>
      </c>
      <c r="T1931">
        <v>0.40380603838127571</v>
      </c>
      <c r="U1931">
        <v>0</v>
      </c>
      <c r="V1931">
        <v>0.19911582045445694</v>
      </c>
      <c r="W1931">
        <v>0.22190276146490215</v>
      </c>
      <c r="X1931">
        <v>5.4844436058249492E-2</v>
      </c>
      <c r="Y1931">
        <v>9.4147889067348438E-3</v>
      </c>
    </row>
    <row r="1932" spans="1:25" x14ac:dyDescent="0.25">
      <c r="A1932" s="1083"/>
      <c r="B1932" s="1455">
        <v>1682</v>
      </c>
      <c r="C1932" s="1087">
        <v>0.98686374919979669</v>
      </c>
      <c r="D1932" s="1087">
        <v>1.030879921053963</v>
      </c>
      <c r="E1932" s="1087">
        <v>0.97615234082305036</v>
      </c>
      <c r="F1932" s="1087">
        <v>0.9744897835243147</v>
      </c>
      <c r="G1932" s="1087">
        <v>0.98220294711647316</v>
      </c>
      <c r="H1932" s="1087">
        <v>1.0387381286539781</v>
      </c>
      <c r="I1932" s="1087">
        <v>1.0235352216048021</v>
      </c>
      <c r="K1932">
        <v>1.8529165451440732</v>
      </c>
      <c r="L1932">
        <v>0</v>
      </c>
      <c r="M1932">
        <v>3.9538941594155792E-3</v>
      </c>
      <c r="N1932">
        <v>0.34907527536041444</v>
      </c>
      <c r="O1932">
        <v>0.23399082577602978</v>
      </c>
      <c r="P1932">
        <v>1.2984078429017649E-2</v>
      </c>
      <c r="Q1932">
        <v>1.5453568657252978E-3</v>
      </c>
      <c r="R1932">
        <v>3.9473254350826581E-3</v>
      </c>
      <c r="S1932">
        <v>0.37932438534613738</v>
      </c>
      <c r="T1932">
        <v>0.39228131674193067</v>
      </c>
      <c r="U1932">
        <v>0</v>
      </c>
      <c r="V1932">
        <v>0.19724540132000962</v>
      </c>
      <c r="W1932">
        <v>0.22572140828996293</v>
      </c>
      <c r="X1932">
        <v>5.0011747140363376E-2</v>
      </c>
      <c r="Y1932">
        <v>1.0743318598815037E-2</v>
      </c>
    </row>
    <row r="1933" spans="1:25" x14ac:dyDescent="0.25">
      <c r="A1933" s="1083"/>
      <c r="B1933" s="1455">
        <v>1683</v>
      </c>
      <c r="C1933" s="1087">
        <v>1.0069715623444602</v>
      </c>
      <c r="D1933" s="1087">
        <v>0.97425310011195565</v>
      </c>
      <c r="E1933" s="1087">
        <v>1.0051840705411874</v>
      </c>
      <c r="F1933" s="1087">
        <v>1.0074226930830044</v>
      </c>
      <c r="G1933" s="1087">
        <v>1.0089403650672597</v>
      </c>
      <c r="H1933" s="1087">
        <v>1.0225433858760165</v>
      </c>
      <c r="I1933" s="1087">
        <v>1.0303592295489863</v>
      </c>
      <c r="K1933">
        <v>1.8954999003076556</v>
      </c>
      <c r="L1933">
        <v>0</v>
      </c>
      <c r="M1933">
        <v>3.7062448604599798E-3</v>
      </c>
      <c r="N1933">
        <v>0.35754066194399742</v>
      </c>
      <c r="O1933">
        <v>0.24145276210700267</v>
      </c>
      <c r="P1933">
        <v>1.3563040932924075E-2</v>
      </c>
      <c r="Q1933">
        <v>1.5980253189192021E-3</v>
      </c>
      <c r="R1933">
        <v>3.700039273393488E-3</v>
      </c>
      <c r="S1933">
        <v>0.38340816440076536</v>
      </c>
      <c r="T1933">
        <v>0.40571450102176637</v>
      </c>
      <c r="U1933">
        <v>0</v>
      </c>
      <c r="V1933">
        <v>0.20108184350834751</v>
      </c>
      <c r="W1933">
        <v>0.22701020304582778</v>
      </c>
      <c r="X1933">
        <v>5.4066616430612773E-2</v>
      </c>
      <c r="Y1933">
        <v>1.0070287184558404E-2</v>
      </c>
    </row>
    <row r="1934" spans="1:25" x14ac:dyDescent="0.25">
      <c r="A1934" s="1083"/>
      <c r="B1934" s="1455">
        <v>1684</v>
      </c>
      <c r="C1934" s="1087">
        <v>1.0153021378577021</v>
      </c>
      <c r="D1934" s="1087">
        <v>1.0353522341391677</v>
      </c>
      <c r="E1934" s="1087">
        <v>0.9744942112789482</v>
      </c>
      <c r="F1934" s="1087">
        <v>1.027894564207481</v>
      </c>
      <c r="G1934" s="1087">
        <v>1.0020273644412405</v>
      </c>
      <c r="H1934" s="1087">
        <v>1.0232688950209572</v>
      </c>
      <c r="I1934" s="1087">
        <v>0.9811076455702672</v>
      </c>
      <c r="K1934">
        <v>1.8208690493023119</v>
      </c>
      <c r="L1934">
        <v>0</v>
      </c>
      <c r="M1934">
        <v>3.7875558673092797E-3</v>
      </c>
      <c r="N1934">
        <v>0.33268999660876758</v>
      </c>
      <c r="O1934">
        <v>0.23618109203979637</v>
      </c>
      <c r="P1934">
        <v>1.2876088282719706E-2</v>
      </c>
      <c r="Q1934">
        <v>1.4967919572299068E-3</v>
      </c>
      <c r="R1934">
        <v>3.7811606080310404E-3</v>
      </c>
      <c r="S1934">
        <v>0.34979016944696462</v>
      </c>
      <c r="T1934">
        <v>0.413769292849617</v>
      </c>
      <c r="U1934">
        <v>0</v>
      </c>
      <c r="V1934">
        <v>0.19845489935587332</v>
      </c>
      <c r="W1934">
        <v>0.21535343538486798</v>
      </c>
      <c r="X1934">
        <v>4.9972605919952957E-2</v>
      </c>
      <c r="Y1934">
        <v>1.0291072715801049E-2</v>
      </c>
    </row>
    <row r="1935" spans="1:25" x14ac:dyDescent="0.25">
      <c r="A1935" s="1083"/>
      <c r="B1935" s="1455">
        <v>1685</v>
      </c>
      <c r="C1935" s="1087">
        <v>1.0197507947783326</v>
      </c>
      <c r="D1935" s="1087">
        <v>1.0199425048503701</v>
      </c>
      <c r="E1935" s="1087">
        <v>0.98910331602979107</v>
      </c>
      <c r="F1935" s="1087">
        <v>0.98078564052934192</v>
      </c>
      <c r="G1935" s="1087">
        <v>1.0077255641494245</v>
      </c>
      <c r="H1935" s="1087">
        <v>1.0358739003440722</v>
      </c>
      <c r="I1935" s="1087">
        <v>1.0121507841306765</v>
      </c>
      <c r="K1935">
        <v>1.8253089481359339</v>
      </c>
      <c r="L1935">
        <v>0</v>
      </c>
      <c r="M1935">
        <v>3.7373751130749342E-3</v>
      </c>
      <c r="N1935">
        <v>0.3432779306429492</v>
      </c>
      <c r="O1935">
        <v>0.23205759738549131</v>
      </c>
      <c r="P1935">
        <v>1.2919181294648915E-2</v>
      </c>
      <c r="Q1935">
        <v>1.5229739220594635E-3</v>
      </c>
      <c r="R1935">
        <v>3.7311575011822421E-3</v>
      </c>
      <c r="S1935">
        <v>0.36476655987933204</v>
      </c>
      <c r="T1935">
        <v>0.39489172023527847</v>
      </c>
      <c r="U1935">
        <v>0</v>
      </c>
      <c r="V1935">
        <v>0.19494459566381916</v>
      </c>
      <c r="W1935">
        <v>0.22016022953523628</v>
      </c>
      <c r="X1935">
        <v>5.06193964465326E-2</v>
      </c>
      <c r="Y1935">
        <v>1.0154980742478361E-2</v>
      </c>
    </row>
    <row r="1936" spans="1:25" x14ac:dyDescent="0.25">
      <c r="A1936" s="1083"/>
      <c r="B1936" s="1455">
        <v>1686</v>
      </c>
      <c r="C1936" s="1087">
        <v>0.99678431367329667</v>
      </c>
      <c r="D1936" s="1087">
        <v>1.0085636415301606</v>
      </c>
      <c r="E1936" s="1087">
        <v>1.0034667993883353</v>
      </c>
      <c r="F1936" s="1087">
        <v>1.0168881710952027</v>
      </c>
      <c r="G1936" s="1087">
        <v>0.99123487740592531</v>
      </c>
      <c r="H1936" s="1087">
        <v>0.98238618171190473</v>
      </c>
      <c r="I1936" s="1087">
        <v>0.98357816806819431</v>
      </c>
      <c r="K1936">
        <v>1.8402065438624724</v>
      </c>
      <c r="L1936">
        <v>0</v>
      </c>
      <c r="M1936">
        <v>3.5427354888283892E-3</v>
      </c>
      <c r="N1936">
        <v>0.33995491519893623</v>
      </c>
      <c r="O1936">
        <v>0.24030592879831153</v>
      </c>
      <c r="P1936">
        <v>1.3216975262072741E-2</v>
      </c>
      <c r="Q1936">
        <v>1.5892569826881145E-3</v>
      </c>
      <c r="R1936">
        <v>3.5365309019021172E-3</v>
      </c>
      <c r="S1936">
        <v>0.35553497997531869</v>
      </c>
      <c r="T1936">
        <v>0.40951587407825518</v>
      </c>
      <c r="U1936">
        <v>0</v>
      </c>
      <c r="V1936">
        <v>0.20112278494213356</v>
      </c>
      <c r="W1936">
        <v>0.2160756074745234</v>
      </c>
      <c r="X1936">
        <v>5.3271154439278927E-2</v>
      </c>
      <c r="Y1936">
        <v>9.6252712978790698E-3</v>
      </c>
    </row>
    <row r="1937" spans="1:25" x14ac:dyDescent="0.25">
      <c r="A1937" s="1083"/>
      <c r="B1937" s="1455">
        <v>1687</v>
      </c>
      <c r="C1937" s="1087">
        <v>0.97922668059548257</v>
      </c>
      <c r="D1937" s="1087">
        <v>1.00699204366104</v>
      </c>
      <c r="E1937" s="1087">
        <v>0.99324415767166319</v>
      </c>
      <c r="F1937" s="1087">
        <v>0.97754756168134149</v>
      </c>
      <c r="G1937" s="1087">
        <v>0.98098466654174798</v>
      </c>
      <c r="H1937" s="1087">
        <v>0.99754508741759762</v>
      </c>
      <c r="I1937" s="1087">
        <v>1.0106394760297697</v>
      </c>
      <c r="K1937">
        <v>1.8537303594110126</v>
      </c>
      <c r="L1937">
        <v>0</v>
      </c>
      <c r="M1937">
        <v>3.7422538874643148E-3</v>
      </c>
      <c r="N1937">
        <v>0.34807875855596021</v>
      </c>
      <c r="O1937">
        <v>0.23779657248647748</v>
      </c>
      <c r="P1937">
        <v>1.3143493310604876E-2</v>
      </c>
      <c r="Q1937">
        <v>1.6012096154028035E-3</v>
      </c>
      <c r="R1937">
        <v>3.7358006028191887E-3</v>
      </c>
      <c r="S1937">
        <v>0.37488729198055964</v>
      </c>
      <c r="T1937">
        <v>0.39361235113787135</v>
      </c>
      <c r="U1937">
        <v>0</v>
      </c>
      <c r="V1937">
        <v>0.19965901233351954</v>
      </c>
      <c r="W1937">
        <v>0.22265854542836541</v>
      </c>
      <c r="X1937">
        <v>5.2131960112360855E-2</v>
      </c>
      <c r="Y1937">
        <v>1.0167617734536083E-2</v>
      </c>
    </row>
    <row r="1938" spans="1:25" x14ac:dyDescent="0.25">
      <c r="A1938" s="1083"/>
      <c r="B1938" s="1455">
        <v>1688</v>
      </c>
      <c r="C1938" s="1087">
        <v>0.98558900539450689</v>
      </c>
      <c r="D1938" s="1087">
        <v>0.98617121693988763</v>
      </c>
      <c r="E1938" s="1087">
        <v>1.0375466868755858</v>
      </c>
      <c r="F1938" s="1087">
        <v>1.033412325612338</v>
      </c>
      <c r="G1938" s="1087">
        <v>1.0164365309313206</v>
      </c>
      <c r="H1938" s="1087">
        <v>1.0025948453639282</v>
      </c>
      <c r="I1938" s="1087">
        <v>0.98157487267790122</v>
      </c>
      <c r="K1938">
        <v>1.914524672120659</v>
      </c>
      <c r="L1938">
        <v>0</v>
      </c>
      <c r="M1938">
        <v>3.4516269266002013E-3</v>
      </c>
      <c r="N1938">
        <v>0.36747175841768304</v>
      </c>
      <c r="O1938">
        <v>0.24641799234799874</v>
      </c>
      <c r="P1938">
        <v>1.3871016411598085E-2</v>
      </c>
      <c r="Q1938">
        <v>1.681146662793416E-3</v>
      </c>
      <c r="R1938">
        <v>3.4457229106923878E-3</v>
      </c>
      <c r="S1938">
        <v>0.36742116861477331</v>
      </c>
      <c r="T1938">
        <v>0.41638685534831404</v>
      </c>
      <c r="U1938">
        <v>0</v>
      </c>
      <c r="V1938">
        <v>0.20519293270387348</v>
      </c>
      <c r="W1938">
        <v>0.22871858554931321</v>
      </c>
      <c r="X1938">
        <v>5.7990998199564665E-2</v>
      </c>
      <c r="Y1938">
        <v>9.3781218806524465E-3</v>
      </c>
    </row>
    <row r="1939" spans="1:25" x14ac:dyDescent="0.25">
      <c r="A1939" s="1083"/>
      <c r="B1939" s="1455">
        <v>1689</v>
      </c>
      <c r="C1939" s="1087">
        <v>0.96535702269417722</v>
      </c>
      <c r="D1939" s="1087">
        <v>0.96907785844633876</v>
      </c>
      <c r="E1939" s="1087">
        <v>0.98001905183340265</v>
      </c>
      <c r="F1939" s="1087">
        <v>0.99977349061420262</v>
      </c>
      <c r="G1939" s="1087">
        <v>1.0129028584100495</v>
      </c>
      <c r="H1939" s="1087">
        <v>1.0114769905397951</v>
      </c>
      <c r="I1939" s="1087">
        <v>0.99000868779064599</v>
      </c>
      <c r="K1939">
        <v>1.9081404933784172</v>
      </c>
      <c r="L1939">
        <v>0</v>
      </c>
      <c r="M1939">
        <v>4.0365088425969213E-3</v>
      </c>
      <c r="N1939">
        <v>0.36059489249922366</v>
      </c>
      <c r="O1939">
        <v>0.24581243661439023</v>
      </c>
      <c r="P1939">
        <v>1.3314118065353408E-2</v>
      </c>
      <c r="Q1939">
        <v>1.6261014816834052E-3</v>
      </c>
      <c r="R1939">
        <v>4.0296796880727355E-3</v>
      </c>
      <c r="S1939">
        <v>0.38296725402977272</v>
      </c>
      <c r="T1939">
        <v>0.40248233877559875</v>
      </c>
      <c r="U1939">
        <v>0</v>
      </c>
      <c r="V1939">
        <v>0.20511224331706551</v>
      </c>
      <c r="W1939">
        <v>0.23259827452587775</v>
      </c>
      <c r="X1939">
        <v>5.2672203496591248E-2</v>
      </c>
      <c r="Y1939">
        <v>1.096745972738182E-2</v>
      </c>
    </row>
    <row r="1940" spans="1:25" x14ac:dyDescent="0.25">
      <c r="A1940" s="1083"/>
      <c r="B1940" s="1455">
        <v>1690</v>
      </c>
      <c r="C1940" s="1087">
        <v>0.96622021123748247</v>
      </c>
      <c r="D1940" s="1087">
        <v>0.98760319666694618</v>
      </c>
      <c r="E1940" s="1087">
        <v>0.96476440229794569</v>
      </c>
      <c r="F1940" s="1087">
        <v>0.98966907734442355</v>
      </c>
      <c r="G1940" s="1087">
        <v>0.99557345119419172</v>
      </c>
      <c r="H1940" s="1087">
        <v>1.0381105815109628</v>
      </c>
      <c r="I1940" s="1087">
        <v>0.97270972405072142</v>
      </c>
      <c r="K1940">
        <v>1.8922528574481345</v>
      </c>
      <c r="L1940">
        <v>0</v>
      </c>
      <c r="M1940">
        <v>4.2264939673171513E-3</v>
      </c>
      <c r="N1940">
        <v>0.36037331642226006</v>
      </c>
      <c r="O1940">
        <v>0.24236854520769266</v>
      </c>
      <c r="P1940">
        <v>1.2993923246416367E-2</v>
      </c>
      <c r="Q1940">
        <v>1.5860198920277788E-3</v>
      </c>
      <c r="R1940">
        <v>4.2195087277356177E-3</v>
      </c>
      <c r="S1940">
        <v>0.37673214632347779</v>
      </c>
      <c r="T1940">
        <v>0.3983249200986948</v>
      </c>
      <c r="U1940">
        <v>0</v>
      </c>
      <c r="V1940">
        <v>0.20302065366825833</v>
      </c>
      <c r="W1940">
        <v>0.23472869190061124</v>
      </c>
      <c r="X1940">
        <v>5.0647514132059215E-2</v>
      </c>
      <c r="Y1940">
        <v>1.1484111796218083E-2</v>
      </c>
    </row>
    <row r="1941" spans="1:25" x14ac:dyDescent="0.25">
      <c r="A1941" s="1083"/>
      <c r="B1941" s="1455">
        <v>1691</v>
      </c>
      <c r="C1941" s="1087">
        <v>0.99870794208734026</v>
      </c>
      <c r="D1941" s="1087">
        <v>1.0247753898562508</v>
      </c>
      <c r="E1941" s="1087">
        <v>0.99275279918789938</v>
      </c>
      <c r="F1941" s="1087">
        <v>0.95959615712631785</v>
      </c>
      <c r="G1941" s="1087">
        <v>1.02046859026715</v>
      </c>
      <c r="H1941" s="1087">
        <v>0.98327136145471306</v>
      </c>
      <c r="I1941" s="1087">
        <v>1.0423258132666307</v>
      </c>
      <c r="K1941">
        <v>1.8070203294859102</v>
      </c>
      <c r="L1941">
        <v>0</v>
      </c>
      <c r="M1941">
        <v>3.5864617882044622E-3</v>
      </c>
      <c r="N1941">
        <v>0.3330781975420552</v>
      </c>
      <c r="O1941">
        <v>0.23161687370647002</v>
      </c>
      <c r="P1941">
        <v>1.2950067801127141E-2</v>
      </c>
      <c r="Q1941">
        <v>1.5582016200490071E-3</v>
      </c>
      <c r="R1941">
        <v>3.5801722244812725E-3</v>
      </c>
      <c r="S1941">
        <v>0.37278588112067196</v>
      </c>
      <c r="T1941">
        <v>0.38638132355725591</v>
      </c>
      <c r="U1941">
        <v>0</v>
      </c>
      <c r="V1941">
        <v>0.19509488063564298</v>
      </c>
      <c r="W1941">
        <v>0.21312877573668593</v>
      </c>
      <c r="X1941">
        <v>5.068836873809205E-2</v>
      </c>
      <c r="Y1941">
        <v>9.7440485915814105E-3</v>
      </c>
    </row>
    <row r="1942" spans="1:25" x14ac:dyDescent="0.25">
      <c r="A1942" s="1083"/>
      <c r="B1942" s="1455">
        <v>1692</v>
      </c>
      <c r="C1942" s="1087">
        <v>0.97600915637956498</v>
      </c>
      <c r="D1942" s="1087">
        <v>1.0018769712074154</v>
      </c>
      <c r="E1942" s="1087">
        <v>1.0151660817693693</v>
      </c>
      <c r="F1942" s="1087">
        <v>0.98657551990511239</v>
      </c>
      <c r="G1942" s="1087">
        <v>1.0033237063461091</v>
      </c>
      <c r="H1942" s="1087">
        <v>0.97582895408510339</v>
      </c>
      <c r="I1942" s="1087">
        <v>0.99751023630215518</v>
      </c>
      <c r="K1942">
        <v>1.8573452690553665</v>
      </c>
      <c r="L1942">
        <v>0</v>
      </c>
      <c r="M1942">
        <v>3.5214258434215686E-3</v>
      </c>
      <c r="N1942">
        <v>0.35018023943786963</v>
      </c>
      <c r="O1942">
        <v>0.24009803712010216</v>
      </c>
      <c r="P1942">
        <v>1.3344637867716586E-2</v>
      </c>
      <c r="Q1942">
        <v>1.6477265901119272E-3</v>
      </c>
      <c r="R1942">
        <v>3.5152227625102148E-3</v>
      </c>
      <c r="S1942">
        <v>0.3685202777001555</v>
      </c>
      <c r="T1942">
        <v>0.3973789188097484</v>
      </c>
      <c r="U1942">
        <v>0</v>
      </c>
      <c r="V1942">
        <v>0.20120296585421749</v>
      </c>
      <c r="W1942">
        <v>0.22096500767102878</v>
      </c>
      <c r="X1942">
        <v>5.4446383518645447E-2</v>
      </c>
      <c r="Y1942">
        <v>9.5672775666805765E-3</v>
      </c>
    </row>
    <row r="1943" spans="1:25" x14ac:dyDescent="0.25">
      <c r="A1943" s="1083"/>
      <c r="B1943" s="1455">
        <v>1693</v>
      </c>
      <c r="C1943" s="1087">
        <v>1.0256561288565065</v>
      </c>
      <c r="D1943" s="1087">
        <v>0.98849996759818715</v>
      </c>
      <c r="E1943" s="1087">
        <v>0.98919620412366216</v>
      </c>
      <c r="F1943" s="1087">
        <v>1.0327476048318194</v>
      </c>
      <c r="G1943" s="1087">
        <v>0.97775652931616619</v>
      </c>
      <c r="H1943" s="1087">
        <v>0.97809845739677947</v>
      </c>
      <c r="I1943" s="1087">
        <v>1.0143969540560249</v>
      </c>
      <c r="K1943">
        <v>1.8302174903651331</v>
      </c>
      <c r="L1943">
        <v>0</v>
      </c>
      <c r="M1943">
        <v>3.5672426152962601E-3</v>
      </c>
      <c r="N1943">
        <v>0.32771440984444611</v>
      </c>
      <c r="O1943">
        <v>0.24043054208739734</v>
      </c>
      <c r="P1943">
        <v>1.3203718729193766E-2</v>
      </c>
      <c r="Q1943">
        <v>1.5334428003502508E-3</v>
      </c>
      <c r="R1943">
        <v>3.5609840740631338E-3</v>
      </c>
      <c r="S1943">
        <v>0.35936976025471623</v>
      </c>
      <c r="T1943">
        <v>0.41581363658780313</v>
      </c>
      <c r="U1943">
        <v>0</v>
      </c>
      <c r="V1943">
        <v>0.20037885143240652</v>
      </c>
      <c r="W1943">
        <v>0.210166315838692</v>
      </c>
      <c r="X1943">
        <v>5.1921246559844106E-2</v>
      </c>
      <c r="Y1943">
        <v>9.691824771515322E-3</v>
      </c>
    </row>
    <row r="1944" spans="1:25" x14ac:dyDescent="0.25">
      <c r="A1944" s="1083"/>
      <c r="B1944" s="1455">
        <v>1694</v>
      </c>
      <c r="C1944" s="1087">
        <v>0.98408326944176971</v>
      </c>
      <c r="D1944" s="1087">
        <v>0.97647528246680715</v>
      </c>
      <c r="E1944" s="1087">
        <v>1.0192103632829734</v>
      </c>
      <c r="F1944" s="1087">
        <v>0.96942260734678687</v>
      </c>
      <c r="G1944" s="1087">
        <v>0.95644687764500813</v>
      </c>
      <c r="H1944" s="1087">
        <v>0.98440808448484618</v>
      </c>
      <c r="I1944" s="1087">
        <v>0.9707357526747713</v>
      </c>
      <c r="K1944">
        <v>1.8528195148535374</v>
      </c>
      <c r="L1944">
        <v>0</v>
      </c>
      <c r="M1944">
        <v>3.5418685540784907E-3</v>
      </c>
      <c r="N1944">
        <v>0.35658905873905822</v>
      </c>
      <c r="O1944">
        <v>0.23955723475213125</v>
      </c>
      <c r="P1944">
        <v>1.3189052952833796E-2</v>
      </c>
      <c r="Q1944">
        <v>1.6581488712098392E-3</v>
      </c>
      <c r="R1944">
        <v>3.5357041885974638E-3</v>
      </c>
      <c r="S1944">
        <v>0.36233562386917423</v>
      </c>
      <c r="T1944">
        <v>0.390494006891276</v>
      </c>
      <c r="U1944">
        <v>0</v>
      </c>
      <c r="V1944">
        <v>0.20016323503389255</v>
      </c>
      <c r="W1944">
        <v>0.22444839610287298</v>
      </c>
      <c r="X1944">
        <v>5.4767900749780718E-2</v>
      </c>
      <c r="Y1944">
        <v>9.6230212567897724E-3</v>
      </c>
    </row>
    <row r="1945" spans="1:25" x14ac:dyDescent="0.25">
      <c r="A1945" s="1083"/>
      <c r="B1945" s="1455">
        <v>1695</v>
      </c>
      <c r="C1945" s="1087">
        <v>0.9914506096919744</v>
      </c>
      <c r="D1945" s="1087">
        <v>1.0026888441672162</v>
      </c>
      <c r="E1945" s="1087">
        <v>0.97225232357062252</v>
      </c>
      <c r="F1945" s="1087">
        <v>0.99197142813951689</v>
      </c>
      <c r="G1945" s="1087">
        <v>0.98316791094777967</v>
      </c>
      <c r="H1945" s="1087">
        <v>1.0060202816060213</v>
      </c>
      <c r="I1945" s="1087">
        <v>1.0217009818280904</v>
      </c>
      <c r="K1945">
        <v>1.8499195615447299</v>
      </c>
      <c r="L1945">
        <v>0</v>
      </c>
      <c r="M1945">
        <v>3.8999078179908428E-3</v>
      </c>
      <c r="N1945">
        <v>0.34021165617329535</v>
      </c>
      <c r="O1945">
        <v>0.23816116547784344</v>
      </c>
      <c r="P1945">
        <v>1.3034748404162546E-2</v>
      </c>
      <c r="Q1945">
        <v>1.5488255930374848E-3</v>
      </c>
      <c r="R1945">
        <v>3.8932438282663117E-3</v>
      </c>
      <c r="S1945">
        <v>0.37655386979915273</v>
      </c>
      <c r="T1945">
        <v>0.39929555643918685</v>
      </c>
      <c r="U1945">
        <v>0</v>
      </c>
      <c r="V1945">
        <v>0.19968251895052982</v>
      </c>
      <c r="W1945">
        <v>0.22053724702045774</v>
      </c>
      <c r="X1945">
        <v>5.0304511383730391E-2</v>
      </c>
      <c r="Y1945">
        <v>1.0596126293057834E-2</v>
      </c>
    </row>
    <row r="1946" spans="1:25" x14ac:dyDescent="0.25">
      <c r="A1946" s="1083"/>
      <c r="B1946" s="1455">
        <v>1696</v>
      </c>
      <c r="C1946" s="1087">
        <v>0.99823251386853784</v>
      </c>
      <c r="D1946" s="1087">
        <v>1.008630688503837</v>
      </c>
      <c r="E1946" s="1087">
        <v>0.9702435176595825</v>
      </c>
      <c r="F1946" s="1087">
        <v>1.0188915025907486</v>
      </c>
      <c r="G1946" s="1087">
        <v>0.96805130867522227</v>
      </c>
      <c r="H1946" s="1087">
        <v>1.0171805974088255</v>
      </c>
      <c r="I1946" s="1087">
        <v>0.98388399761120082</v>
      </c>
      <c r="K1946">
        <v>1.8478264621523619</v>
      </c>
      <c r="L1946">
        <v>0</v>
      </c>
      <c r="M1946">
        <v>3.9197053832974544E-3</v>
      </c>
      <c r="N1946">
        <v>0.33985044891533867</v>
      </c>
      <c r="O1946">
        <v>0.23986965156106876</v>
      </c>
      <c r="P1946">
        <v>1.2967298495368524E-2</v>
      </c>
      <c r="Q1946">
        <v>1.5313409429203401E-3</v>
      </c>
      <c r="R1946">
        <v>3.9130752285588587E-3</v>
      </c>
      <c r="S1946">
        <v>0.36093000148282378</v>
      </c>
      <c r="T1946">
        <v>0.41011947694128603</v>
      </c>
      <c r="U1946">
        <v>0</v>
      </c>
      <c r="V1946">
        <v>0.20093037042660747</v>
      </c>
      <c r="W1946">
        <v>0.22058585990294713</v>
      </c>
      <c r="X1946">
        <v>5.0398542811502474E-2</v>
      </c>
      <c r="Y1946">
        <v>1.0650100827234802E-2</v>
      </c>
    </row>
    <row r="1947" spans="1:25" x14ac:dyDescent="0.25">
      <c r="A1947" s="1083"/>
      <c r="B1947" s="1455">
        <v>1697</v>
      </c>
      <c r="C1947" s="1087">
        <v>0.99606203553213524</v>
      </c>
      <c r="D1947" s="1087">
        <v>0.97688872768859136</v>
      </c>
      <c r="E1947" s="1087">
        <v>1.0085477442950281</v>
      </c>
      <c r="F1947" s="1087">
        <v>1.0144559249936234</v>
      </c>
      <c r="G1947" s="1087">
        <v>1.0240926860570057</v>
      </c>
      <c r="H1947" s="1087">
        <v>1.0018025204599845</v>
      </c>
      <c r="I1947" s="1087">
        <v>1.0291192568481733</v>
      </c>
      <c r="K1947">
        <v>1.8967884825479746</v>
      </c>
      <c r="L1947">
        <v>0</v>
      </c>
      <c r="M1947">
        <v>3.6403989033436256E-3</v>
      </c>
      <c r="N1947">
        <v>0.35479763471534936</v>
      </c>
      <c r="O1947">
        <v>0.24339672756615738</v>
      </c>
      <c r="P1947">
        <v>1.3648652028309824E-2</v>
      </c>
      <c r="Q1947">
        <v>1.6195570979785081E-3</v>
      </c>
      <c r="R1947">
        <v>3.6341751409711865E-3</v>
      </c>
      <c r="S1947">
        <v>0.38266779178089377</v>
      </c>
      <c r="T1947">
        <v>0.40856773694550574</v>
      </c>
      <c r="U1947">
        <v>0</v>
      </c>
      <c r="V1947">
        <v>0.20273938544768152</v>
      </c>
      <c r="W1947">
        <v>0.22479807843703001</v>
      </c>
      <c r="X1947">
        <v>5.4668115563227641E-2</v>
      </c>
      <c r="Y1947">
        <v>9.8910267282103156E-3</v>
      </c>
    </row>
    <row r="1948" spans="1:25" x14ac:dyDescent="0.25">
      <c r="A1948" s="1083"/>
      <c r="B1948" s="1455">
        <v>1698</v>
      </c>
      <c r="C1948" s="1087">
        <v>0.98375270132475967</v>
      </c>
      <c r="D1948" s="1087">
        <v>1.0056954706735266</v>
      </c>
      <c r="E1948" s="1087">
        <v>1.0020330209263146</v>
      </c>
      <c r="F1948" s="1087">
        <v>0.97089504197040188</v>
      </c>
      <c r="G1948" s="1087">
        <v>1.0276955839816266</v>
      </c>
      <c r="H1948" s="1087">
        <v>0.9958930934487753</v>
      </c>
      <c r="I1948" s="1087">
        <v>1.0329735254739736</v>
      </c>
      <c r="K1948">
        <v>1.8567305624482504</v>
      </c>
      <c r="L1948">
        <v>0</v>
      </c>
      <c r="M1948">
        <v>3.6550430378775771E-3</v>
      </c>
      <c r="N1948">
        <v>0.34920930974245684</v>
      </c>
      <c r="O1948">
        <v>0.23668646145336764</v>
      </c>
      <c r="P1948">
        <v>1.3270943793772062E-2</v>
      </c>
      <c r="Q1948">
        <v>1.6096873750728405E-3</v>
      </c>
      <c r="R1948">
        <v>3.6487305999351612E-3</v>
      </c>
      <c r="S1948">
        <v>0.38146565377632907</v>
      </c>
      <c r="T1948">
        <v>0.39098531107091922</v>
      </c>
      <c r="U1948">
        <v>0</v>
      </c>
      <c r="V1948">
        <v>0.19869773565019333</v>
      </c>
      <c r="W1948">
        <v>0.22215622818933142</v>
      </c>
      <c r="X1948">
        <v>5.2724901945445636E-2</v>
      </c>
      <c r="Y1948">
        <v>9.9306418893045038E-3</v>
      </c>
    </row>
    <row r="1949" spans="1:25" x14ac:dyDescent="0.25">
      <c r="A1949" s="1083"/>
      <c r="B1949" s="1455">
        <v>1699</v>
      </c>
      <c r="C1949" s="1087">
        <v>1.0161787882935265</v>
      </c>
      <c r="D1949" s="1087">
        <v>0.99565847582007472</v>
      </c>
      <c r="E1949" s="1087">
        <v>0.99595102897818266</v>
      </c>
      <c r="F1949" s="1087">
        <v>0.99930955312527969</v>
      </c>
      <c r="G1949" s="1087">
        <v>1.0140305557621232</v>
      </c>
      <c r="H1949" s="1087">
        <v>1.0268211917029739</v>
      </c>
      <c r="I1949" s="1087">
        <v>1.0020693780398149</v>
      </c>
      <c r="K1949">
        <v>1.8512377303630012</v>
      </c>
      <c r="L1949">
        <v>0</v>
      </c>
      <c r="M1949">
        <v>3.7142713367629776E-3</v>
      </c>
      <c r="N1949">
        <v>0.34836088593752779</v>
      </c>
      <c r="O1949">
        <v>0.23709469154592028</v>
      </c>
      <c r="P1949">
        <v>1.3145054698631906E-2</v>
      </c>
      <c r="Q1949">
        <v>1.5544749750915322E-3</v>
      </c>
      <c r="R1949">
        <v>3.7080589634530606E-3</v>
      </c>
      <c r="S1949">
        <v>0.36572674655307746</v>
      </c>
      <c r="T1949">
        <v>0.40239120679679941</v>
      </c>
      <c r="U1949">
        <v>0</v>
      </c>
      <c r="V1949">
        <v>0.19819670357258448</v>
      </c>
      <c r="W1949">
        <v>0.22246091088329989</v>
      </c>
      <c r="X1949">
        <v>5.2221153636167091E-2</v>
      </c>
      <c r="Y1949">
        <v>1.0092114137210445E-2</v>
      </c>
    </row>
    <row r="1950" spans="1:25" x14ac:dyDescent="0.25">
      <c r="A1950" s="1083"/>
      <c r="B1950" s="1455">
        <v>1700</v>
      </c>
      <c r="C1950" s="1087">
        <v>0.99709753330476258</v>
      </c>
      <c r="D1950" s="1087">
        <v>0.95836647826860111</v>
      </c>
      <c r="E1950" s="1087">
        <v>0.95708675669114418</v>
      </c>
      <c r="F1950" s="1087">
        <v>1.0070838486433575</v>
      </c>
      <c r="G1950" s="1087">
        <v>0.97663420086512143</v>
      </c>
      <c r="H1950" s="1087">
        <v>0.98845017720968897</v>
      </c>
      <c r="I1950" s="1087">
        <v>1.0126643604855636</v>
      </c>
      <c r="K1950">
        <v>1.8587893153827928</v>
      </c>
      <c r="L1950">
        <v>0</v>
      </c>
      <c r="M1950">
        <v>4.0264568119562682E-3</v>
      </c>
      <c r="N1950">
        <v>0.33531891238524336</v>
      </c>
      <c r="O1950">
        <v>0.24354607031311482</v>
      </c>
      <c r="P1950">
        <v>1.3008957003061709E-2</v>
      </c>
      <c r="Q1950">
        <v>1.5425582029325027E-3</v>
      </c>
      <c r="R1950">
        <v>4.0194982754462264E-3</v>
      </c>
      <c r="S1950">
        <v>0.37704442693626167</v>
      </c>
      <c r="T1950">
        <v>0.40528855102158157</v>
      </c>
      <c r="U1950">
        <v>0</v>
      </c>
      <c r="V1950">
        <v>0.20270188471925271</v>
      </c>
      <c r="W1950">
        <v>0.21949135517347512</v>
      </c>
      <c r="X1950">
        <v>4.9913808885864268E-2</v>
      </c>
      <c r="Y1950">
        <v>1.0939749278514235E-2</v>
      </c>
    </row>
    <row r="1951" spans="1:25" x14ac:dyDescent="0.25">
      <c r="A1951" s="1083"/>
      <c r="B1951" s="1455">
        <v>1701</v>
      </c>
      <c r="C1951" s="1087">
        <v>0.98780985678817201</v>
      </c>
      <c r="D1951" s="1087">
        <v>1.0451467427644423</v>
      </c>
      <c r="E1951" s="1087">
        <v>1.0065240683872003</v>
      </c>
      <c r="F1951" s="1087">
        <v>0.98278682440848031</v>
      </c>
      <c r="G1951" s="1087">
        <v>1.0179614365707224</v>
      </c>
      <c r="H1951" s="1087">
        <v>1.0009744506407605</v>
      </c>
      <c r="I1951" s="1087">
        <v>1.0099346155944586</v>
      </c>
      <c r="K1951">
        <v>1.8306538149881462</v>
      </c>
      <c r="L1951">
        <v>0</v>
      </c>
      <c r="M1951">
        <v>3.5511032218111648E-3</v>
      </c>
      <c r="N1951">
        <v>0.34395908024733779</v>
      </c>
      <c r="O1951">
        <v>0.23393523399829086</v>
      </c>
      <c r="P1951">
        <v>1.3131411707199231E-2</v>
      </c>
      <c r="Q1951">
        <v>1.5861474596048622E-3</v>
      </c>
      <c r="R1951">
        <v>3.544969373389851E-3</v>
      </c>
      <c r="S1951">
        <v>0.36462139899041723</v>
      </c>
      <c r="T1951">
        <v>0.39580102861274069</v>
      </c>
      <c r="U1951">
        <v>0</v>
      </c>
      <c r="V1951">
        <v>0.19731853517843978</v>
      </c>
      <c r="W1951">
        <v>0.21820499855969283</v>
      </c>
      <c r="X1951">
        <v>5.2453876047317841E-2</v>
      </c>
      <c r="Y1951">
        <v>9.6482380355273033E-3</v>
      </c>
    </row>
    <row r="1952" spans="1:25" x14ac:dyDescent="0.25">
      <c r="A1952" s="1083"/>
      <c r="B1952" s="1455">
        <v>1702</v>
      </c>
      <c r="C1952" s="1087">
        <v>1.0216370209730943</v>
      </c>
      <c r="D1952" s="1087">
        <v>1.0109032967300171</v>
      </c>
      <c r="E1952" s="1087">
        <v>1.0007605178939514</v>
      </c>
      <c r="F1952" s="1087">
        <v>1.0339178506594378</v>
      </c>
      <c r="G1952" s="1087">
        <v>0.99639524260926859</v>
      </c>
      <c r="H1952" s="1087">
        <v>0.99687154864764871</v>
      </c>
      <c r="I1952" s="1087">
        <v>0.98409029382025692</v>
      </c>
      <c r="K1952">
        <v>1.8294915427038714</v>
      </c>
      <c r="L1952">
        <v>0</v>
      </c>
      <c r="M1952">
        <v>3.5211078064428013E-3</v>
      </c>
      <c r="N1952">
        <v>0.33510912928494446</v>
      </c>
      <c r="O1952">
        <v>0.23891338799046241</v>
      </c>
      <c r="P1952">
        <v>1.3176221525670911E-2</v>
      </c>
      <c r="Q1952">
        <v>1.5447035698578089E-3</v>
      </c>
      <c r="R1952">
        <v>3.5150261779944556E-3</v>
      </c>
      <c r="S1952">
        <v>0.34903637046822533</v>
      </c>
      <c r="T1952">
        <v>0.4163569979184869</v>
      </c>
      <c r="U1952">
        <v>0</v>
      </c>
      <c r="V1952">
        <v>0.19974432331600914</v>
      </c>
      <c r="W1952">
        <v>0.21335551797240118</v>
      </c>
      <c r="X1952">
        <v>5.2694229757828767E-2</v>
      </c>
      <c r="Y1952">
        <v>9.5667425284327468E-3</v>
      </c>
    </row>
    <row r="1953" spans="1:25" x14ac:dyDescent="0.25">
      <c r="A1953" s="1083"/>
      <c r="B1953" s="1455">
        <v>1703</v>
      </c>
      <c r="C1953" s="1087">
        <v>1.0074860516179991</v>
      </c>
      <c r="D1953" s="1087">
        <v>1.004844623631262</v>
      </c>
      <c r="E1953" s="1087">
        <v>1.0068783440790245</v>
      </c>
      <c r="F1953" s="1087">
        <v>0.9715271083644329</v>
      </c>
      <c r="G1953" s="1087">
        <v>1.0014893725642191</v>
      </c>
      <c r="H1953" s="1087">
        <v>0.98261602172981033</v>
      </c>
      <c r="I1953" s="1087">
        <v>0.96327652802519637</v>
      </c>
      <c r="K1953">
        <v>1.7958381477556233</v>
      </c>
      <c r="L1953">
        <v>0</v>
      </c>
      <c r="M1953">
        <v>3.4884045527470383E-3</v>
      </c>
      <c r="N1953">
        <v>0.33824370753507915</v>
      </c>
      <c r="O1953">
        <v>0.23409504093006434</v>
      </c>
      <c r="P1953">
        <v>1.2793364586837445E-2</v>
      </c>
      <c r="Q1953">
        <v>1.5804203005197158E-3</v>
      </c>
      <c r="R1953">
        <v>3.4822995812429022E-3</v>
      </c>
      <c r="S1953">
        <v>0.3452758957789146</v>
      </c>
      <c r="T1953">
        <v>0.39126846086255535</v>
      </c>
      <c r="U1953">
        <v>0</v>
      </c>
      <c r="V1953">
        <v>0.19629755846049268</v>
      </c>
      <c r="W1953">
        <v>0.21453195471982195</v>
      </c>
      <c r="X1953">
        <v>5.2280178032447763E-2</v>
      </c>
      <c r="Y1953">
        <v>9.4776715203947377E-3</v>
      </c>
    </row>
    <row r="1954" spans="1:25" x14ac:dyDescent="0.25">
      <c r="A1954" s="1083"/>
      <c r="B1954" s="1455">
        <v>1704</v>
      </c>
      <c r="C1954" s="1087">
        <v>1.0103628558123148</v>
      </c>
      <c r="D1954" s="1087">
        <v>0.99584091153833354</v>
      </c>
      <c r="E1954" s="1087">
        <v>1.0101013423472218</v>
      </c>
      <c r="F1954" s="1087">
        <v>0.99609958202002968</v>
      </c>
      <c r="G1954" s="1087">
        <v>0.98801404520727443</v>
      </c>
      <c r="H1954" s="1087">
        <v>1.012453314301798</v>
      </c>
      <c r="I1954" s="1087">
        <v>0.990724295249513</v>
      </c>
      <c r="K1954">
        <v>1.8488333337885536</v>
      </c>
      <c r="L1954">
        <v>0</v>
      </c>
      <c r="M1954">
        <v>3.5779740399277428E-3</v>
      </c>
      <c r="N1954">
        <v>0.35037439452002861</v>
      </c>
      <c r="O1954">
        <v>0.23759943215994053</v>
      </c>
      <c r="P1954">
        <v>1.3211403350249474E-2</v>
      </c>
      <c r="Q1954">
        <v>1.5870216252335597E-3</v>
      </c>
      <c r="R1954">
        <v>3.5719046937879783E-3</v>
      </c>
      <c r="S1954">
        <v>0.36123427455935542</v>
      </c>
      <c r="T1954">
        <v>0.40118423781962942</v>
      </c>
      <c r="U1954">
        <v>0</v>
      </c>
      <c r="V1954">
        <v>0.1986104608688769</v>
      </c>
      <c r="W1954">
        <v>0.22178164612329423</v>
      </c>
      <c r="X1954">
        <v>5.3534985009659211E-2</v>
      </c>
      <c r="Y1954">
        <v>9.7215470984250221E-3</v>
      </c>
    </row>
    <row r="1955" spans="1:25" x14ac:dyDescent="0.25">
      <c r="A1955" s="1083"/>
      <c r="B1955" s="1455">
        <v>1705</v>
      </c>
      <c r="C1955" s="1087">
        <v>0.98335781261648381</v>
      </c>
      <c r="D1955" s="1087">
        <v>1.0082196034406865</v>
      </c>
      <c r="E1955" s="1087">
        <v>0.97348740598260031</v>
      </c>
      <c r="F1955" s="1087">
        <v>1.0060288812833891</v>
      </c>
      <c r="G1955" s="1087">
        <v>1.041844939224166</v>
      </c>
      <c r="H1955" s="1087">
        <v>1.0130223029801633</v>
      </c>
      <c r="I1955" s="1087">
        <v>1.0234766133205426</v>
      </c>
      <c r="K1955">
        <v>1.8717673564682131</v>
      </c>
      <c r="L1955">
        <v>0</v>
      </c>
      <c r="M1955">
        <v>3.9378647477590302E-3</v>
      </c>
      <c r="N1955">
        <v>0.3448263016669903</v>
      </c>
      <c r="O1955">
        <v>0.24029069813328305</v>
      </c>
      <c r="P1955">
        <v>1.3199786218673631E-2</v>
      </c>
      <c r="Q1955">
        <v>1.5602209748450684E-3</v>
      </c>
      <c r="R1955">
        <v>3.9311775250539631E-3</v>
      </c>
      <c r="S1955">
        <v>0.38049447495561178</v>
      </c>
      <c r="T1955">
        <v>0.40496144584981691</v>
      </c>
      <c r="U1955">
        <v>0</v>
      </c>
      <c r="V1955">
        <v>0.20149612172984871</v>
      </c>
      <c r="W1955">
        <v>0.22335262645350545</v>
      </c>
      <c r="X1955">
        <v>5.0892998397466763E-2</v>
      </c>
      <c r="Y1955">
        <v>1.069936931087404E-2</v>
      </c>
    </row>
    <row r="1956" spans="1:25" x14ac:dyDescent="0.25">
      <c r="A1956" s="1083"/>
      <c r="B1956" s="1455">
        <v>1706</v>
      </c>
      <c r="C1956" s="1087">
        <v>0.97090990317288106</v>
      </c>
      <c r="D1956" s="1087">
        <v>1.0047490942375219</v>
      </c>
      <c r="E1956" s="1087">
        <v>1.0148414833303789</v>
      </c>
      <c r="F1956" s="1087">
        <v>0.99481322617361534</v>
      </c>
      <c r="G1956" s="1087">
        <v>0.99633046335165543</v>
      </c>
      <c r="H1956" s="1087">
        <v>1.0401043451180112</v>
      </c>
      <c r="I1956" s="1087">
        <v>1.0458589865531747</v>
      </c>
      <c r="K1956">
        <v>1.9368507528577943</v>
      </c>
      <c r="L1956">
        <v>0</v>
      </c>
      <c r="M1956">
        <v>3.7699459213627958E-3</v>
      </c>
      <c r="N1956">
        <v>0.37456360905214403</v>
      </c>
      <c r="O1956">
        <v>0.24144631992153029</v>
      </c>
      <c r="P1956">
        <v>1.3841851098490369E-2</v>
      </c>
      <c r="Q1956">
        <v>1.6539171944845129E-3</v>
      </c>
      <c r="R1956">
        <v>3.7637132511384899E-3</v>
      </c>
      <c r="S1956">
        <v>0.40033475830220139</v>
      </c>
      <c r="T1956">
        <v>0.40069497521294772</v>
      </c>
      <c r="U1956">
        <v>0</v>
      </c>
      <c r="V1956">
        <v>0.20234288323338692</v>
      </c>
      <c r="W1956">
        <v>0.23639840639775697</v>
      </c>
      <c r="X1956">
        <v>5.533667835321876E-2</v>
      </c>
      <c r="Y1956">
        <v>1.0243586761859181E-2</v>
      </c>
    </row>
    <row r="1957" spans="1:25" x14ac:dyDescent="0.25">
      <c r="A1957" s="1083"/>
      <c r="B1957" s="1455">
        <v>1707</v>
      </c>
      <c r="C1957" s="1087">
        <v>0.96837983811821338</v>
      </c>
      <c r="D1957" s="1087">
        <v>0.99872809894261927</v>
      </c>
      <c r="E1957" s="1087">
        <v>0.9560290431537376</v>
      </c>
      <c r="F1957" s="1087">
        <v>0.9683477998648411</v>
      </c>
      <c r="G1957" s="1087">
        <v>0.97252545462995421</v>
      </c>
      <c r="H1957" s="1087">
        <v>1.0274837205225975</v>
      </c>
      <c r="I1957" s="1087">
        <v>0.97376941768142955</v>
      </c>
      <c r="K1957">
        <v>1.8549452530306545</v>
      </c>
      <c r="L1957">
        <v>0</v>
      </c>
      <c r="M1957">
        <v>4.2225844941364658E-3</v>
      </c>
      <c r="N1957">
        <v>0.35053488935454313</v>
      </c>
      <c r="O1957">
        <v>0.23824968811627162</v>
      </c>
      <c r="P1957">
        <v>1.2692398655910162E-2</v>
      </c>
      <c r="Q1957">
        <v>1.560509932827183E-3</v>
      </c>
      <c r="R1957">
        <v>4.2155216988414897E-3</v>
      </c>
      <c r="S1957">
        <v>0.37191538668527563</v>
      </c>
      <c r="T1957">
        <v>0.38969369366509138</v>
      </c>
      <c r="U1957">
        <v>0</v>
      </c>
      <c r="V1957">
        <v>0.20024319125993648</v>
      </c>
      <c r="W1957">
        <v>0.2296081094925046</v>
      </c>
      <c r="X1957">
        <v>4.8981188245696673E-2</v>
      </c>
      <c r="Y1957">
        <v>1.1473260417891987E-2</v>
      </c>
    </row>
    <row r="1958" spans="1:25" x14ac:dyDescent="0.25">
      <c r="A1958" s="1083"/>
      <c r="B1958" s="1455">
        <v>1708</v>
      </c>
      <c r="C1958" s="1087">
        <v>0.97902951996050147</v>
      </c>
      <c r="D1958" s="1087">
        <v>1.0157489865727563</v>
      </c>
      <c r="E1958" s="1087">
        <v>0.98662713321309026</v>
      </c>
      <c r="F1958" s="1087">
        <v>0.97457903943586421</v>
      </c>
      <c r="G1958" s="1087">
        <v>0.97823443030192947</v>
      </c>
      <c r="H1958" s="1087">
        <v>0.97275755897344729</v>
      </c>
      <c r="I1958" s="1087">
        <v>1.0247817211953509</v>
      </c>
      <c r="K1958">
        <v>1.8285037179285335</v>
      </c>
      <c r="L1958">
        <v>0</v>
      </c>
      <c r="M1958">
        <v>3.6825147659989028E-3</v>
      </c>
      <c r="N1958">
        <v>0.33565454755744029</v>
      </c>
      <c r="O1958">
        <v>0.23652654981828342</v>
      </c>
      <c r="P1958">
        <v>1.3035110120497965E-2</v>
      </c>
      <c r="Q1958">
        <v>1.584722829355739E-3</v>
      </c>
      <c r="R1958">
        <v>3.6759949831262572E-3</v>
      </c>
      <c r="S1958">
        <v>0.3736569783226909</v>
      </c>
      <c r="T1958">
        <v>0.3923782739858197</v>
      </c>
      <c r="U1958">
        <v>0</v>
      </c>
      <c r="V1958">
        <v>0.1989310694857245</v>
      </c>
      <c r="W1958">
        <v>0.21560737950060241</v>
      </c>
      <c r="X1958">
        <v>5.1130759538341654E-2</v>
      </c>
      <c r="Y1958">
        <v>1.0004846552649157E-2</v>
      </c>
    </row>
    <row r="1959" spans="1:25" x14ac:dyDescent="0.25">
      <c r="A1959" s="1083"/>
      <c r="B1959" s="1455">
        <v>1709</v>
      </c>
      <c r="C1959" s="1087">
        <v>1.0070398846827642</v>
      </c>
      <c r="D1959" s="1087">
        <v>0.99994094571984871</v>
      </c>
      <c r="E1959" s="1087">
        <v>1.0041791448808437</v>
      </c>
      <c r="F1959" s="1087">
        <v>0.98659160555974368</v>
      </c>
      <c r="G1959" s="1087">
        <v>1.0029893637809306</v>
      </c>
      <c r="H1959" s="1087">
        <v>1.0062367403019568</v>
      </c>
      <c r="I1959" s="1087">
        <v>1.0235164218526149</v>
      </c>
      <c r="K1959">
        <v>1.8480085391183829</v>
      </c>
      <c r="L1959">
        <v>0</v>
      </c>
      <c r="M1959">
        <v>3.60325897711304E-3</v>
      </c>
      <c r="N1959">
        <v>0.34653002189446586</v>
      </c>
      <c r="O1959">
        <v>0.23637784277577498</v>
      </c>
      <c r="P1959">
        <v>1.324301022487428E-2</v>
      </c>
      <c r="Q1959">
        <v>1.579680431123807E-3</v>
      </c>
      <c r="R1959">
        <v>3.5971054264793234E-3</v>
      </c>
      <c r="S1959">
        <v>0.37235544069959009</v>
      </c>
      <c r="T1959">
        <v>0.39731926991025501</v>
      </c>
      <c r="U1959">
        <v>0</v>
      </c>
      <c r="V1959">
        <v>0.19788686721115609</v>
      </c>
      <c r="W1959">
        <v>0.22015702037144644</v>
      </c>
      <c r="X1959">
        <v>5.2775403964937732E-2</v>
      </c>
      <c r="Y1959">
        <v>9.7901351853915668E-3</v>
      </c>
    </row>
    <row r="1960" spans="1:25" x14ac:dyDescent="0.25">
      <c r="A1960" s="1083"/>
      <c r="B1960" s="1455">
        <v>1710</v>
      </c>
      <c r="C1960" s="1087">
        <v>1.0350524970676371</v>
      </c>
      <c r="D1960" s="1087">
        <v>0.99753598304122715</v>
      </c>
      <c r="E1960" s="1087">
        <v>1.0098901941908782</v>
      </c>
      <c r="F1960" s="1087">
        <v>1.0046391151958032</v>
      </c>
      <c r="G1960" s="1087">
        <v>0.97525273947433511</v>
      </c>
      <c r="H1960" s="1087">
        <v>1.006699791256688</v>
      </c>
      <c r="I1960" s="1087">
        <v>1.0100464590092679</v>
      </c>
      <c r="K1960">
        <v>1.8266055408689188</v>
      </c>
      <c r="L1960">
        <v>0</v>
      </c>
      <c r="M1960">
        <v>3.4704582603916072E-3</v>
      </c>
      <c r="N1960">
        <v>0.33962357784724806</v>
      </c>
      <c r="O1960">
        <v>0.23549845989032428</v>
      </c>
      <c r="P1960">
        <v>1.3187009237389406E-2</v>
      </c>
      <c r="Q1960">
        <v>1.5477655842281166E-3</v>
      </c>
      <c r="R1960">
        <v>3.4645351568227119E-3</v>
      </c>
      <c r="S1960">
        <v>0.35810123640966135</v>
      </c>
      <c r="T1960">
        <v>0.4046222843959138</v>
      </c>
      <c r="U1960">
        <v>0</v>
      </c>
      <c r="V1960">
        <v>0.19668159963054227</v>
      </c>
      <c r="W1960">
        <v>0.21500469471906059</v>
      </c>
      <c r="X1960">
        <v>5.2915513644955378E-2</v>
      </c>
      <c r="Y1960">
        <v>9.4293226131639176E-3</v>
      </c>
    </row>
    <row r="1961" spans="1:25" x14ac:dyDescent="0.25">
      <c r="A1961" s="1083"/>
      <c r="B1961" s="1455">
        <v>1711</v>
      </c>
      <c r="C1961" s="1087">
        <v>1.0128285620332893</v>
      </c>
      <c r="D1961" s="1087">
        <v>1.0384069064127988</v>
      </c>
      <c r="E1961" s="1087">
        <v>0.96470925674783203</v>
      </c>
      <c r="F1961" s="1087">
        <v>0.99856233286994056</v>
      </c>
      <c r="G1961" s="1087">
        <v>1.0085062785424741</v>
      </c>
      <c r="H1961" s="1087">
        <v>1.0089709168203811</v>
      </c>
      <c r="I1961" s="1087">
        <v>0.97021303324963049</v>
      </c>
      <c r="K1961">
        <v>1.7841759500473193</v>
      </c>
      <c r="L1961">
        <v>0</v>
      </c>
      <c r="M1961">
        <v>3.8143280001368346E-3</v>
      </c>
      <c r="N1961">
        <v>0.32515551039349661</v>
      </c>
      <c r="O1961">
        <v>0.23279078023147548</v>
      </c>
      <c r="P1961">
        <v>1.2509960003426756E-2</v>
      </c>
      <c r="Q1961">
        <v>1.4828894782057307E-3</v>
      </c>
      <c r="R1961">
        <v>3.8077958499066053E-3</v>
      </c>
      <c r="S1961">
        <v>0.34371208557768645</v>
      </c>
      <c r="T1961">
        <v>0.4019039786178315</v>
      </c>
      <c r="U1961">
        <v>0</v>
      </c>
      <c r="V1961">
        <v>0.1960775101996857</v>
      </c>
      <c r="W1961">
        <v>0.21179711422818714</v>
      </c>
      <c r="X1961">
        <v>4.8389088403672995E-2</v>
      </c>
      <c r="Y1961">
        <v>1.0363565063881209E-2</v>
      </c>
    </row>
    <row r="1962" spans="1:25" x14ac:dyDescent="0.25">
      <c r="A1962" s="1083"/>
      <c r="B1962" s="1455">
        <v>1712</v>
      </c>
      <c r="C1962" s="1087">
        <v>0.95827475024529529</v>
      </c>
      <c r="D1962" s="1087">
        <v>0.96535725265896954</v>
      </c>
      <c r="E1962" s="1087">
        <v>1.0147129625494287</v>
      </c>
      <c r="F1962" s="1087">
        <v>0.9782883520947141</v>
      </c>
      <c r="G1962" s="1087">
        <v>0.99009886344728593</v>
      </c>
      <c r="H1962" s="1087">
        <v>0.98132583634369075</v>
      </c>
      <c r="I1962" s="1087">
        <v>0.9906219250853735</v>
      </c>
      <c r="K1962">
        <v>1.9019198307481182</v>
      </c>
      <c r="L1962">
        <v>0</v>
      </c>
      <c r="M1962">
        <v>3.6810634489824246E-3</v>
      </c>
      <c r="N1962">
        <v>0.36555632359775592</v>
      </c>
      <c r="O1962">
        <v>0.24489105092416258</v>
      </c>
      <c r="P1962">
        <v>1.351650559687069E-2</v>
      </c>
      <c r="Q1962">
        <v>1.7025169627205934E-3</v>
      </c>
      <c r="R1962">
        <v>3.6746450709394612E-3</v>
      </c>
      <c r="S1962">
        <v>0.3814414231284281</v>
      </c>
      <c r="T1962">
        <v>0.39403824850362779</v>
      </c>
      <c r="U1962">
        <v>0</v>
      </c>
      <c r="V1962">
        <v>0.20440247910274276</v>
      </c>
      <c r="W1962">
        <v>0.23073195971783028</v>
      </c>
      <c r="X1962">
        <v>5.5644569055346198E-2</v>
      </c>
      <c r="Y1962">
        <v>1.0001172536675134E-2</v>
      </c>
    </row>
    <row r="1963" spans="1:25" x14ac:dyDescent="0.25">
      <c r="A1963" s="1083"/>
      <c r="B1963" s="1455">
        <v>1713</v>
      </c>
      <c r="C1963" s="1087">
        <v>0.9959491548829208</v>
      </c>
      <c r="D1963" s="1087">
        <v>1.0120531244474464</v>
      </c>
      <c r="E1963" s="1087">
        <v>0.96845126942601067</v>
      </c>
      <c r="F1963" s="1087">
        <v>1.010458828753404</v>
      </c>
      <c r="G1963" s="1087">
        <v>0.99323960745765338</v>
      </c>
      <c r="H1963" s="1087">
        <v>0.99901618757361577</v>
      </c>
      <c r="I1963" s="1087">
        <v>0.99094600090743468</v>
      </c>
      <c r="K1963">
        <v>1.8309905431433384</v>
      </c>
      <c r="L1963">
        <v>0</v>
      </c>
      <c r="M1963">
        <v>3.8656815897121521E-3</v>
      </c>
      <c r="N1963">
        <v>0.33332365787639151</v>
      </c>
      <c r="O1963">
        <v>0.23880764890263864</v>
      </c>
      <c r="P1963">
        <v>1.2888303486152724E-2</v>
      </c>
      <c r="Q1963">
        <v>1.5298021888525506E-3</v>
      </c>
      <c r="R1963">
        <v>3.8590209777298705E-3</v>
      </c>
      <c r="S1963">
        <v>0.36040394768769884</v>
      </c>
      <c r="T1963">
        <v>0.40671446666711919</v>
      </c>
      <c r="U1963">
        <v>0</v>
      </c>
      <c r="V1963">
        <v>0.20026788968181128</v>
      </c>
      <c r="W1963">
        <v>0.21659762241823177</v>
      </c>
      <c r="X1963">
        <v>4.9960881870964369E-2</v>
      </c>
      <c r="Y1963">
        <v>1.0502982975457291E-2</v>
      </c>
    </row>
    <row r="1964" spans="1:25" x14ac:dyDescent="0.25">
      <c r="A1964" s="1083"/>
      <c r="B1964" s="1455">
        <v>1714</v>
      </c>
      <c r="C1964" s="1087">
        <v>0.98344202907073486</v>
      </c>
      <c r="D1964" s="1087">
        <v>0.99964076735673268</v>
      </c>
      <c r="E1964" s="1087">
        <v>0.9919633652091332</v>
      </c>
      <c r="F1964" s="1087">
        <v>1.0115857549283094</v>
      </c>
      <c r="G1964" s="1087">
        <v>1.0147447249716666</v>
      </c>
      <c r="H1964" s="1087">
        <v>0.98541925884099313</v>
      </c>
      <c r="I1964" s="1087">
        <v>0.98994494555250945</v>
      </c>
      <c r="K1964">
        <v>1.8575285177048206</v>
      </c>
      <c r="L1964">
        <v>0</v>
      </c>
      <c r="M1964">
        <v>3.7056375078066599E-3</v>
      </c>
      <c r="N1964">
        <v>0.34332106489725334</v>
      </c>
      <c r="O1964">
        <v>0.2420639856068082</v>
      </c>
      <c r="P1964">
        <v>1.3220400604344436E-2</v>
      </c>
      <c r="Q1964">
        <v>1.5968366974054916E-3</v>
      </c>
      <c r="R1964">
        <v>3.6991761377695703E-3</v>
      </c>
      <c r="S1964">
        <v>0.3649151448039909</v>
      </c>
      <c r="T1964">
        <v>0.40731011904701275</v>
      </c>
      <c r="U1964">
        <v>0</v>
      </c>
      <c r="V1964">
        <v>0.20253755968948864</v>
      </c>
      <c r="W1964">
        <v>0.21979195392414214</v>
      </c>
      <c r="X1964">
        <v>5.2709975790488382E-2</v>
      </c>
      <c r="Y1964">
        <v>1.0067938013922684E-2</v>
      </c>
    </row>
    <row r="1965" spans="1:25" x14ac:dyDescent="0.25">
      <c r="A1965" s="1083"/>
      <c r="B1965" s="1455">
        <v>1715</v>
      </c>
      <c r="C1965" s="1087">
        <v>0.97811421302743873</v>
      </c>
      <c r="D1965" s="1087">
        <v>1.0130769707562306</v>
      </c>
      <c r="E1965" s="1087">
        <v>0.98066400458069169</v>
      </c>
      <c r="F1965" s="1087">
        <v>0.98578904311845272</v>
      </c>
      <c r="G1965" s="1087">
        <v>0.98328942359064864</v>
      </c>
      <c r="H1965" s="1087">
        <v>0.98918768943491098</v>
      </c>
      <c r="I1965" s="1087">
        <v>1.0061295420800425</v>
      </c>
      <c r="K1965">
        <v>1.8411143410264896</v>
      </c>
      <c r="L1965">
        <v>0</v>
      </c>
      <c r="M1965">
        <v>3.7996605316807383E-3</v>
      </c>
      <c r="N1965">
        <v>0.34008961163438289</v>
      </c>
      <c r="O1965">
        <v>0.23816087165831501</v>
      </c>
      <c r="P1965">
        <v>1.3012985609029151E-2</v>
      </c>
      <c r="Q1965">
        <v>1.5777349682087477E-3</v>
      </c>
      <c r="R1965">
        <v>3.793047803760839E-3</v>
      </c>
      <c r="S1965">
        <v>0.37071575026920273</v>
      </c>
      <c r="T1965">
        <v>0.39685636830657084</v>
      </c>
      <c r="U1965">
        <v>0</v>
      </c>
      <c r="V1965">
        <v>0.20011287996109609</v>
      </c>
      <c r="W1965">
        <v>0.21928183567509876</v>
      </c>
      <c r="X1965">
        <v>5.0989489928540362E-2</v>
      </c>
      <c r="Y1965">
        <v>1.0323425743964543E-2</v>
      </c>
    </row>
    <row r="1966" spans="1:25" x14ac:dyDescent="0.25">
      <c r="A1966" s="1083"/>
      <c r="B1966" s="1455">
        <v>1716</v>
      </c>
      <c r="C1966" s="1087">
        <v>1.0247483313951911</v>
      </c>
      <c r="D1966" s="1087">
        <v>1.0333374799412591</v>
      </c>
      <c r="E1966" s="1087">
        <v>0.96210992390370165</v>
      </c>
      <c r="F1966" s="1087">
        <v>0.99048752853031463</v>
      </c>
      <c r="G1966" s="1087">
        <v>0.9543781745469222</v>
      </c>
      <c r="H1966" s="1087">
        <v>1.0355843951391863</v>
      </c>
      <c r="I1966" s="1087">
        <v>0.98272093603520683</v>
      </c>
      <c r="K1966">
        <v>1.7910209715424881</v>
      </c>
      <c r="L1966">
        <v>0</v>
      </c>
      <c r="M1966">
        <v>3.9000927135046538E-3</v>
      </c>
      <c r="N1966">
        <v>0.32984767834939893</v>
      </c>
      <c r="O1966">
        <v>0.23092338109513377</v>
      </c>
      <c r="P1966">
        <v>1.2496652076951886E-2</v>
      </c>
      <c r="Q1966">
        <v>1.464372864035339E-3</v>
      </c>
      <c r="R1966">
        <v>3.8935896101479537E-3</v>
      </c>
      <c r="S1966">
        <v>0.34953167392023465</v>
      </c>
      <c r="T1966">
        <v>0.39863882505822129</v>
      </c>
      <c r="U1966">
        <v>0</v>
      </c>
      <c r="V1966">
        <v>0.19440669180413425</v>
      </c>
      <c r="W1966">
        <v>0.21521248781296792</v>
      </c>
      <c r="X1966">
        <v>4.7908644267414036E-2</v>
      </c>
      <c r="Y1966">
        <v>1.0597067397352698E-2</v>
      </c>
    </row>
    <row r="1967" spans="1:25" x14ac:dyDescent="0.25">
      <c r="A1967" s="1083"/>
      <c r="B1967" s="1455">
        <v>1717</v>
      </c>
      <c r="C1967" s="1087">
        <v>0.95920554766006871</v>
      </c>
      <c r="D1967" s="1087">
        <v>1.0007395235336729</v>
      </c>
      <c r="E1967" s="1087">
        <v>0.97342638611206489</v>
      </c>
      <c r="F1967" s="1087">
        <v>0.96682310642731106</v>
      </c>
      <c r="G1967" s="1087">
        <v>0.97253964334592435</v>
      </c>
      <c r="H1967" s="1087">
        <v>1.0483628094912767</v>
      </c>
      <c r="I1967" s="1087">
        <v>1.0322157120266802</v>
      </c>
      <c r="K1967">
        <v>1.9136899391942672</v>
      </c>
      <c r="L1967">
        <v>0</v>
      </c>
      <c r="M1967">
        <v>4.1934712933958578E-3</v>
      </c>
      <c r="N1967">
        <v>0.36716188089847429</v>
      </c>
      <c r="O1967">
        <v>0.23924352426224971</v>
      </c>
      <c r="P1967">
        <v>1.3268710684310049E-2</v>
      </c>
      <c r="Q1967">
        <v>1.6041722775608652E-3</v>
      </c>
      <c r="R1967">
        <v>4.1865943841935494E-3</v>
      </c>
      <c r="S1967">
        <v>0.40183454405391489</v>
      </c>
      <c r="T1967">
        <v>0.38917941385258986</v>
      </c>
      <c r="U1967">
        <v>0</v>
      </c>
      <c r="V1967">
        <v>0.20113327774267922</v>
      </c>
      <c r="W1967">
        <v>0.23782919104722555</v>
      </c>
      <c r="X1967">
        <v>5.104757148115887E-2</v>
      </c>
      <c r="Y1967">
        <v>1.1394529803307005E-2</v>
      </c>
    </row>
    <row r="1968" spans="1:25" x14ac:dyDescent="0.25">
      <c r="A1968" s="1083"/>
      <c r="B1968" s="1455">
        <v>1718</v>
      </c>
      <c r="C1968" s="1087">
        <v>0.99681628871400219</v>
      </c>
      <c r="D1968" s="1087">
        <v>1.0145734056267699</v>
      </c>
      <c r="E1968" s="1087">
        <v>0.98280021767077519</v>
      </c>
      <c r="F1968" s="1087">
        <v>1.0060141930185071</v>
      </c>
      <c r="G1968" s="1087">
        <v>0.98973116643676828</v>
      </c>
      <c r="H1968" s="1087">
        <v>1.0144190135808682</v>
      </c>
      <c r="I1968" s="1087">
        <v>1.0328332519928485</v>
      </c>
      <c r="K1968">
        <v>1.8604846233849934</v>
      </c>
      <c r="L1968">
        <v>0</v>
      </c>
      <c r="M1968">
        <v>3.8037503671286741E-3</v>
      </c>
      <c r="N1968">
        <v>0.34270008755543224</v>
      </c>
      <c r="O1968">
        <v>0.2381426962817626</v>
      </c>
      <c r="P1968">
        <v>1.3234889463076658E-2</v>
      </c>
      <c r="Q1968">
        <v>1.5507795623876189E-3</v>
      </c>
      <c r="R1968">
        <v>3.7972937290773473E-3</v>
      </c>
      <c r="S1968">
        <v>0.37783503465780233</v>
      </c>
      <c r="T1968">
        <v>0.40501140665452584</v>
      </c>
      <c r="U1968">
        <v>0</v>
      </c>
      <c r="V1968">
        <v>0.19974847459226586</v>
      </c>
      <c r="W1968">
        <v>0.22066618824066003</v>
      </c>
      <c r="X1968">
        <v>5.1266541262123572E-2</v>
      </c>
      <c r="Y1968">
        <v>1.0334981753007172E-2</v>
      </c>
    </row>
    <row r="1969" spans="1:25" x14ac:dyDescent="0.25">
      <c r="A1969" s="1083"/>
      <c r="B1969" s="1455">
        <v>1719</v>
      </c>
      <c r="C1969" s="1087">
        <v>0.99305075211863558</v>
      </c>
      <c r="D1969" s="1087">
        <v>1.0236236051156276</v>
      </c>
      <c r="E1969" s="1087">
        <v>1.0034629897179019</v>
      </c>
      <c r="F1969" s="1087">
        <v>1.0091299347727363</v>
      </c>
      <c r="G1969" s="1087">
        <v>0.9710141601506318</v>
      </c>
      <c r="H1969" s="1087">
        <v>0.9703318423329832</v>
      </c>
      <c r="I1969" s="1087">
        <v>0.98170981359752363</v>
      </c>
      <c r="K1969">
        <v>1.8197811831787609</v>
      </c>
      <c r="L1969">
        <v>0</v>
      </c>
      <c r="M1969">
        <v>3.4844349894616413E-3</v>
      </c>
      <c r="N1969">
        <v>0.33434808837292201</v>
      </c>
      <c r="O1969">
        <v>0.23837083217462499</v>
      </c>
      <c r="P1969">
        <v>1.3099873163051131E-2</v>
      </c>
      <c r="Q1969">
        <v>1.5857960248669212E-3</v>
      </c>
      <c r="R1969">
        <v>3.4782438410325897E-3</v>
      </c>
      <c r="S1969">
        <v>0.35115340798425432</v>
      </c>
      <c r="T1969">
        <v>0.40639149446105838</v>
      </c>
      <c r="U1969">
        <v>0</v>
      </c>
      <c r="V1969">
        <v>0.20007129190917711</v>
      </c>
      <c r="W1969">
        <v>0.2125124085410604</v>
      </c>
      <c r="X1969">
        <v>5.2787548563657707E-2</v>
      </c>
      <c r="Y1969">
        <v>9.4666331325166681E-3</v>
      </c>
    </row>
    <row r="1970" spans="1:25" x14ac:dyDescent="0.25">
      <c r="A1970" s="1083"/>
      <c r="B1970" s="1455">
        <v>1720</v>
      </c>
      <c r="C1970" s="1087">
        <v>0.98133967282593582</v>
      </c>
      <c r="D1970" s="1087">
        <v>1.0144278690758008</v>
      </c>
      <c r="E1970" s="1087">
        <v>0.98732204370245147</v>
      </c>
      <c r="F1970" s="1087">
        <v>0.99498957759947859</v>
      </c>
      <c r="G1970" s="1087">
        <v>0.9996214402214092</v>
      </c>
      <c r="H1970" s="1087">
        <v>0.99651271959984511</v>
      </c>
      <c r="I1970" s="1087">
        <v>1.0158033815419401</v>
      </c>
      <c r="K1970">
        <v>1.8550665985539199</v>
      </c>
      <c r="L1970">
        <v>0</v>
      </c>
      <c r="M1970">
        <v>3.7611637967745076E-3</v>
      </c>
      <c r="N1970">
        <v>0.34356641811114574</v>
      </c>
      <c r="O1970">
        <v>0.2388236633287642</v>
      </c>
      <c r="P1970">
        <v>1.3182236043696198E-2</v>
      </c>
      <c r="Q1970">
        <v>1.5829952000167376E-3</v>
      </c>
      <c r="R1970">
        <v>3.7546652000200824E-3</v>
      </c>
      <c r="S1970">
        <v>0.37422389633340974</v>
      </c>
      <c r="T1970">
        <v>0.40059997410947318</v>
      </c>
      <c r="U1970">
        <v>0</v>
      </c>
      <c r="V1970">
        <v>0.20052356603258686</v>
      </c>
      <c r="W1970">
        <v>0.22059281585461635</v>
      </c>
      <c r="X1970">
        <v>5.1758571187561331E-2</v>
      </c>
      <c r="Y1970">
        <v>1.0218960949404124E-2</v>
      </c>
    </row>
    <row r="1971" spans="1:25" x14ac:dyDescent="0.25">
      <c r="A1971" s="1083"/>
      <c r="B1971" s="1455">
        <v>1721</v>
      </c>
      <c r="C1971" s="1087">
        <v>0.99060685160948603</v>
      </c>
      <c r="D1971" s="1087">
        <v>1.0304766859014738</v>
      </c>
      <c r="E1971" s="1087">
        <v>0.98390765311327311</v>
      </c>
      <c r="F1971" s="1087">
        <v>0.99918871594482839</v>
      </c>
      <c r="G1971" s="1087">
        <v>0.97820082684029297</v>
      </c>
      <c r="H1971" s="1087">
        <v>0.99580132027077184</v>
      </c>
      <c r="I1971" s="1087">
        <v>1.0167072974275986</v>
      </c>
      <c r="K1971">
        <v>1.8334723906102621</v>
      </c>
      <c r="L1971">
        <v>0</v>
      </c>
      <c r="M1971">
        <v>3.7175695770387935E-3</v>
      </c>
      <c r="N1971">
        <v>0.33605888727202482</v>
      </c>
      <c r="O1971">
        <v>0.23657429436003066</v>
      </c>
      <c r="P1971">
        <v>1.3062248784015211E-2</v>
      </c>
      <c r="Q1971">
        <v>1.5526691355190094E-3</v>
      </c>
      <c r="R1971">
        <v>3.7111273333810314E-3</v>
      </c>
      <c r="S1971">
        <v>0.36767555924611672</v>
      </c>
      <c r="T1971">
        <v>0.40227016135020255</v>
      </c>
      <c r="U1971">
        <v>0</v>
      </c>
      <c r="V1971">
        <v>0.19902022337377417</v>
      </c>
      <c r="W1971">
        <v>0.21623831998612211</v>
      </c>
      <c r="X1971">
        <v>5.0926004117445883E-2</v>
      </c>
      <c r="Y1971">
        <v>1.0100465228666509E-2</v>
      </c>
    </row>
    <row r="1972" spans="1:25" x14ac:dyDescent="0.25">
      <c r="A1972" s="1083"/>
      <c r="B1972" s="1455">
        <v>1722</v>
      </c>
      <c r="C1972" s="1087">
        <v>0.99490739273302464</v>
      </c>
      <c r="D1972" s="1087">
        <v>1.0281015735537309</v>
      </c>
      <c r="E1972" s="1087">
        <v>1.0007944316378719</v>
      </c>
      <c r="F1972" s="1087">
        <v>1.0219129055358034</v>
      </c>
      <c r="G1972" s="1087">
        <v>0.974448963033964</v>
      </c>
      <c r="H1972" s="1087">
        <v>0.98243933545694706</v>
      </c>
      <c r="I1972" s="1087">
        <v>0.98552334676342013</v>
      </c>
      <c r="K1972">
        <v>1.8317274092187803</v>
      </c>
      <c r="L1972">
        <v>0</v>
      </c>
      <c r="M1972">
        <v>3.531859058035788E-3</v>
      </c>
      <c r="N1972">
        <v>0.33615736691193632</v>
      </c>
      <c r="O1972">
        <v>0.23912033228855431</v>
      </c>
      <c r="P1972">
        <v>1.3179106552242487E-2</v>
      </c>
      <c r="Q1972">
        <v>1.5755937086390588E-3</v>
      </c>
      <c r="R1972">
        <v>3.5256564669301749E-3</v>
      </c>
      <c r="S1972">
        <v>0.3531064155703022</v>
      </c>
      <c r="T1972">
        <v>0.41152283660274686</v>
      </c>
      <c r="U1972">
        <v>0</v>
      </c>
      <c r="V1972">
        <v>0.2006941896410496</v>
      </c>
      <c r="W1972">
        <v>0.21401837193042117</v>
      </c>
      <c r="X1972">
        <v>5.2763723933351138E-2</v>
      </c>
      <c r="Y1972">
        <v>9.5956746706419675E-3</v>
      </c>
    </row>
    <row r="1973" spans="1:25" x14ac:dyDescent="0.25">
      <c r="A1973" s="1083"/>
      <c r="B1973" s="1455">
        <v>1723</v>
      </c>
      <c r="C1973" s="1087">
        <v>1.0365972906192249</v>
      </c>
      <c r="D1973" s="1087">
        <v>1.0154272580788499</v>
      </c>
      <c r="E1973" s="1087">
        <v>0.97881707394435058</v>
      </c>
      <c r="F1973" s="1087">
        <v>1.0178634451605546</v>
      </c>
      <c r="G1973" s="1087">
        <v>1.0328372077466508</v>
      </c>
      <c r="H1973" s="1087">
        <v>0.97960515476300469</v>
      </c>
      <c r="I1973" s="1087">
        <v>0.99478478040809926</v>
      </c>
      <c r="K1973">
        <v>1.7791475092114009</v>
      </c>
      <c r="L1973">
        <v>0</v>
      </c>
      <c r="M1973">
        <v>3.5575907891773179E-3</v>
      </c>
      <c r="N1973">
        <v>0.31662490573187962</v>
      </c>
      <c r="O1973">
        <v>0.23457062141727525</v>
      </c>
      <c r="P1973">
        <v>1.2755809803794692E-2</v>
      </c>
      <c r="Q1973">
        <v>1.4843874285293439E-3</v>
      </c>
      <c r="R1973">
        <v>3.551333401249602E-3</v>
      </c>
      <c r="S1973">
        <v>0.3436499897243584</v>
      </c>
      <c r="T1973">
        <v>0.4097575722919084</v>
      </c>
      <c r="U1973">
        <v>0</v>
      </c>
      <c r="V1973">
        <v>0.19648916500498137</v>
      </c>
      <c r="W1973">
        <v>0.20439170082598332</v>
      </c>
      <c r="X1973">
        <v>4.9764055549156902E-2</v>
      </c>
      <c r="Y1973">
        <v>9.665558821460328E-3</v>
      </c>
    </row>
    <row r="1974" spans="1:25" x14ac:dyDescent="0.25">
      <c r="A1974" s="1083"/>
      <c r="B1974" s="1455">
        <v>1724</v>
      </c>
      <c r="C1974" s="1087">
        <v>1.0204338432517692</v>
      </c>
      <c r="D1974" s="1087">
        <v>1.0071859240798542</v>
      </c>
      <c r="E1974" s="1087">
        <v>0.99781114428278372</v>
      </c>
      <c r="F1974" s="1087">
        <v>1.0001536430510678</v>
      </c>
      <c r="G1974" s="1087">
        <v>1.0278848732686365</v>
      </c>
      <c r="H1974" s="1087">
        <v>1.0105080272928855</v>
      </c>
      <c r="I1974" s="1087">
        <v>1.0142684820009673</v>
      </c>
      <c r="K1974">
        <v>1.8319935361751385</v>
      </c>
      <c r="L1974">
        <v>0</v>
      </c>
      <c r="M1974">
        <v>3.603457737774114E-3</v>
      </c>
      <c r="N1974">
        <v>0.33988189502934568</v>
      </c>
      <c r="O1974">
        <v>0.23557498478900152</v>
      </c>
      <c r="P1974">
        <v>1.3122873094410471E-2</v>
      </c>
      <c r="Q1974">
        <v>1.5439438700288704E-3</v>
      </c>
      <c r="R1974">
        <v>3.5973230641296217E-3</v>
      </c>
      <c r="S1974">
        <v>0.36337315641822943</v>
      </c>
      <c r="T1974">
        <v>0.40274234327888758</v>
      </c>
      <c r="U1974">
        <v>0</v>
      </c>
      <c r="V1974">
        <v>0.19722846234547353</v>
      </c>
      <c r="W1974">
        <v>0.21679357868313603</v>
      </c>
      <c r="X1974">
        <v>5.1947705816938701E-2</v>
      </c>
      <c r="Y1974">
        <v>9.7907275233314467E-3</v>
      </c>
    </row>
    <row r="1975" spans="1:25" x14ac:dyDescent="0.25">
      <c r="A1975" s="1083"/>
      <c r="B1975" s="1455">
        <v>1725</v>
      </c>
      <c r="C1975" s="1087">
        <v>1.0266404420259085</v>
      </c>
      <c r="D1975" s="1087">
        <v>0.97862848183662832</v>
      </c>
      <c r="E1975" s="1087">
        <v>1.0286334440959548</v>
      </c>
      <c r="F1975" s="1087">
        <v>1.0359774905885415</v>
      </c>
      <c r="G1975" s="1087">
        <v>1.0157348993336419</v>
      </c>
      <c r="H1975" s="1087">
        <v>0.98589273445523951</v>
      </c>
      <c r="I1975" s="1087">
        <v>0.97925160843704018</v>
      </c>
      <c r="K1975">
        <v>1.8525361767952315</v>
      </c>
      <c r="L1975">
        <v>0</v>
      </c>
      <c r="M1975">
        <v>3.3316729308575667E-3</v>
      </c>
      <c r="N1975">
        <v>0.34519615019728794</v>
      </c>
      <c r="O1975">
        <v>0.24228668252879298</v>
      </c>
      <c r="P1975">
        <v>1.3503469636775818E-2</v>
      </c>
      <c r="Q1975">
        <v>1.6038424339353795E-3</v>
      </c>
      <c r="R1975">
        <v>3.3258824158156454E-3</v>
      </c>
      <c r="S1975">
        <v>0.35033019879466981</v>
      </c>
      <c r="T1975">
        <v>0.41736318215021845</v>
      </c>
      <c r="U1975">
        <v>0</v>
      </c>
      <c r="V1975">
        <v>0.20133615949211328</v>
      </c>
      <c r="W1975">
        <v>0.21602443703307755</v>
      </c>
      <c r="X1975">
        <v>5.5845889484396213E-2</v>
      </c>
      <c r="Y1975">
        <v>9.05195555900647E-3</v>
      </c>
    </row>
    <row r="1976" spans="1:25" x14ac:dyDescent="0.25">
      <c r="A1976" s="1083"/>
      <c r="B1976" s="1455">
        <v>1726</v>
      </c>
      <c r="C1976" s="1087">
        <v>0.98573957380061428</v>
      </c>
      <c r="D1976" s="1087">
        <v>1.0048435896905135</v>
      </c>
      <c r="E1976" s="1087">
        <v>1.0113190360128084</v>
      </c>
      <c r="F1976" s="1087">
        <v>1.0200984669826445</v>
      </c>
      <c r="G1976" s="1087">
        <v>1.0016231134789702</v>
      </c>
      <c r="H1976" s="1087">
        <v>0.96302447104921973</v>
      </c>
      <c r="I1976" s="1087">
        <v>1.0365413179543241</v>
      </c>
      <c r="K1976">
        <v>1.8670140481046225</v>
      </c>
      <c r="L1976">
        <v>0</v>
      </c>
      <c r="M1976">
        <v>3.4629300740260296E-3</v>
      </c>
      <c r="N1976">
        <v>0.34033974724963678</v>
      </c>
      <c r="O1976">
        <v>0.24253470925251552</v>
      </c>
      <c r="P1976">
        <v>1.3618924828879924E-2</v>
      </c>
      <c r="Q1976">
        <v>1.6229122303276122E-3</v>
      </c>
      <c r="R1976">
        <v>3.4567469191275021E-3</v>
      </c>
      <c r="S1976">
        <v>0.37607370612111635</v>
      </c>
      <c r="T1976">
        <v>0.41085749582293746</v>
      </c>
      <c r="U1976">
        <v>0</v>
      </c>
      <c r="V1976">
        <v>0.20285100239513926</v>
      </c>
      <c r="W1976">
        <v>0.2152673341701937</v>
      </c>
      <c r="X1976">
        <v>5.4446273591225731E-2</v>
      </c>
      <c r="Y1976">
        <v>9.4081255975494247E-3</v>
      </c>
    </row>
    <row r="1977" spans="1:25" x14ac:dyDescent="0.25">
      <c r="A1977" s="1083"/>
      <c r="B1977" s="1455">
        <v>1727</v>
      </c>
      <c r="C1977" s="1087">
        <v>1.0463140227352756</v>
      </c>
      <c r="D1977" s="1087">
        <v>1.0015684304837682</v>
      </c>
      <c r="E1977" s="1087">
        <v>0.99840425397461197</v>
      </c>
      <c r="F1977" s="1087">
        <v>1.0089706235782718</v>
      </c>
      <c r="G1977" s="1087">
        <v>1.0145235623558639</v>
      </c>
      <c r="H1977" s="1087">
        <v>1.0087403158097579</v>
      </c>
      <c r="I1977" s="1087">
        <v>1.0288947269182134</v>
      </c>
      <c r="K1977">
        <v>1.8157151997316372</v>
      </c>
      <c r="L1977">
        <v>0</v>
      </c>
      <c r="M1977">
        <v>3.5135367723446334E-3</v>
      </c>
      <c r="N1977">
        <v>0.3320002050652241</v>
      </c>
      <c r="O1977">
        <v>0.23411127924036551</v>
      </c>
      <c r="P1977">
        <v>1.3112642408312111E-2</v>
      </c>
      <c r="Q1977">
        <v>1.5100824771625073E-3</v>
      </c>
      <c r="R1977">
        <v>3.5075477057969666E-3</v>
      </c>
      <c r="S1977">
        <v>0.36025070768174977</v>
      </c>
      <c r="T1977">
        <v>0.40629639028624831</v>
      </c>
      <c r="U1977">
        <v>0</v>
      </c>
      <c r="V1977">
        <v>0.19562058984010394</v>
      </c>
      <c r="W1977">
        <v>0.21168766946095902</v>
      </c>
      <c r="X1977">
        <v>5.1585233745670235E-2</v>
      </c>
      <c r="Y1977">
        <v>9.5463885923888804E-3</v>
      </c>
    </row>
    <row r="1978" spans="1:25" x14ac:dyDescent="0.25">
      <c r="A1978" s="1083"/>
      <c r="B1978" s="1455">
        <v>1728</v>
      </c>
      <c r="C1978" s="1087">
        <v>1.0003411343025164</v>
      </c>
      <c r="D1978" s="1087">
        <v>0.98770245653657984</v>
      </c>
      <c r="E1978" s="1087">
        <v>1.020127701316677</v>
      </c>
      <c r="F1978" s="1087">
        <v>0.97910928268547426</v>
      </c>
      <c r="G1978" s="1087">
        <v>1.0083331689171302</v>
      </c>
      <c r="H1978" s="1087">
        <v>1.0068111864387785</v>
      </c>
      <c r="I1978" s="1087">
        <v>1.0046344780781311</v>
      </c>
      <c r="K1978">
        <v>1.8622602793290437</v>
      </c>
      <c r="L1978">
        <v>0</v>
      </c>
      <c r="M1978">
        <v>3.5359613450117338E-3</v>
      </c>
      <c r="N1978">
        <v>0.35700391663055198</v>
      </c>
      <c r="O1978">
        <v>0.23770912714144396</v>
      </c>
      <c r="P1978">
        <v>1.3347834772503611E-2</v>
      </c>
      <c r="Q1978">
        <v>1.6253299022733665E-3</v>
      </c>
      <c r="R1978">
        <v>3.5299361828750203E-3</v>
      </c>
      <c r="S1978">
        <v>0.37073143963226035</v>
      </c>
      <c r="T1978">
        <v>0.39440142285712587</v>
      </c>
      <c r="U1978">
        <v>0</v>
      </c>
      <c r="V1978">
        <v>0.19868501555740209</v>
      </c>
      <c r="W1978">
        <v>0.22458264619234508</v>
      </c>
      <c r="X1978">
        <v>5.4572249158639528E-2</v>
      </c>
      <c r="Y1978">
        <v>9.6073226466358557E-3</v>
      </c>
    </row>
    <row r="1979" spans="1:25" x14ac:dyDescent="0.25">
      <c r="A1979" s="1083"/>
      <c r="B1979" s="1455">
        <v>1729</v>
      </c>
      <c r="C1979" s="1087">
        <v>1.003874949609785</v>
      </c>
      <c r="D1979" s="1087">
        <v>1.0190478301176882</v>
      </c>
      <c r="E1979" s="1087">
        <v>0.96682518848671217</v>
      </c>
      <c r="F1979" s="1087">
        <v>1.0324938738757741</v>
      </c>
      <c r="G1979" s="1087">
        <v>0.98841245478138773</v>
      </c>
      <c r="H1979" s="1087">
        <v>0.97834790423662255</v>
      </c>
      <c r="I1979" s="1087">
        <v>1.0288570554239624</v>
      </c>
      <c r="K1979">
        <v>1.8281731976860884</v>
      </c>
      <c r="L1979">
        <v>0</v>
      </c>
      <c r="M1979">
        <v>3.7533044811171048E-3</v>
      </c>
      <c r="N1979">
        <v>0.3220155799713853</v>
      </c>
      <c r="O1979">
        <v>0.23961469733473459</v>
      </c>
      <c r="P1979">
        <v>1.3072195666216839E-2</v>
      </c>
      <c r="Q1979">
        <v>1.5108838088579617E-3</v>
      </c>
      <c r="R1979">
        <v>3.746692794458475E-3</v>
      </c>
      <c r="S1979">
        <v>0.36596305849175897</v>
      </c>
      <c r="T1979">
        <v>0.41557374251801366</v>
      </c>
      <c r="U1979">
        <v>0</v>
      </c>
      <c r="V1979">
        <v>0.20087855060878343</v>
      </c>
      <c r="W1979">
        <v>0.20946747315112874</v>
      </c>
      <c r="X1979">
        <v>4.9886365132298868E-2</v>
      </c>
      <c r="Y1979">
        <v>1.0197262689568215E-2</v>
      </c>
    </row>
    <row r="1980" spans="1:25" x14ac:dyDescent="0.25">
      <c r="A1980" s="1083"/>
      <c r="B1980" s="1455">
        <v>1730</v>
      </c>
      <c r="C1980" s="1087">
        <v>1.0182837254742148</v>
      </c>
      <c r="D1980" s="1087">
        <v>0.99524966308839646</v>
      </c>
      <c r="E1980" s="1087">
        <v>0.98352718378789084</v>
      </c>
      <c r="F1980" s="1087">
        <v>1.0043515873348008</v>
      </c>
      <c r="G1980" s="1087">
        <v>1.0088974100773211</v>
      </c>
      <c r="H1980" s="1087">
        <v>0.98005513021031065</v>
      </c>
      <c r="I1980" s="1087">
        <v>0.9690027195698282</v>
      </c>
      <c r="K1980">
        <v>1.7983271458397392</v>
      </c>
      <c r="L1980">
        <v>0</v>
      </c>
      <c r="M1980">
        <v>3.6294181415731574E-3</v>
      </c>
      <c r="N1980">
        <v>0.32770268375893524</v>
      </c>
      <c r="O1980">
        <v>0.23729540529838791</v>
      </c>
      <c r="P1980">
        <v>1.2768884214789699E-2</v>
      </c>
      <c r="Q1980">
        <v>1.5310040320382864E-3</v>
      </c>
      <c r="R1980">
        <v>3.6230582567816976E-3</v>
      </c>
      <c r="S1980">
        <v>0.34477777784516545</v>
      </c>
      <c r="T1980">
        <v>0.40434642846386493</v>
      </c>
      <c r="U1980">
        <v>0</v>
      </c>
      <c r="V1980">
        <v>0.19835516511196602</v>
      </c>
      <c r="W1980">
        <v>0.21091224252052201</v>
      </c>
      <c r="X1980">
        <v>5.0783144244732938E-2</v>
      </c>
      <c r="Y1980">
        <v>9.8607702341264175E-3</v>
      </c>
    </row>
    <row r="1981" spans="1:25" x14ac:dyDescent="0.25">
      <c r="A1981" s="1083"/>
      <c r="B1981" s="1455">
        <v>1731</v>
      </c>
      <c r="C1981" s="1087">
        <v>1.0163047928267246</v>
      </c>
      <c r="D1981" s="1087">
        <v>1.0215108580234493</v>
      </c>
      <c r="E1981" s="1087">
        <v>0.99717151269358661</v>
      </c>
      <c r="F1981" s="1087">
        <v>1.0005662934452286</v>
      </c>
      <c r="G1981" s="1087">
        <v>1.0036889438995811</v>
      </c>
      <c r="H1981" s="1087">
        <v>0.97841809437285798</v>
      </c>
      <c r="I1981" s="1087">
        <v>0.97146600377250236</v>
      </c>
      <c r="K1981">
        <v>1.7877358031719826</v>
      </c>
      <c r="L1981">
        <v>0</v>
      </c>
      <c r="M1981">
        <v>3.4809599356721678E-3</v>
      </c>
      <c r="N1981">
        <v>0.3276679005103621</v>
      </c>
      <c r="O1981">
        <v>0.23469210679947661</v>
      </c>
      <c r="P1981">
        <v>1.2813228517982242E-2</v>
      </c>
      <c r="Q1981">
        <v>1.5404324646810913E-3</v>
      </c>
      <c r="R1981">
        <v>3.4748270197543078E-3</v>
      </c>
      <c r="S1981">
        <v>0.34122195728179344</v>
      </c>
      <c r="T1981">
        <v>0.40290463863045151</v>
      </c>
      <c r="U1981">
        <v>0</v>
      </c>
      <c r="V1981">
        <v>0.19693842029704497</v>
      </c>
      <c r="W1981">
        <v>0.20908658932348628</v>
      </c>
      <c r="X1981">
        <v>5.1419328591269228E-2</v>
      </c>
      <c r="Y1981">
        <v>9.4573336713520157E-3</v>
      </c>
    </row>
    <row r="1982" spans="1:25" x14ac:dyDescent="0.25">
      <c r="A1982" s="1083"/>
      <c r="B1982" s="1455">
        <v>1732</v>
      </c>
      <c r="C1982" s="1087">
        <v>0.99695801297315045</v>
      </c>
      <c r="D1982" s="1087">
        <v>0.96533047187073817</v>
      </c>
      <c r="E1982" s="1087">
        <v>0.99882864193283338</v>
      </c>
      <c r="F1982" s="1087">
        <v>0.98177062638276014</v>
      </c>
      <c r="G1982" s="1087">
        <v>0.99542531010647428</v>
      </c>
      <c r="H1982" s="1087">
        <v>1.0071550942240433</v>
      </c>
      <c r="I1982" s="1087">
        <v>1.0246089311874214</v>
      </c>
      <c r="K1982">
        <v>1.8799351237675748</v>
      </c>
      <c r="L1982">
        <v>0</v>
      </c>
      <c r="M1982">
        <v>3.7531680085086368E-3</v>
      </c>
      <c r="N1982">
        <v>0.35510531093082726</v>
      </c>
      <c r="O1982">
        <v>0.24035699391389065</v>
      </c>
      <c r="P1982">
        <v>1.3356163765882353E-2</v>
      </c>
      <c r="Q1982">
        <v>1.6091044147092026E-3</v>
      </c>
      <c r="R1982">
        <v>3.7467946370461462E-3</v>
      </c>
      <c r="S1982">
        <v>0.3840275956520402</v>
      </c>
      <c r="T1982">
        <v>0.3953459069765799</v>
      </c>
      <c r="U1982">
        <v>0</v>
      </c>
      <c r="V1982">
        <v>0.20034824893729933</v>
      </c>
      <c r="W1982">
        <v>0.22635969326682542</v>
      </c>
      <c r="X1982">
        <v>5.3234939409463389E-2</v>
      </c>
      <c r="Y1982">
        <v>1.0197539871519458E-2</v>
      </c>
    </row>
    <row r="1983" spans="1:25" x14ac:dyDescent="0.25">
      <c r="A1983" s="1083"/>
      <c r="B1983" s="1455">
        <v>1733</v>
      </c>
      <c r="C1983" s="1087">
        <v>1.0322336113018555</v>
      </c>
      <c r="D1983" s="1087">
        <v>1.0297041902508479</v>
      </c>
      <c r="E1983" s="1087">
        <v>0.98767640127664713</v>
      </c>
      <c r="F1983" s="1087">
        <v>0.96632644616077101</v>
      </c>
      <c r="G1983" s="1087">
        <v>0.99030303540011511</v>
      </c>
      <c r="H1983" s="1087">
        <v>1.0118197890656422</v>
      </c>
      <c r="I1983" s="1087">
        <v>1.0187003397376431</v>
      </c>
      <c r="K1983">
        <v>1.77924301890241</v>
      </c>
      <c r="L1983">
        <v>0</v>
      </c>
      <c r="M1983">
        <v>3.5982081545277199E-3</v>
      </c>
      <c r="N1983">
        <v>0.32904439801052188</v>
      </c>
      <c r="O1983">
        <v>0.22801429985826785</v>
      </c>
      <c r="P1983">
        <v>1.2674567964828135E-2</v>
      </c>
      <c r="Q1983">
        <v>1.4965439902792433E-3</v>
      </c>
      <c r="R1983">
        <v>3.59207123754047E-3</v>
      </c>
      <c r="S1983">
        <v>0.35652410464201489</v>
      </c>
      <c r="T1983">
        <v>0.38906175899488848</v>
      </c>
      <c r="U1983">
        <v>0</v>
      </c>
      <c r="V1983">
        <v>0.19194994321782205</v>
      </c>
      <c r="W1983">
        <v>0.21122148492656687</v>
      </c>
      <c r="X1983">
        <v>4.9485620431586337E-2</v>
      </c>
      <c r="Y1983">
        <v>9.7764337826199473E-3</v>
      </c>
    </row>
    <row r="1984" spans="1:25" x14ac:dyDescent="0.25">
      <c r="A1984" s="1083"/>
      <c r="B1984" s="1455">
        <v>1734</v>
      </c>
      <c r="C1984" s="1087">
        <v>1.0300046885409746</v>
      </c>
      <c r="D1984" s="1087">
        <v>0.98916499976468508</v>
      </c>
      <c r="E1984" s="1087">
        <v>0.98718301357591232</v>
      </c>
      <c r="F1984" s="1087">
        <v>0.9810921378745725</v>
      </c>
      <c r="G1984" s="1087">
        <v>1.0199124958368702</v>
      </c>
      <c r="H1984" s="1087">
        <v>1.000865495033151</v>
      </c>
      <c r="I1984" s="1087">
        <v>0.98828812742757421</v>
      </c>
      <c r="K1984">
        <v>1.7987491954767394</v>
      </c>
      <c r="L1984">
        <v>0</v>
      </c>
      <c r="M1984">
        <v>3.6491387591957823E-3</v>
      </c>
      <c r="N1984">
        <v>0.33319635270234549</v>
      </c>
      <c r="O1984">
        <v>0.23386127104864138</v>
      </c>
      <c r="P1984">
        <v>1.2743798141274675E-2</v>
      </c>
      <c r="Q1984">
        <v>1.5232667404549798E-3</v>
      </c>
      <c r="R1984">
        <v>3.6428826549401759E-3</v>
      </c>
      <c r="S1984">
        <v>0.35250359263310194</v>
      </c>
      <c r="T1984">
        <v>0.39500380612255404</v>
      </c>
      <c r="U1984">
        <v>0</v>
      </c>
      <c r="V1984">
        <v>0.19550098069343771</v>
      </c>
      <c r="W1984">
        <v>0.21395329880729891</v>
      </c>
      <c r="X1984">
        <v>5.0554358981081453E-2</v>
      </c>
      <c r="Y1984">
        <v>9.9147257108027024E-3</v>
      </c>
    </row>
    <row r="1985" spans="1:25" x14ac:dyDescent="0.25">
      <c r="A1985" s="1083"/>
      <c r="B1985" s="1455">
        <v>1735</v>
      </c>
      <c r="C1985" s="1087">
        <v>1.0006283895048826</v>
      </c>
      <c r="D1985" s="1087">
        <v>0.98010299872636464</v>
      </c>
      <c r="E1985" s="1087">
        <v>1.0149492321977338</v>
      </c>
      <c r="F1985" s="1087">
        <v>1.0044099584531199</v>
      </c>
      <c r="G1985" s="1087">
        <v>0.98720294660926333</v>
      </c>
      <c r="H1985" s="1087">
        <v>0.97287590104102961</v>
      </c>
      <c r="I1985" s="1087">
        <v>0.98409562981858789</v>
      </c>
      <c r="K1985">
        <v>1.8464824737502581</v>
      </c>
      <c r="L1985">
        <v>0</v>
      </c>
      <c r="M1985">
        <v>3.4670379820428399E-3</v>
      </c>
      <c r="N1985">
        <v>0.34454399989870571</v>
      </c>
      <c r="O1985">
        <v>0.24140605612073346</v>
      </c>
      <c r="P1985">
        <v>1.3303008553119524E-2</v>
      </c>
      <c r="Q1985">
        <v>1.6210026189577931E-3</v>
      </c>
      <c r="R1985">
        <v>3.4609313932025161E-3</v>
      </c>
      <c r="S1985">
        <v>0.35844173800596679</v>
      </c>
      <c r="T1985">
        <v>0.40456104926249914</v>
      </c>
      <c r="U1985">
        <v>0</v>
      </c>
      <c r="V1985">
        <v>0.20123819149884062</v>
      </c>
      <c r="W1985">
        <v>0.21743764797556198</v>
      </c>
      <c r="X1985">
        <v>5.4516372048142796E-2</v>
      </c>
      <c r="Y1985">
        <v>9.4195143565701002E-3</v>
      </c>
    </row>
    <row r="1986" spans="1:25" x14ac:dyDescent="0.25">
      <c r="A1986" s="1083"/>
      <c r="B1986" s="1455">
        <v>1736</v>
      </c>
      <c r="C1986" s="1087">
        <v>0.97216345470919507</v>
      </c>
      <c r="D1986" s="1087">
        <v>1.0036493942709368</v>
      </c>
      <c r="E1986" s="1087">
        <v>0.99460400724058085</v>
      </c>
      <c r="F1986" s="1087">
        <v>0.95957973310099121</v>
      </c>
      <c r="G1986" s="1087">
        <v>1.0114383259637327</v>
      </c>
      <c r="H1986" s="1087">
        <v>0.98501228346646763</v>
      </c>
      <c r="I1986" s="1087">
        <v>1.0102281683186853</v>
      </c>
      <c r="K1986">
        <v>1.8438871912173547</v>
      </c>
      <c r="L1986">
        <v>0</v>
      </c>
      <c r="M1986">
        <v>3.7175534119999664E-3</v>
      </c>
      <c r="N1986">
        <v>0.34721235726079608</v>
      </c>
      <c r="O1986">
        <v>0.23678209752981264</v>
      </c>
      <c r="P1986">
        <v>1.3062000593132093E-2</v>
      </c>
      <c r="Q1986">
        <v>1.6173388739335478E-3</v>
      </c>
      <c r="R1986">
        <v>3.7110626529847169E-3</v>
      </c>
      <c r="S1986">
        <v>0.37576765805030249</v>
      </c>
      <c r="T1986">
        <v>0.38638542526044439</v>
      </c>
      <c r="U1986">
        <v>0</v>
      </c>
      <c r="V1986">
        <v>0.19902151810234436</v>
      </c>
      <c r="W1986">
        <v>0.22191482862843728</v>
      </c>
      <c r="X1986">
        <v>5.2030168487219516E-2</v>
      </c>
      <c r="Y1986">
        <v>1.0100289189949626E-2</v>
      </c>
    </row>
    <row r="1987" spans="1:25" x14ac:dyDescent="0.25">
      <c r="A1987" s="1083"/>
      <c r="B1987" s="1455">
        <v>1737</v>
      </c>
      <c r="C1987" s="1087">
        <v>1.0292199015614785</v>
      </c>
      <c r="D1987" s="1087">
        <v>0.98642130790895621</v>
      </c>
      <c r="E1987" s="1087">
        <v>0.98127752438387938</v>
      </c>
      <c r="F1987" s="1087">
        <v>1.0117400010697895</v>
      </c>
      <c r="G1987" s="1087">
        <v>0.96866019474471243</v>
      </c>
      <c r="H1987" s="1087">
        <v>1.0141324363148381</v>
      </c>
      <c r="I1987" s="1087">
        <v>1.0201626854651142</v>
      </c>
      <c r="K1987">
        <v>1.8391973511017659</v>
      </c>
      <c r="L1987">
        <v>0</v>
      </c>
      <c r="M1987">
        <v>3.7506157871623771E-3</v>
      </c>
      <c r="N1987">
        <v>0.33634632404586745</v>
      </c>
      <c r="O1987">
        <v>0.23771494535357221</v>
      </c>
      <c r="P1987">
        <v>1.3085870186446462E-2</v>
      </c>
      <c r="Q1987">
        <v>1.5164712443506681E-3</v>
      </c>
      <c r="R1987">
        <v>3.7442719699318722E-3</v>
      </c>
      <c r="S1987">
        <v>0.36703592256396439</v>
      </c>
      <c r="T1987">
        <v>0.40730734651031536</v>
      </c>
      <c r="U1987">
        <v>0</v>
      </c>
      <c r="V1987">
        <v>0.19831109155763238</v>
      </c>
      <c r="W1987">
        <v>0.21678393195817872</v>
      </c>
      <c r="X1987">
        <v>5.0911117495438397E-2</v>
      </c>
      <c r="Y1987">
        <v>1.0190674003231389E-2</v>
      </c>
    </row>
    <row r="1988" spans="1:25" x14ac:dyDescent="0.25">
      <c r="A1988" s="1083"/>
      <c r="B1988" s="1455">
        <v>1738</v>
      </c>
      <c r="C1988" s="1087">
        <v>0.97570440378518797</v>
      </c>
      <c r="D1988" s="1087">
        <v>0.9962321355507423</v>
      </c>
      <c r="E1988" s="1087">
        <v>1.0150418713779874</v>
      </c>
      <c r="F1988" s="1087">
        <v>1.0120612807565548</v>
      </c>
      <c r="G1988" s="1087">
        <v>0.95747875507423164</v>
      </c>
      <c r="H1988" s="1087">
        <v>0.96170890387570185</v>
      </c>
      <c r="I1988" s="1087">
        <v>1.0003130032627898</v>
      </c>
      <c r="K1988">
        <v>1.8678425946707586</v>
      </c>
      <c r="L1988">
        <v>0</v>
      </c>
      <c r="M1988">
        <v>3.4834085054701461E-3</v>
      </c>
      <c r="N1988">
        <v>0.34626013952390383</v>
      </c>
      <c r="O1988">
        <v>0.24376988479684131</v>
      </c>
      <c r="P1988">
        <v>1.3516140558315692E-2</v>
      </c>
      <c r="Q1988">
        <v>1.6517536715796616E-3</v>
      </c>
      <c r="R1988">
        <v>3.4771878633798057E-3</v>
      </c>
      <c r="S1988">
        <v>0.36821422110604485</v>
      </c>
      <c r="T1988">
        <v>0.40764345956248904</v>
      </c>
      <c r="U1988">
        <v>0</v>
      </c>
      <c r="V1988">
        <v>0.20376418235921034</v>
      </c>
      <c r="W1988">
        <v>0.21850817675452402</v>
      </c>
      <c r="X1988">
        <v>5.5057097870488958E-2</v>
      </c>
      <c r="Y1988">
        <v>9.4637591094487317E-3</v>
      </c>
    </row>
    <row r="1989" spans="1:25" x14ac:dyDescent="0.25">
      <c r="A1989" s="1083"/>
      <c r="B1989" s="1455">
        <v>1739</v>
      </c>
      <c r="C1989" s="1087">
        <v>0.97915758781969242</v>
      </c>
      <c r="D1989" s="1087">
        <v>0.96363402160517175</v>
      </c>
      <c r="E1989" s="1087">
        <v>0.99791333790452541</v>
      </c>
      <c r="F1989" s="1087">
        <v>0.98547974103308522</v>
      </c>
      <c r="G1989" s="1087">
        <v>1.0143641736577544</v>
      </c>
      <c r="H1989" s="1087">
        <v>1.0028196268247069</v>
      </c>
      <c r="I1989" s="1087">
        <v>0.99843999034774678</v>
      </c>
      <c r="K1989">
        <v>1.8918520358960766</v>
      </c>
      <c r="L1989">
        <v>0</v>
      </c>
      <c r="M1989">
        <v>3.8152357633101062E-3</v>
      </c>
      <c r="N1989">
        <v>0.35996826421273725</v>
      </c>
      <c r="O1989">
        <v>0.24313181937223816</v>
      </c>
      <c r="P1989">
        <v>1.3351872961224311E-2</v>
      </c>
      <c r="Q1989">
        <v>1.6379103288920404E-3</v>
      </c>
      <c r="R1989">
        <v>3.8087297944784456E-3</v>
      </c>
      <c r="S1989">
        <v>0.38054339257600067</v>
      </c>
      <c r="T1989">
        <v>0.39683405874450656</v>
      </c>
      <c r="U1989">
        <v>0</v>
      </c>
      <c r="V1989">
        <v>0.20269934524334657</v>
      </c>
      <c r="W1989">
        <v>0.22959097994976371</v>
      </c>
      <c r="X1989">
        <v>5.3734791523067156E-2</v>
      </c>
      <c r="Y1989">
        <v>1.0366106953131015E-2</v>
      </c>
    </row>
    <row r="1990" spans="1:25" x14ac:dyDescent="0.25">
      <c r="A1990" s="1083"/>
      <c r="B1990" s="1455">
        <v>1740</v>
      </c>
      <c r="C1990" s="1087">
        <v>0.9991697833065889</v>
      </c>
      <c r="D1990" s="1087">
        <v>1.0065003794169396</v>
      </c>
      <c r="E1990" s="1087">
        <v>0.99489768211325635</v>
      </c>
      <c r="F1990" s="1087">
        <v>1.0104192206043334</v>
      </c>
      <c r="G1990" s="1087">
        <v>0.96719565667145024</v>
      </c>
      <c r="H1990" s="1087">
        <v>1.0162714067083802</v>
      </c>
      <c r="I1990" s="1087">
        <v>0.99921938906397445</v>
      </c>
      <c r="K1990">
        <v>1.8615851532405812</v>
      </c>
      <c r="L1990">
        <v>0</v>
      </c>
      <c r="M1990">
        <v>3.7249950059715133E-3</v>
      </c>
      <c r="N1990">
        <v>0.34823811440869651</v>
      </c>
      <c r="O1990">
        <v>0.23934002888779443</v>
      </c>
      <c r="P1990">
        <v>1.3239034822716909E-2</v>
      </c>
      <c r="Q1990">
        <v>1.5723330122793659E-3</v>
      </c>
      <c r="R1990">
        <v>3.7186906309004245E-3</v>
      </c>
      <c r="S1990">
        <v>0.36676470371639985</v>
      </c>
      <c r="T1990">
        <v>0.40685830015970126</v>
      </c>
      <c r="U1990">
        <v>0</v>
      </c>
      <c r="V1990">
        <v>0.20036823994157404</v>
      </c>
      <c r="W1990">
        <v>0.22252942534649706</v>
      </c>
      <c r="X1990">
        <v>5.2560227288717162E-2</v>
      </c>
      <c r="Y1990">
        <v>1.0121050031273938E-2</v>
      </c>
    </row>
    <row r="1991" spans="1:25" x14ac:dyDescent="0.25">
      <c r="A1991" s="1083"/>
      <c r="B1991" s="1455">
        <v>1741</v>
      </c>
      <c r="C1991" s="1087">
        <v>0.99135530149928908</v>
      </c>
      <c r="D1991" s="1087">
        <v>1.0174089215755562</v>
      </c>
      <c r="E1991" s="1087">
        <v>0.98468266385774461</v>
      </c>
      <c r="F1991" s="1087">
        <v>0.99301611319501137</v>
      </c>
      <c r="G1991" s="1087">
        <v>1.0094765066327276</v>
      </c>
      <c r="H1991" s="1087">
        <v>0.99546595640100388</v>
      </c>
      <c r="I1991" s="1087">
        <v>1.0013806364635947</v>
      </c>
      <c r="K1991">
        <v>1.8319113758001442</v>
      </c>
      <c r="L1991">
        <v>0</v>
      </c>
      <c r="M1991">
        <v>3.7333609379348585E-3</v>
      </c>
      <c r="N1991">
        <v>0.33828729900730053</v>
      </c>
      <c r="O1991">
        <v>0.23703839624943349</v>
      </c>
      <c r="P1991">
        <v>1.2992786482034294E-2</v>
      </c>
      <c r="Q1991">
        <v>1.5607363672027388E-3</v>
      </c>
      <c r="R1991">
        <v>3.7269008354122307E-3</v>
      </c>
      <c r="S1991">
        <v>0.36436886641030736</v>
      </c>
      <c r="T1991">
        <v>0.39978970191215596</v>
      </c>
      <c r="U1991">
        <v>0</v>
      </c>
      <c r="V1991">
        <v>0.19908998573782227</v>
      </c>
      <c r="W1991">
        <v>0.21756556438595731</v>
      </c>
      <c r="X1991">
        <v>5.1081103848988001E-2</v>
      </c>
      <c r="Y1991">
        <v>1.0143395501461885E-2</v>
      </c>
    </row>
    <row r="1992" spans="1:25" x14ac:dyDescent="0.25">
      <c r="A1992" s="1083"/>
      <c r="B1992" s="1455">
        <v>1742</v>
      </c>
      <c r="C1992" s="1087">
        <v>1.0225095714483075</v>
      </c>
      <c r="D1992" s="1087">
        <v>0.99046205714093816</v>
      </c>
      <c r="E1992" s="1087">
        <v>1.0104092818557593</v>
      </c>
      <c r="F1992" s="1087">
        <v>0.98599627722491101</v>
      </c>
      <c r="G1992" s="1087">
        <v>0.98083411703972889</v>
      </c>
      <c r="H1992" s="1087">
        <v>0.98673378016598878</v>
      </c>
      <c r="I1992" s="1087">
        <v>0.96621940525208405</v>
      </c>
      <c r="K1992">
        <v>1.8035227712272568</v>
      </c>
      <c r="L1992">
        <v>0</v>
      </c>
      <c r="M1992">
        <v>3.4534823081464987E-3</v>
      </c>
      <c r="N1992">
        <v>0.33848665196844535</v>
      </c>
      <c r="O1992">
        <v>0.23551272068861356</v>
      </c>
      <c r="P1992">
        <v>1.2906054478696827E-2</v>
      </c>
      <c r="Q1992">
        <v>1.5720828742439041E-3</v>
      </c>
      <c r="R1992">
        <v>3.4474758459874747E-3</v>
      </c>
      <c r="S1992">
        <v>0.34472646846734956</v>
      </c>
      <c r="T1992">
        <v>0.397116932832147</v>
      </c>
      <c r="U1992">
        <v>0</v>
      </c>
      <c r="V1992">
        <v>0.19676150346088214</v>
      </c>
      <c r="W1992">
        <v>0.2142159821260807</v>
      </c>
      <c r="X1992">
        <v>5.2847488000285013E-2</v>
      </c>
      <c r="Y1992">
        <v>9.3828927926707089E-3</v>
      </c>
    </row>
    <row r="1993" spans="1:25" x14ac:dyDescent="0.25">
      <c r="A1993" s="1083"/>
      <c r="B1993" s="1455">
        <v>1743</v>
      </c>
      <c r="C1993" s="1087">
        <v>1.0252571853748973</v>
      </c>
      <c r="D1993" s="1087">
        <v>0.98962074396694577</v>
      </c>
      <c r="E1993" s="1087">
        <v>0.98598657597159212</v>
      </c>
      <c r="F1993" s="1087">
        <v>1.0139646747152877</v>
      </c>
      <c r="G1993" s="1087">
        <v>0.98268748785462545</v>
      </c>
      <c r="H1993" s="1087">
        <v>0.97638221108178835</v>
      </c>
      <c r="I1993" s="1087">
        <v>1.0055237490678119</v>
      </c>
      <c r="K1993">
        <v>1.8119970685381106</v>
      </c>
      <c r="L1993">
        <v>0</v>
      </c>
      <c r="M1993">
        <v>3.5840164003136787E-3</v>
      </c>
      <c r="N1993">
        <v>0.3260422065963921</v>
      </c>
      <c r="O1993">
        <v>0.23818190176838813</v>
      </c>
      <c r="P1993">
        <v>1.2999697451490981E-2</v>
      </c>
      <c r="Q1993">
        <v>1.5280753848370325E-3</v>
      </c>
      <c r="R1993">
        <v>3.5777171196532862E-3</v>
      </c>
      <c r="S1993">
        <v>0.35581892851700997</v>
      </c>
      <c r="T1993">
        <v>0.40823154931000455</v>
      </c>
      <c r="U1993">
        <v>0</v>
      </c>
      <c r="V1993">
        <v>0.19876379074509812</v>
      </c>
      <c r="W1993">
        <v>0.20951761008842773</v>
      </c>
      <c r="X1993">
        <v>5.1182241351557523E-2</v>
      </c>
      <c r="Y1993">
        <v>9.7373666055647207E-3</v>
      </c>
    </row>
    <row r="1994" spans="1:25" x14ac:dyDescent="0.25">
      <c r="A1994" s="1083"/>
      <c r="B1994" s="1455">
        <v>1744</v>
      </c>
      <c r="C1994" s="1087">
        <v>0.99522258107932826</v>
      </c>
      <c r="D1994" s="1087">
        <v>1.0317483738446502</v>
      </c>
      <c r="E1994" s="1087">
        <v>1.0154258558936979</v>
      </c>
      <c r="F1994" s="1087">
        <v>1.0067683283570501</v>
      </c>
      <c r="G1994" s="1087">
        <v>0.9832928397368329</v>
      </c>
      <c r="H1994" s="1087">
        <v>1.0215379445594688</v>
      </c>
      <c r="I1994" s="1087">
        <v>0.99584303657670126</v>
      </c>
      <c r="K1994">
        <v>1.8610772728421172</v>
      </c>
      <c r="L1994">
        <v>0</v>
      </c>
      <c r="M1994">
        <v>3.5563415190583555E-3</v>
      </c>
      <c r="N1994">
        <v>0.35395798235469506</v>
      </c>
      <c r="O1994">
        <v>0.23721086868310237</v>
      </c>
      <c r="P1994">
        <v>1.3358903397052407E-2</v>
      </c>
      <c r="Q1994">
        <v>1.597475966282329E-3</v>
      </c>
      <c r="R1994">
        <v>3.5503324660474851E-3</v>
      </c>
      <c r="S1994">
        <v>0.36315307324444068</v>
      </c>
      <c r="T1994">
        <v>0.40551390338427468</v>
      </c>
      <c r="U1994">
        <v>0</v>
      </c>
      <c r="V1994">
        <v>0.19928593592741323</v>
      </c>
      <c r="W1994">
        <v>0.22331294171964702</v>
      </c>
      <c r="X1994">
        <v>5.4029362612419252E-2</v>
      </c>
      <c r="Y1994">
        <v>9.662834605798365E-3</v>
      </c>
    </row>
    <row r="1995" spans="1:25" x14ac:dyDescent="0.25">
      <c r="A1995" s="1083"/>
      <c r="B1995" s="1455">
        <v>1745</v>
      </c>
      <c r="C1995" s="1087">
        <v>0.96910263241835004</v>
      </c>
      <c r="D1995" s="1087">
        <v>1.0109169572878451</v>
      </c>
      <c r="E1995" s="1087">
        <v>1.0227407128561221</v>
      </c>
      <c r="F1995" s="1087">
        <v>0.99706249255219936</v>
      </c>
      <c r="G1995" s="1087">
        <v>1.0182341217099684</v>
      </c>
      <c r="H1995" s="1087">
        <v>0.99875582097566118</v>
      </c>
      <c r="I1995" s="1087">
        <v>0.99817005696518235</v>
      </c>
      <c r="K1995">
        <v>1.8893428128114407</v>
      </c>
      <c r="L1995">
        <v>0</v>
      </c>
      <c r="M1995">
        <v>3.5568724974699788E-3</v>
      </c>
      <c r="N1995">
        <v>0.36197880595956666</v>
      </c>
      <c r="O1995">
        <v>0.24144935549405577</v>
      </c>
      <c r="P1995">
        <v>1.3570543136614904E-2</v>
      </c>
      <c r="Q1995">
        <v>1.666786934592048E-3</v>
      </c>
      <c r="R1995">
        <v>3.5507435999915927E-3</v>
      </c>
      <c r="S1995">
        <v>0.37391554632908613</v>
      </c>
      <c r="T1995">
        <v>0.40164929661316928</v>
      </c>
      <c r="U1995">
        <v>0</v>
      </c>
      <c r="V1995">
        <v>0.20246379041375984</v>
      </c>
      <c r="W1995">
        <v>0.22734667650304954</v>
      </c>
      <c r="X1995">
        <v>5.5644186748158089E-2</v>
      </c>
      <c r="Y1995">
        <v>9.6639535768639623E-3</v>
      </c>
    </row>
    <row r="1996" spans="1:25" x14ac:dyDescent="0.25">
      <c r="A1996" s="1083"/>
      <c r="B1996" s="1455">
        <v>1746</v>
      </c>
      <c r="C1996" s="1087">
        <v>0.97173809905721353</v>
      </c>
      <c r="D1996" s="1087">
        <v>1.0188849598771585</v>
      </c>
      <c r="E1996" s="1087">
        <v>0.96474485626714346</v>
      </c>
      <c r="F1996" s="1087">
        <v>0.99125180032610483</v>
      </c>
      <c r="G1996" s="1087">
        <v>0.96021121263100151</v>
      </c>
      <c r="H1996" s="1087">
        <v>0.98924851955444237</v>
      </c>
      <c r="I1996" s="1087">
        <v>0.99598853216727978</v>
      </c>
      <c r="K1996">
        <v>1.8360460709086717</v>
      </c>
      <c r="L1996">
        <v>0</v>
      </c>
      <c r="M1996">
        <v>3.9388325261784573E-3</v>
      </c>
      <c r="N1996">
        <v>0.33579580569106338</v>
      </c>
      <c r="O1996">
        <v>0.23880960598045381</v>
      </c>
      <c r="P1996">
        <v>1.285871411947038E-2</v>
      </c>
      <c r="Q1996">
        <v>1.557432520616618E-3</v>
      </c>
      <c r="R1996">
        <v>3.9319727745144497E-3</v>
      </c>
      <c r="S1996">
        <v>0.3680569944487817</v>
      </c>
      <c r="T1996">
        <v>0.39896182470555508</v>
      </c>
      <c r="U1996">
        <v>0</v>
      </c>
      <c r="V1996">
        <v>0.20089723877825047</v>
      </c>
      <c r="W1996">
        <v>0.21872290545509357</v>
      </c>
      <c r="X1996">
        <v>4.9690875243297294E-2</v>
      </c>
      <c r="Y1996">
        <v>1.0701533717751567E-2</v>
      </c>
    </row>
    <row r="1997" spans="1:25" x14ac:dyDescent="0.25">
      <c r="A1997" s="1083"/>
      <c r="B1997" s="1455">
        <v>1747</v>
      </c>
      <c r="C1997" s="1087">
        <v>0.97615738141584663</v>
      </c>
      <c r="D1997" s="1087">
        <v>0.97217446499436466</v>
      </c>
      <c r="E1997" s="1087">
        <v>0.98191047196214998</v>
      </c>
      <c r="F1997" s="1087">
        <v>1.0027295941625209</v>
      </c>
      <c r="G1997" s="1087">
        <v>1.0007182131163763</v>
      </c>
      <c r="H1997" s="1087">
        <v>1.0168859493790567</v>
      </c>
      <c r="I1997" s="1087">
        <v>1.0002959920919674</v>
      </c>
      <c r="K1997">
        <v>1.9033398124710406</v>
      </c>
      <c r="L1997">
        <v>0</v>
      </c>
      <c r="M1997">
        <v>3.9913959688253516E-3</v>
      </c>
      <c r="N1997">
        <v>0.3586347856099264</v>
      </c>
      <c r="O1997">
        <v>0.24453624789045336</v>
      </c>
      <c r="P1997">
        <v>1.3335651934830427E-2</v>
      </c>
      <c r="Q1997">
        <v>1.6093315490150392E-3</v>
      </c>
      <c r="R1997">
        <v>3.9846769533636358E-3</v>
      </c>
      <c r="S1997">
        <v>0.38305610427496861</v>
      </c>
      <c r="T1997">
        <v>0.40368372220604193</v>
      </c>
      <c r="U1997">
        <v>0</v>
      </c>
      <c r="V1997">
        <v>0.20400225268026401</v>
      </c>
      <c r="W1997">
        <v>0.23105675007865017</v>
      </c>
      <c r="X1997">
        <v>5.2586708143702511E-2</v>
      </c>
      <c r="Y1997">
        <v>1.0844977118651164E-2</v>
      </c>
    </row>
    <row r="1998" spans="1:25" x14ac:dyDescent="0.25">
      <c r="A1998" s="1083"/>
      <c r="B1998" s="1455">
        <v>1748</v>
      </c>
      <c r="C1998" s="1087">
        <v>0.96875461928517748</v>
      </c>
      <c r="D1998" s="1087">
        <v>1.001503344840958</v>
      </c>
      <c r="E1998" s="1087">
        <v>0.97748276308169135</v>
      </c>
      <c r="F1998" s="1087">
        <v>1.0443884421988405</v>
      </c>
      <c r="G1998" s="1087">
        <v>0.98863581601785555</v>
      </c>
      <c r="H1998" s="1087">
        <v>0.98392801724350443</v>
      </c>
      <c r="I1998" s="1087">
        <v>1.0190999082859169</v>
      </c>
      <c r="K1998">
        <v>1.8972032241689643</v>
      </c>
      <c r="L1998">
        <v>0</v>
      </c>
      <c r="M1998">
        <v>3.8650243575211992E-3</v>
      </c>
      <c r="N1998">
        <v>0.34259055774263603</v>
      </c>
      <c r="O1998">
        <v>0.24737663047916039</v>
      </c>
      <c r="P1998">
        <v>1.3519131730834084E-2</v>
      </c>
      <c r="Q1998">
        <v>1.5948417530132284E-3</v>
      </c>
      <c r="R1998">
        <v>3.8582733410023489E-3</v>
      </c>
      <c r="S1998">
        <v>0.38051487722085237</v>
      </c>
      <c r="T1998">
        <v>0.42042733275752364</v>
      </c>
      <c r="U1998">
        <v>0</v>
      </c>
      <c r="V1998">
        <v>0.2068156811174745</v>
      </c>
      <c r="W1998">
        <v>0.22134089589608558</v>
      </c>
      <c r="X1998">
        <v>5.2529078333157848E-2</v>
      </c>
      <c r="Y1998">
        <v>1.0500948154743362E-2</v>
      </c>
    </row>
    <row r="1999" spans="1:25" x14ac:dyDescent="0.25">
      <c r="A1999" s="1083"/>
      <c r="B1999" s="1455">
        <v>1749</v>
      </c>
      <c r="C1999" s="1087">
        <v>1.0249776988696686</v>
      </c>
      <c r="D1999" s="1087">
        <v>1.0190214084532876</v>
      </c>
      <c r="E1999" s="1087">
        <v>0.99005124437381986</v>
      </c>
      <c r="F1999" s="1087">
        <v>0.99950462135312823</v>
      </c>
      <c r="G1999" s="1087">
        <v>0.96463998067230827</v>
      </c>
      <c r="H1999" s="1087">
        <v>1.0106836876538132</v>
      </c>
      <c r="I1999" s="1087">
        <v>0.98973648713324158</v>
      </c>
      <c r="K1999">
        <v>1.8053292774288212</v>
      </c>
      <c r="L1999">
        <v>0</v>
      </c>
      <c r="M1999">
        <v>3.6221297521825497E-3</v>
      </c>
      <c r="N1999">
        <v>0.33364331305547157</v>
      </c>
      <c r="O1999">
        <v>0.233691565770966</v>
      </c>
      <c r="P1999">
        <v>1.2854361504650176E-2</v>
      </c>
      <c r="Q1999">
        <v>1.5172952769673632E-3</v>
      </c>
      <c r="R1999">
        <v>3.6159535788387958E-3</v>
      </c>
      <c r="S1999">
        <v>0.35066650970042251</v>
      </c>
      <c r="T1999">
        <v>0.40243420327404666</v>
      </c>
      <c r="U1999">
        <v>0</v>
      </c>
      <c r="V1999">
        <v>0.19603776057681987</v>
      </c>
      <c r="W1999">
        <v>0.21385339874108103</v>
      </c>
      <c r="X1999">
        <v>5.0795612058915363E-2</v>
      </c>
      <c r="Y1999">
        <v>9.8414336428222955E-3</v>
      </c>
    </row>
    <row r="2000" spans="1:25" x14ac:dyDescent="0.25">
      <c r="A2000" s="1083"/>
      <c r="B2000" s="1455">
        <v>1750</v>
      </c>
      <c r="C2000" s="1087">
        <v>0.9909570601096449</v>
      </c>
      <c r="D2000" s="1087">
        <v>1.0484205240522304</v>
      </c>
      <c r="E2000" s="1087">
        <v>0.99797047803173711</v>
      </c>
      <c r="F2000" s="1087">
        <v>0.98531257304834463</v>
      </c>
      <c r="G2000" s="1087">
        <v>0.99251094864341372</v>
      </c>
      <c r="H2000" s="1087">
        <v>0.99712368796543571</v>
      </c>
      <c r="I2000" s="1087">
        <v>0.99788764409024988</v>
      </c>
      <c r="K2000">
        <v>1.8142907695641604</v>
      </c>
      <c r="L2000">
        <v>0</v>
      </c>
      <c r="M2000">
        <v>3.5823062890672904E-3</v>
      </c>
      <c r="N2000">
        <v>0.33804027253947122</v>
      </c>
      <c r="O2000">
        <v>0.23342154216268576</v>
      </c>
      <c r="P2000">
        <v>1.2962684819436006E-2</v>
      </c>
      <c r="Q2000">
        <v>1.5648221846027877E-3</v>
      </c>
      <c r="R2000">
        <v>3.5760917398013482E-3</v>
      </c>
      <c r="S2000">
        <v>0.35772314081960743</v>
      </c>
      <c r="T2000">
        <v>0.39676708399469657</v>
      </c>
      <c r="U2000">
        <v>0</v>
      </c>
      <c r="V2000">
        <v>0.19698091326686579</v>
      </c>
      <c r="W2000">
        <v>0.21559740122732643</v>
      </c>
      <c r="X2000">
        <v>5.1506180241321906E-2</v>
      </c>
      <c r="Y2000">
        <v>9.7329428574140682E-3</v>
      </c>
    </row>
    <row r="2001" spans="1:25" x14ac:dyDescent="0.25">
      <c r="A2001" s="1083"/>
      <c r="B2001" s="1455">
        <v>1751</v>
      </c>
      <c r="C2001" s="1087">
        <v>0.97640759542499833</v>
      </c>
      <c r="D2001" s="1087">
        <v>0.9850871217887387</v>
      </c>
      <c r="E2001" s="1087">
        <v>1.0246673502454529</v>
      </c>
      <c r="F2001" s="1087">
        <v>1.0262009158072296</v>
      </c>
      <c r="G2001" s="1087">
        <v>1.0221822788550294</v>
      </c>
      <c r="H2001" s="1087">
        <v>1.0082877998111686</v>
      </c>
      <c r="I2001" s="1087">
        <v>0.9699910500403619</v>
      </c>
      <c r="K2001">
        <v>1.9150438423177556</v>
      </c>
      <c r="L2001">
        <v>0</v>
      </c>
      <c r="M2001">
        <v>3.6000248210343797E-3</v>
      </c>
      <c r="N2001">
        <v>0.36853537150382565</v>
      </c>
      <c r="O2001">
        <v>0.24665146798644466</v>
      </c>
      <c r="P2001">
        <v>1.3708596733920551E-2</v>
      </c>
      <c r="Q2001">
        <v>1.6749267582400181E-3</v>
      </c>
      <c r="R2001">
        <v>3.5939027340056435E-3</v>
      </c>
      <c r="S2001">
        <v>0.36761096589721642</v>
      </c>
      <c r="T2001">
        <v>0.41339938277047927</v>
      </c>
      <c r="U2001">
        <v>0</v>
      </c>
      <c r="V2001">
        <v>0.20558133398972805</v>
      </c>
      <c r="W2001">
        <v>0.23119106768114414</v>
      </c>
      <c r="X2001">
        <v>5.6915432571538388E-2</v>
      </c>
      <c r="Y2001">
        <v>9.781418512245503E-3</v>
      </c>
    </row>
    <row r="2002" spans="1:25" x14ac:dyDescent="0.25">
      <c r="A2002" s="1083"/>
      <c r="B2002" s="1455">
        <v>1752</v>
      </c>
      <c r="C2002" s="1087">
        <v>1.0061808321425101</v>
      </c>
      <c r="D2002" s="1087">
        <v>1.0220312158148708</v>
      </c>
      <c r="E2002" s="1087">
        <v>1.0164104829955056</v>
      </c>
      <c r="F2002" s="1087">
        <v>0.98796250095278371</v>
      </c>
      <c r="G2002" s="1087">
        <v>1.0109139508951359</v>
      </c>
      <c r="H2002" s="1087">
        <v>0.98661506143539668</v>
      </c>
      <c r="I2002" s="1087">
        <v>1.0001786982390577</v>
      </c>
      <c r="K2002">
        <v>1.8180484153240877</v>
      </c>
      <c r="L2002">
        <v>0</v>
      </c>
      <c r="M2002">
        <v>3.4079900877415229E-3</v>
      </c>
      <c r="N2002">
        <v>0.34019273408693318</v>
      </c>
      <c r="O2002">
        <v>0.23467013056008107</v>
      </c>
      <c r="P2002">
        <v>1.3140097959213885E-2</v>
      </c>
      <c r="Q2002">
        <v>1.5877214095076425E-3</v>
      </c>
      <c r="R2002">
        <v>3.4020359729586662E-3</v>
      </c>
      <c r="S2002">
        <v>0.35644072796257398</v>
      </c>
      <c r="T2002">
        <v>0.39794510763609248</v>
      </c>
      <c r="U2002">
        <v>0</v>
      </c>
      <c r="V2002">
        <v>0.1970240949650171</v>
      </c>
      <c r="W2002">
        <v>0.21449797872988008</v>
      </c>
      <c r="X2002">
        <v>5.3296555692031809E-2</v>
      </c>
      <c r="Y2002">
        <v>9.2592204375364102E-3</v>
      </c>
    </row>
    <row r="2003" spans="1:25" x14ac:dyDescent="0.25">
      <c r="A2003" s="1083"/>
      <c r="B2003" s="1455">
        <v>1753</v>
      </c>
      <c r="C2003" s="1087">
        <v>1.0186659738299191</v>
      </c>
      <c r="D2003" s="1087">
        <v>1.0024845498247916</v>
      </c>
      <c r="E2003" s="1087">
        <v>0.97693664168639938</v>
      </c>
      <c r="F2003" s="1087">
        <v>1.0032377633989202</v>
      </c>
      <c r="G2003" s="1087">
        <v>1.040460857762425</v>
      </c>
      <c r="H2003" s="1087">
        <v>1.0008616237978805</v>
      </c>
      <c r="I2003" s="1087">
        <v>1.0107145342923289</v>
      </c>
      <c r="K2003">
        <v>1.819368370930035</v>
      </c>
      <c r="L2003">
        <v>0</v>
      </c>
      <c r="M2003">
        <v>3.7404280695602209E-3</v>
      </c>
      <c r="N2003">
        <v>0.33100311736241261</v>
      </c>
      <c r="O2003">
        <v>0.23630442749652306</v>
      </c>
      <c r="P2003">
        <v>1.2918106446102397E-2</v>
      </c>
      <c r="Q2003">
        <v>1.515213164711733E-3</v>
      </c>
      <c r="R2003">
        <v>3.7340031981195998E-3</v>
      </c>
      <c r="S2003">
        <v>0.36170238011442563</v>
      </c>
      <c r="T2003">
        <v>0.40385851641204251</v>
      </c>
      <c r="U2003">
        <v>0</v>
      </c>
      <c r="V2003">
        <v>0.19779547746969509</v>
      </c>
      <c r="W2003">
        <v>0.21392873421782829</v>
      </c>
      <c r="X2003">
        <v>5.018609732627495E-2</v>
      </c>
      <c r="Y2003">
        <v>1.0162725791458105E-2</v>
      </c>
    </row>
    <row r="2004" spans="1:25" x14ac:dyDescent="0.25">
      <c r="A2004" s="1083"/>
      <c r="B2004" s="1455">
        <v>1754</v>
      </c>
      <c r="C2004" s="1087">
        <v>1.0306987153599487</v>
      </c>
      <c r="D2004" s="1087">
        <v>1.0302893502628512</v>
      </c>
      <c r="E2004" s="1087">
        <v>1.0089839997907393</v>
      </c>
      <c r="F2004" s="1087">
        <v>1.0074170621801397</v>
      </c>
      <c r="G2004" s="1087">
        <v>0.98529566378670397</v>
      </c>
      <c r="H2004" s="1087">
        <v>1.0145041417805103</v>
      </c>
      <c r="I2004" s="1087">
        <v>0.96643656332518957</v>
      </c>
      <c r="K2004">
        <v>1.8008499203609309</v>
      </c>
      <c r="L2004">
        <v>0</v>
      </c>
      <c r="M2004">
        <v>3.4568078358401181E-3</v>
      </c>
      <c r="N2004">
        <v>0.3373558297666151</v>
      </c>
      <c r="O2004">
        <v>0.23307064947695164</v>
      </c>
      <c r="P2004">
        <v>1.2920076993083458E-2</v>
      </c>
      <c r="Q2004">
        <v>1.5328732570174454E-3</v>
      </c>
      <c r="R2004">
        <v>3.4509251734151972E-3</v>
      </c>
      <c r="S2004">
        <v>0.33924721295826848</v>
      </c>
      <c r="T2004">
        <v>0.40573554485083557</v>
      </c>
      <c r="U2004">
        <v>0</v>
      </c>
      <c r="V2004">
        <v>0.19563403527014459</v>
      </c>
      <c r="W2004">
        <v>0.21368916123827206</v>
      </c>
      <c r="X2004">
        <v>5.2278138487308522E-2</v>
      </c>
      <c r="Y2004">
        <v>9.3922807248584851E-3</v>
      </c>
    </row>
    <row r="2005" spans="1:25" x14ac:dyDescent="0.25">
      <c r="A2005" s="1083"/>
      <c r="B2005" s="1455">
        <v>1755</v>
      </c>
      <c r="C2005" s="1087">
        <v>0.98565261650949176</v>
      </c>
      <c r="D2005" s="1087">
        <v>1.0346368281997014</v>
      </c>
      <c r="E2005" s="1087">
        <v>1.0294479862351988</v>
      </c>
      <c r="F2005" s="1087">
        <v>0.98232927835599426</v>
      </c>
      <c r="G2005" s="1087">
        <v>0.98106909911655849</v>
      </c>
      <c r="H2005" s="1087">
        <v>1.0008336283107941</v>
      </c>
      <c r="I2005" s="1087">
        <v>0.97741307710611314</v>
      </c>
      <c r="K2005">
        <v>1.8405849283884275</v>
      </c>
      <c r="L2005">
        <v>0</v>
      </c>
      <c r="M2005">
        <v>3.4135231191115283E-3</v>
      </c>
      <c r="N2005">
        <v>0.35455965038386583</v>
      </c>
      <c r="O2005">
        <v>0.23546214133318813</v>
      </c>
      <c r="P2005">
        <v>1.3243282209248796E-2</v>
      </c>
      <c r="Q2005">
        <v>1.6351571963704194E-3</v>
      </c>
      <c r="R2005">
        <v>3.4076344546643688E-3</v>
      </c>
      <c r="S2005">
        <v>0.35585872384752043</v>
      </c>
      <c r="T2005">
        <v>0.39575492889506214</v>
      </c>
      <c r="U2005">
        <v>0</v>
      </c>
      <c r="V2005">
        <v>0.19817917410465827</v>
      </c>
      <c r="W2005">
        <v>0.22177366663937254</v>
      </c>
      <c r="X2005">
        <v>5.4849634784384489E-2</v>
      </c>
      <c r="Y2005">
        <v>9.274457659200333E-3</v>
      </c>
    </row>
    <row r="2006" spans="1:25" x14ac:dyDescent="0.25">
      <c r="A2006" s="1083"/>
      <c r="B2006" s="1455">
        <v>1756</v>
      </c>
      <c r="C2006" s="1087">
        <v>0.99726778978430508</v>
      </c>
      <c r="D2006" s="1087">
        <v>1.0065770542555996</v>
      </c>
      <c r="E2006" s="1087">
        <v>1.0046819922032799</v>
      </c>
      <c r="F2006" s="1087">
        <v>1.006482878494749</v>
      </c>
      <c r="G2006" s="1087">
        <v>0.99793721918335621</v>
      </c>
      <c r="H2006" s="1087">
        <v>0.97402954446129031</v>
      </c>
      <c r="I2006" s="1087">
        <v>1.0053499401228518</v>
      </c>
      <c r="K2006">
        <v>1.8366572326827959</v>
      </c>
      <c r="L2006">
        <v>0</v>
      </c>
      <c r="M2006">
        <v>3.5060114369147915E-3</v>
      </c>
      <c r="N2006">
        <v>0.33767560022920212</v>
      </c>
      <c r="O2006">
        <v>0.23925156770572123</v>
      </c>
      <c r="P2006">
        <v>1.3250505796367031E-2</v>
      </c>
      <c r="Q2006">
        <v>1.5917953088095424E-3</v>
      </c>
      <c r="R2006">
        <v>3.499820383267353E-3</v>
      </c>
      <c r="S2006">
        <v>0.36212131704484268</v>
      </c>
      <c r="T2006">
        <v>0.40533294139789666</v>
      </c>
      <c r="U2006">
        <v>0</v>
      </c>
      <c r="V2006">
        <v>0.20029547465522657</v>
      </c>
      <c r="W2006">
        <v>0.21446447116173525</v>
      </c>
      <c r="X2006">
        <v>5.3154393068867233E-2</v>
      </c>
      <c r="Y2006">
        <v>9.5253573677744601E-3</v>
      </c>
    </row>
    <row r="2007" spans="1:25" x14ac:dyDescent="0.25">
      <c r="A2007" s="1083"/>
      <c r="B2007" s="1455">
        <v>1757</v>
      </c>
      <c r="C2007" s="1087">
        <v>0.97556048692388808</v>
      </c>
      <c r="D2007" s="1087">
        <v>0.99870474081728222</v>
      </c>
      <c r="E2007" s="1087">
        <v>1.0305761829014226</v>
      </c>
      <c r="F2007" s="1087">
        <v>1.0069836634208107</v>
      </c>
      <c r="G2007" s="1087">
        <v>1.0032787299767991</v>
      </c>
      <c r="H2007" s="1087">
        <v>0.99765153331150236</v>
      </c>
      <c r="I2007" s="1087">
        <v>0.97214817496593187</v>
      </c>
      <c r="K2007">
        <v>1.8897836114278543</v>
      </c>
      <c r="L2007">
        <v>0</v>
      </c>
      <c r="M2007">
        <v>3.4959754817561811E-3</v>
      </c>
      <c r="N2007">
        <v>0.3643746254901104</v>
      </c>
      <c r="O2007">
        <v>0.24316057379496461</v>
      </c>
      <c r="P2007">
        <v>1.3579173805506146E-2</v>
      </c>
      <c r="Q2007">
        <v>1.6775814322999569E-3</v>
      </c>
      <c r="R2007">
        <v>3.4899551567144703E-3</v>
      </c>
      <c r="S2007">
        <v>0.36408905870341995</v>
      </c>
      <c r="T2007">
        <v>0.40569456766031253</v>
      </c>
      <c r="U2007">
        <v>0</v>
      </c>
      <c r="V2007">
        <v>0.20330180528878175</v>
      </c>
      <c r="W2007">
        <v>0.22775580641569207</v>
      </c>
      <c r="X2007">
        <v>5.6657931688636864E-2</v>
      </c>
      <c r="Y2007">
        <v>9.4985074731685736E-3</v>
      </c>
    </row>
    <row r="2008" spans="1:25" x14ac:dyDescent="0.25">
      <c r="A2008" s="1083"/>
      <c r="B2008" s="1455">
        <v>1758</v>
      </c>
      <c r="C2008" s="1087">
        <v>0.98549330555794645</v>
      </c>
      <c r="D2008" s="1087">
        <v>1.0125768311008396</v>
      </c>
      <c r="E2008" s="1087">
        <v>1.0010625068437398</v>
      </c>
      <c r="F2008" s="1087">
        <v>1.0282933325033612</v>
      </c>
      <c r="G2008" s="1087">
        <v>0.96291021481695127</v>
      </c>
      <c r="H2008" s="1087">
        <v>1.026009960892333</v>
      </c>
      <c r="I2008" s="1087">
        <v>0.98151001708460273</v>
      </c>
      <c r="K2008">
        <v>1.8898293634276988</v>
      </c>
      <c r="L2008">
        <v>0</v>
      </c>
      <c r="M2008">
        <v>3.7529083513240355E-3</v>
      </c>
      <c r="N2008">
        <v>0.3575169150156694</v>
      </c>
      <c r="O2008">
        <v>0.24258541149445589</v>
      </c>
      <c r="P2008">
        <v>1.3423958278283641E-2</v>
      </c>
      <c r="Q2008">
        <v>1.6008123687977003E-3</v>
      </c>
      <c r="R2008">
        <v>3.7466117359778546E-3</v>
      </c>
      <c r="S2008">
        <v>0.36586940836693144</v>
      </c>
      <c r="T2008">
        <v>0.41409389661000667</v>
      </c>
      <c r="U2008">
        <v>0</v>
      </c>
      <c r="V2008">
        <v>0.20309715649435542</v>
      </c>
      <c r="W2008">
        <v>0.2275790727436976</v>
      </c>
      <c r="X2008">
        <v>5.3871986595741231E-2</v>
      </c>
      <c r="Y2008">
        <v>1.0197042075104889E-2</v>
      </c>
    </row>
    <row r="2009" spans="1:25" x14ac:dyDescent="0.25">
      <c r="A2009" s="1083"/>
      <c r="B2009" s="1455">
        <v>1759</v>
      </c>
      <c r="C2009" s="1087">
        <v>1.0111633682685632</v>
      </c>
      <c r="D2009" s="1087">
        <v>0.97827121628674951</v>
      </c>
      <c r="E2009" s="1087">
        <v>1.0056336129633676</v>
      </c>
      <c r="F2009" s="1087">
        <v>0.99305777721495347</v>
      </c>
      <c r="G2009" s="1087">
        <v>0.97138148866789398</v>
      </c>
      <c r="H2009" s="1087">
        <v>1.0019710443774636</v>
      </c>
      <c r="I2009" s="1087">
        <v>1.0078815926263609</v>
      </c>
      <c r="K2009">
        <v>1.8541215500263697</v>
      </c>
      <c r="L2009">
        <v>0</v>
      </c>
      <c r="M2009">
        <v>3.6051312635348859E-3</v>
      </c>
      <c r="N2009">
        <v>0.34825114929465151</v>
      </c>
      <c r="O2009">
        <v>0.23883575129071236</v>
      </c>
      <c r="P2009">
        <v>1.3263023200059936E-2</v>
      </c>
      <c r="Q2009">
        <v>1.5895419659027617E-3</v>
      </c>
      <c r="R2009">
        <v>3.5989672431696812E-3</v>
      </c>
      <c r="S2009">
        <v>0.36887012227970745</v>
      </c>
      <c r="T2009">
        <v>0.39993210278582236</v>
      </c>
      <c r="U2009">
        <v>0</v>
      </c>
      <c r="V2009">
        <v>0.19917665002353621</v>
      </c>
      <c r="W2009">
        <v>0.22105024681063418</v>
      </c>
      <c r="X2009">
        <v>5.3363923959032909E-2</v>
      </c>
      <c r="Y2009">
        <v>9.7952024366750167E-3</v>
      </c>
    </row>
    <row r="2010" spans="1:25" x14ac:dyDescent="0.25">
      <c r="A2010" s="1083"/>
      <c r="B2010" s="1455">
        <v>1760</v>
      </c>
      <c r="C2010" s="1087">
        <v>0.96705089131095512</v>
      </c>
      <c r="D2010" s="1087">
        <v>0.9861662547138923</v>
      </c>
      <c r="E2010" s="1087">
        <v>1.0146381185137863</v>
      </c>
      <c r="F2010" s="1087">
        <v>1.0182229914920908</v>
      </c>
      <c r="G2010" s="1087">
        <v>0.98087795746778428</v>
      </c>
      <c r="H2010" s="1087">
        <v>0.97929095796181398</v>
      </c>
      <c r="I2010" s="1087">
        <v>0.97497173801276149</v>
      </c>
      <c r="K2010">
        <v>1.8940147526077482</v>
      </c>
      <c r="L2010">
        <v>0</v>
      </c>
      <c r="M2010">
        <v>3.6014411781932253E-3</v>
      </c>
      <c r="N2010">
        <v>0.35756492569776704</v>
      </c>
      <c r="O2010">
        <v>0.24662900009378716</v>
      </c>
      <c r="P2010">
        <v>1.3563218801994247E-2</v>
      </c>
      <c r="Q2010">
        <v>1.672603337277522E-3</v>
      </c>
      <c r="R2010">
        <v>3.5951341057449556E-3</v>
      </c>
      <c r="S2010">
        <v>0.36737622890120497</v>
      </c>
      <c r="T2010">
        <v>0.41012278934978846</v>
      </c>
      <c r="U2010">
        <v>0</v>
      </c>
      <c r="V2010">
        <v>0.20582722295822514</v>
      </c>
      <c r="W2010">
        <v>0.2256983852821457</v>
      </c>
      <c r="X2010">
        <v>5.5781915357807729E-2</v>
      </c>
      <c r="Y2010">
        <v>9.7847699001983226E-3</v>
      </c>
    </row>
    <row r="2011" spans="1:25" x14ac:dyDescent="0.25">
      <c r="A2011" s="1083"/>
      <c r="B2011" s="1455">
        <v>1761</v>
      </c>
      <c r="C2011" s="1087">
        <v>1.0102891905348073</v>
      </c>
      <c r="D2011" s="1087">
        <v>0.97897131419304184</v>
      </c>
      <c r="E2011" s="1087">
        <v>1.0362916862810794</v>
      </c>
      <c r="F2011" s="1087">
        <v>1.0011255612928807</v>
      </c>
      <c r="G2011" s="1087">
        <v>0.99901541462983146</v>
      </c>
      <c r="H2011" s="1087">
        <v>1.0119663289661165</v>
      </c>
      <c r="I2011" s="1087">
        <v>0.99905787543913704</v>
      </c>
      <c r="K2011">
        <v>1.8816681641620256</v>
      </c>
      <c r="L2011">
        <v>0</v>
      </c>
      <c r="M2011">
        <v>3.4207864191645914E-3</v>
      </c>
      <c r="N2011">
        <v>0.36280632704296567</v>
      </c>
      <c r="O2011">
        <v>0.24027599931679658</v>
      </c>
      <c r="P2011">
        <v>1.3612821189787381E-2</v>
      </c>
      <c r="Q2011">
        <v>1.6427021764185733E-3</v>
      </c>
      <c r="R2011">
        <v>3.4149949092580445E-3</v>
      </c>
      <c r="S2011">
        <v>0.36798451466411697</v>
      </c>
      <c r="T2011">
        <v>0.40336992772753805</v>
      </c>
      <c r="U2011">
        <v>0</v>
      </c>
      <c r="V2011">
        <v>0.20011520806270719</v>
      </c>
      <c r="W2011">
        <v>0.2259870784546828</v>
      </c>
      <c r="X2011">
        <v>5.6584886646689724E-2</v>
      </c>
      <c r="Y2011">
        <v>9.2944903902311138E-3</v>
      </c>
    </row>
    <row r="2012" spans="1:25" x14ac:dyDescent="0.25">
      <c r="A2012" s="1083"/>
      <c r="B2012" s="1455">
        <v>1762</v>
      </c>
      <c r="C2012" s="1087">
        <v>1.002940276476477</v>
      </c>
      <c r="D2012" s="1087">
        <v>0.9572851267156065</v>
      </c>
      <c r="E2012" s="1087">
        <v>1.022458753753712</v>
      </c>
      <c r="F2012" s="1087">
        <v>0.97529351756139948</v>
      </c>
      <c r="G2012" s="1087">
        <v>1.0435810780204036</v>
      </c>
      <c r="H2012" s="1087">
        <v>0.99646096684486085</v>
      </c>
      <c r="I2012" s="1087">
        <v>1.0356172070044529</v>
      </c>
      <c r="K2012">
        <v>1.8833620169496892</v>
      </c>
      <c r="L2012">
        <v>0</v>
      </c>
      <c r="M2012">
        <v>3.5323570491851619E-3</v>
      </c>
      <c r="N2012">
        <v>0.35917832514079112</v>
      </c>
      <c r="O2012">
        <v>0.23999625351832818</v>
      </c>
      <c r="P2012">
        <v>1.3573652741193149E-2</v>
      </c>
      <c r="Q2012">
        <v>1.6455666771484796E-3</v>
      </c>
      <c r="R2012">
        <v>3.5263008788362256E-3</v>
      </c>
      <c r="S2012">
        <v>0.38585920187025008</v>
      </c>
      <c r="T2012">
        <v>0.39287835072816324</v>
      </c>
      <c r="U2012">
        <v>0</v>
      </c>
      <c r="V2012">
        <v>0.19971465757324591</v>
      </c>
      <c r="W2012">
        <v>0.22562686703736154</v>
      </c>
      <c r="X2012">
        <v>5.5297769286134571E-2</v>
      </c>
      <c r="Y2012">
        <v>9.5974285474199131E-3</v>
      </c>
    </row>
    <row r="2013" spans="1:25" x14ac:dyDescent="0.25">
      <c r="A2013" s="1083"/>
      <c r="B2013" s="1455">
        <v>1763</v>
      </c>
      <c r="C2013" s="1087">
        <v>0.99204010419707711</v>
      </c>
      <c r="D2013" s="1087">
        <v>1.0071082070095645</v>
      </c>
      <c r="E2013" s="1087">
        <v>0.98582863892790207</v>
      </c>
      <c r="F2013" s="1087">
        <v>0.99697256821331215</v>
      </c>
      <c r="G2013" s="1087">
        <v>0.95899239557028726</v>
      </c>
      <c r="H2013" s="1087">
        <v>0.99592541962665326</v>
      </c>
      <c r="I2013" s="1087">
        <v>1.0172017979738399</v>
      </c>
      <c r="K2013">
        <v>1.8474454077631104</v>
      </c>
      <c r="L2013">
        <v>0</v>
      </c>
      <c r="M2013">
        <v>3.7442988703997398E-3</v>
      </c>
      <c r="N2013">
        <v>0.34046938956573797</v>
      </c>
      <c r="O2013">
        <v>0.23844347778389086</v>
      </c>
      <c r="P2013">
        <v>1.314033745184242E-2</v>
      </c>
      <c r="Q2013">
        <v>1.5679485570507844E-3</v>
      </c>
      <c r="R2013">
        <v>3.7378320379904857E-3</v>
      </c>
      <c r="S2013">
        <v>0.37205437545736136</v>
      </c>
      <c r="T2013">
        <v>0.40138942575828157</v>
      </c>
      <c r="U2013">
        <v>0</v>
      </c>
      <c r="V2013">
        <v>0.19990013244919666</v>
      </c>
      <c r="W2013">
        <v>0.21881046785898525</v>
      </c>
      <c r="X2013">
        <v>5.1503173081763297E-2</v>
      </c>
      <c r="Y2013">
        <v>1.0173146631409932E-2</v>
      </c>
    </row>
    <row r="2014" spans="1:25" x14ac:dyDescent="0.25">
      <c r="A2014" s="1083"/>
      <c r="B2014" s="1455">
        <v>1764</v>
      </c>
      <c r="C2014" s="1087">
        <v>1.019182230767008</v>
      </c>
      <c r="D2014" s="1087">
        <v>0.98376249689223716</v>
      </c>
      <c r="E2014" s="1087">
        <v>0.97761254590188995</v>
      </c>
      <c r="F2014" s="1087">
        <v>0.99937045765641064</v>
      </c>
      <c r="G2014" s="1087">
        <v>0.98780618935637665</v>
      </c>
      <c r="H2014" s="1087">
        <v>1.007458873579435</v>
      </c>
      <c r="I2014" s="1087">
        <v>1.0034187658732328</v>
      </c>
      <c r="K2014">
        <v>1.8318223909171312</v>
      </c>
      <c r="L2014">
        <v>0</v>
      </c>
      <c r="M2014">
        <v>3.7967278781364522E-3</v>
      </c>
      <c r="N2014">
        <v>0.33668551977797112</v>
      </c>
      <c r="O2014">
        <v>0.23767490725292262</v>
      </c>
      <c r="P2014">
        <v>1.2941557062801477E-2</v>
      </c>
      <c r="Q2014">
        <v>1.5270215293889467E-3</v>
      </c>
      <c r="R2014">
        <v>3.7902665605619983E-3</v>
      </c>
      <c r="S2014">
        <v>0.363886577332381</v>
      </c>
      <c r="T2014">
        <v>0.40230573841867945</v>
      </c>
      <c r="U2014">
        <v>0</v>
      </c>
      <c r="V2014">
        <v>0.19841610122713324</v>
      </c>
      <c r="W2014">
        <v>0.21750782923710518</v>
      </c>
      <c r="X2014">
        <v>5.0567744279508046E-2</v>
      </c>
      <c r="Y2014">
        <v>1.0315856116813871E-2</v>
      </c>
    </row>
    <row r="2015" spans="1:25" x14ac:dyDescent="0.25">
      <c r="A2015" s="1083"/>
      <c r="B2015" s="1455">
        <v>1765</v>
      </c>
      <c r="C2015" s="1087">
        <v>1.0111586995933584</v>
      </c>
      <c r="D2015" s="1087">
        <v>0.98737442163452804</v>
      </c>
      <c r="E2015" s="1087">
        <v>0.98391884686734121</v>
      </c>
      <c r="F2015" s="1087">
        <v>1.0021953574742688</v>
      </c>
      <c r="G2015" s="1087">
        <v>0.98916921953530546</v>
      </c>
      <c r="H2015" s="1087">
        <v>0.97062284889750194</v>
      </c>
      <c r="I2015" s="1087">
        <v>1.0194075902180064</v>
      </c>
      <c r="K2015">
        <v>1.8219833085634438</v>
      </c>
      <c r="L2015">
        <v>0</v>
      </c>
      <c r="M2015">
        <v>3.6326765775551743E-3</v>
      </c>
      <c r="N2015">
        <v>0.32838470236173539</v>
      </c>
      <c r="O2015">
        <v>0.23868945188075569</v>
      </c>
      <c r="P2015">
        <v>1.3049112011715013E-2</v>
      </c>
      <c r="Q2015">
        <v>1.5473503859308295E-3</v>
      </c>
      <c r="R2015">
        <v>3.6262566259865981E-3</v>
      </c>
      <c r="S2015">
        <v>0.36515860130191352</v>
      </c>
      <c r="T2015">
        <v>0.40348069274243575</v>
      </c>
      <c r="U2015">
        <v>0</v>
      </c>
      <c r="V2015">
        <v>0.19934436281868781</v>
      </c>
      <c r="W2015">
        <v>0.21129884176272326</v>
      </c>
      <c r="X2015">
        <v>5.1167138108352918E-2</v>
      </c>
      <c r="Y2015">
        <v>9.8694751407600312E-3</v>
      </c>
    </row>
    <row r="2016" spans="1:25" x14ac:dyDescent="0.25">
      <c r="A2016" s="1083"/>
      <c r="B2016" s="1455">
        <v>1766</v>
      </c>
      <c r="C2016" s="1087">
        <v>0.9962719759131341</v>
      </c>
      <c r="D2016" s="1087">
        <v>1.0002307664816317</v>
      </c>
      <c r="E2016" s="1087">
        <v>0.96025602537112509</v>
      </c>
      <c r="F2016" s="1087">
        <v>0.99969566336810134</v>
      </c>
      <c r="G2016" s="1087">
        <v>1.0329703560634391</v>
      </c>
      <c r="H2016" s="1087">
        <v>0.98585926530331136</v>
      </c>
      <c r="I2016" s="1087">
        <v>0.99709315036811186</v>
      </c>
      <c r="K2016">
        <v>1.8197632942737849</v>
      </c>
      <c r="L2016">
        <v>0</v>
      </c>
      <c r="M2016">
        <v>3.9024250758197174E-3</v>
      </c>
      <c r="N2016">
        <v>0.3281528232880585</v>
      </c>
      <c r="O2016">
        <v>0.23856549909991898</v>
      </c>
      <c r="P2016">
        <v>1.2770826162187077E-2</v>
      </c>
      <c r="Q2016">
        <v>1.5229033829496292E-3</v>
      </c>
      <c r="R2016">
        <v>3.8956228126204103E-3</v>
      </c>
      <c r="S2016">
        <v>0.36241234621937773</v>
      </c>
      <c r="T2016">
        <v>0.40233388557116967</v>
      </c>
      <c r="U2016">
        <v>0</v>
      </c>
      <c r="V2016">
        <v>0.19988952565347679</v>
      </c>
      <c r="W2016">
        <v>0.21436220902822964</v>
      </c>
      <c r="X2016">
        <v>4.9157477027376932E-2</v>
      </c>
      <c r="Y2016">
        <v>1.0602601104237708E-2</v>
      </c>
    </row>
    <row r="2017" spans="1:25" x14ac:dyDescent="0.25">
      <c r="A2017" s="1083"/>
      <c r="B2017" s="1455">
        <v>1767</v>
      </c>
      <c r="C2017" s="1087">
        <v>0.99360452172894798</v>
      </c>
      <c r="D2017" s="1087">
        <v>1.0057266239296205</v>
      </c>
      <c r="E2017" s="1087">
        <v>0.99574277630738861</v>
      </c>
      <c r="F2017" s="1087">
        <v>0.97396013780721125</v>
      </c>
      <c r="G2017" s="1087">
        <v>0.98633596717101046</v>
      </c>
      <c r="H2017" s="1087">
        <v>0.96528389488183763</v>
      </c>
      <c r="I2017" s="1087">
        <v>1.0382406615870561</v>
      </c>
      <c r="K2017">
        <v>1.8213154860717031</v>
      </c>
      <c r="L2017">
        <v>0</v>
      </c>
      <c r="M2017">
        <v>3.5531191826419866E-3</v>
      </c>
      <c r="N2017">
        <v>0.33299825492127921</v>
      </c>
      <c r="O2017">
        <v>0.23578728667233825</v>
      </c>
      <c r="P2017">
        <v>1.310890490160215E-2</v>
      </c>
      <c r="Q2017">
        <v>1.5830546179087038E-3</v>
      </c>
      <c r="R2017">
        <v>3.546788490798914E-3</v>
      </c>
      <c r="S2017">
        <v>0.3737547525440435</v>
      </c>
      <c r="T2017">
        <v>0.3921825519452582</v>
      </c>
      <c r="U2017">
        <v>0</v>
      </c>
      <c r="V2017">
        <v>0.19786786147829574</v>
      </c>
      <c r="W2017">
        <v>0.21267819709913369</v>
      </c>
      <c r="X2017">
        <v>5.1707763510242206E-2</v>
      </c>
      <c r="Y2017">
        <v>9.6531890734428798E-3</v>
      </c>
    </row>
    <row r="2018" spans="1:25" x14ac:dyDescent="0.25">
      <c r="A2018" s="1083"/>
      <c r="B2018" s="1455">
        <v>1768</v>
      </c>
      <c r="C2018" s="1087">
        <v>0.99499155782920068</v>
      </c>
      <c r="D2018" s="1087">
        <v>1.0298719189032914</v>
      </c>
      <c r="E2018" s="1087">
        <v>1.008218862325803</v>
      </c>
      <c r="F2018" s="1087">
        <v>0.98173389414215673</v>
      </c>
      <c r="G2018" s="1087">
        <v>0.9894977351886709</v>
      </c>
      <c r="H2018" s="1087">
        <v>1.005382555937574</v>
      </c>
      <c r="I2018" s="1087">
        <v>0.98083529074810127</v>
      </c>
      <c r="K2018">
        <v>1.824938877885562</v>
      </c>
      <c r="L2018">
        <v>0</v>
      </c>
      <c r="M2018">
        <v>3.556801298366941E-3</v>
      </c>
      <c r="N2018">
        <v>0.34630029489832537</v>
      </c>
      <c r="O2018">
        <v>0.23441292839634312</v>
      </c>
      <c r="P2018">
        <v>1.3011869067538113E-2</v>
      </c>
      <c r="Q2018">
        <v>1.5868521606459225E-3</v>
      </c>
      <c r="R2018">
        <v>3.5506969783170119E-3</v>
      </c>
      <c r="S2018">
        <v>0.35521279964259861</v>
      </c>
      <c r="T2018">
        <v>0.39538711256449077</v>
      </c>
      <c r="U2018">
        <v>0</v>
      </c>
      <c r="V2018">
        <v>0.19723271953510507</v>
      </c>
      <c r="W2018">
        <v>0.21945901419267297</v>
      </c>
      <c r="X2018">
        <v>5.2677565059856449E-2</v>
      </c>
      <c r="Y2018">
        <v>9.6638266880345793E-3</v>
      </c>
    </row>
    <row r="2019" spans="1:25" x14ac:dyDescent="0.25">
      <c r="A2019" s="1083"/>
      <c r="B2019" s="1455">
        <v>1769</v>
      </c>
      <c r="C2019" s="1087">
        <v>1.0071277861656986</v>
      </c>
      <c r="D2019" s="1087">
        <v>1.036463726751911</v>
      </c>
      <c r="E2019" s="1087">
        <v>0.99899642561431867</v>
      </c>
      <c r="F2019" s="1087">
        <v>1.0368294059702388</v>
      </c>
      <c r="G2019" s="1087">
        <v>0.98065098138441287</v>
      </c>
      <c r="H2019" s="1087">
        <v>0.98949297619180065</v>
      </c>
      <c r="I2019" s="1087">
        <v>1.0245495083319589</v>
      </c>
      <c r="K2019">
        <v>1.8392288851026031</v>
      </c>
      <c r="L2019">
        <v>0</v>
      </c>
      <c r="M2019">
        <v>3.5101046195218661E-3</v>
      </c>
      <c r="N2019">
        <v>0.33226195419236959</v>
      </c>
      <c r="O2019">
        <v>0.2384051260122505</v>
      </c>
      <c r="P2019">
        <v>1.3359744480134009E-2</v>
      </c>
      <c r="Q2019">
        <v>1.5484706185865491E-3</v>
      </c>
      <c r="R2019">
        <v>3.5039746084759614E-3</v>
      </c>
      <c r="S2019">
        <v>0.36219843354480508</v>
      </c>
      <c r="T2019">
        <v>0.41751839474956309</v>
      </c>
      <c r="U2019">
        <v>0</v>
      </c>
      <c r="V2019">
        <v>0.20015025143729992</v>
      </c>
      <c r="W2019">
        <v>0.21177611532199822</v>
      </c>
      <c r="X2019">
        <v>5.247986095728608E-2</v>
      </c>
      <c r="Y2019">
        <v>9.5366637993523178E-3</v>
      </c>
    </row>
    <row r="2020" spans="1:25" x14ac:dyDescent="0.25">
      <c r="A2020" s="1083"/>
      <c r="B2020" s="1455">
        <v>1770</v>
      </c>
      <c r="C2020" s="1087">
        <v>0.97520532398104831</v>
      </c>
      <c r="D2020" s="1087">
        <v>0.9734973247098313</v>
      </c>
      <c r="E2020" s="1087">
        <v>0.98758331623875606</v>
      </c>
      <c r="F2020" s="1087">
        <v>0.99814400357257926</v>
      </c>
      <c r="G2020" s="1087">
        <v>1.0406384183859101</v>
      </c>
      <c r="H2020" s="1087">
        <v>0.97102604782281265</v>
      </c>
      <c r="I2020" s="1087">
        <v>0.98761166606824358</v>
      </c>
      <c r="K2020">
        <v>1.8627398354537312</v>
      </c>
      <c r="L2020">
        <v>0</v>
      </c>
      <c r="M2020">
        <v>3.7682868469994038E-3</v>
      </c>
      <c r="N2020">
        <v>0.34447965295527261</v>
      </c>
      <c r="O2020">
        <v>0.24403956321755332</v>
      </c>
      <c r="P2020">
        <v>1.3184655752644259E-2</v>
      </c>
      <c r="Q2020">
        <v>1.6198662351448157E-3</v>
      </c>
      <c r="R2020">
        <v>3.7616422935306264E-3</v>
      </c>
      <c r="S2020">
        <v>0.36979878982859332</v>
      </c>
      <c r="T2020">
        <v>0.40187156639397054</v>
      </c>
      <c r="U2020">
        <v>0</v>
      </c>
      <c r="V2020">
        <v>0.20366428880981635</v>
      </c>
      <c r="W2020">
        <v>0.22114272704993873</v>
      </c>
      <c r="X2020">
        <v>5.2707419466322139E-2</v>
      </c>
      <c r="Y2020">
        <v>1.0237950297941565E-2</v>
      </c>
    </row>
    <row r="2021" spans="1:25" x14ac:dyDescent="0.25">
      <c r="A2021" s="1083"/>
      <c r="B2021" s="1455">
        <v>1771</v>
      </c>
      <c r="C2021" s="1087">
        <v>1.0285339750025673</v>
      </c>
      <c r="D2021" s="1087">
        <v>0.99221217275750673</v>
      </c>
      <c r="E2021" s="1087">
        <v>0.98781167983566043</v>
      </c>
      <c r="F2021" s="1087">
        <v>1.0068651627293614</v>
      </c>
      <c r="G2021" s="1087">
        <v>0.97795681746268481</v>
      </c>
      <c r="H2021" s="1087">
        <v>0.98588294336424542</v>
      </c>
      <c r="I2021" s="1087">
        <v>0.98221416467111555</v>
      </c>
      <c r="K2021">
        <v>1.8016752926844413</v>
      </c>
      <c r="L2021">
        <v>0</v>
      </c>
      <c r="M2021">
        <v>3.5888497830726192E-3</v>
      </c>
      <c r="N2021">
        <v>0.32831247691281196</v>
      </c>
      <c r="O2021">
        <v>0.2367377794830704</v>
      </c>
      <c r="P2021">
        <v>1.2853914064331583E-2</v>
      </c>
      <c r="Q2021">
        <v>1.5245968395494649E-3</v>
      </c>
      <c r="R2021">
        <v>3.5826004621095633E-3</v>
      </c>
      <c r="S2021">
        <v>0.34763175888697562</v>
      </c>
      <c r="T2021">
        <v>0.40538425016693386</v>
      </c>
      <c r="U2021">
        <v>0</v>
      </c>
      <c r="V2021">
        <v>0.19769173925274708</v>
      </c>
      <c r="W2021">
        <v>0.21073366897298987</v>
      </c>
      <c r="X2021">
        <v>5.1060699972059378E-2</v>
      </c>
      <c r="Y2021">
        <v>9.7506574539372986E-3</v>
      </c>
    </row>
    <row r="2022" spans="1:25" x14ac:dyDescent="0.25">
      <c r="A2022" s="1083"/>
      <c r="B2022" s="1455">
        <v>1772</v>
      </c>
      <c r="C2022" s="1087">
        <v>1.0246061441979539</v>
      </c>
      <c r="D2022" s="1087">
        <v>1.0075832527981687</v>
      </c>
      <c r="E2022" s="1087">
        <v>1.0178084950612503</v>
      </c>
      <c r="F2022" s="1087">
        <v>0.96260365581268281</v>
      </c>
      <c r="G2022" s="1087">
        <v>0.98580200627964165</v>
      </c>
      <c r="H2022" s="1087">
        <v>1.0164808444510554</v>
      </c>
      <c r="I2022" s="1087">
        <v>1.0392137692843539</v>
      </c>
      <c r="K2022">
        <v>1.8276465903912915</v>
      </c>
      <c r="L2022">
        <v>0</v>
      </c>
      <c r="M2022">
        <v>3.464552203992347E-3</v>
      </c>
      <c r="N2022">
        <v>0.34733465495353438</v>
      </c>
      <c r="O2022">
        <v>0.23094785869391504</v>
      </c>
      <c r="P2022">
        <v>1.3182179820342995E-2</v>
      </c>
      <c r="Q2022">
        <v>1.5703915596475158E-3</v>
      </c>
      <c r="R2022">
        <v>3.4586886039785266E-3</v>
      </c>
      <c r="S2022">
        <v>0.37204919927103436</v>
      </c>
      <c r="T2022">
        <v>0.38773897584971301</v>
      </c>
      <c r="U2022">
        <v>0</v>
      </c>
      <c r="V2022">
        <v>0.19368697461052362</v>
      </c>
      <c r="W2022">
        <v>0.21881231860913186</v>
      </c>
      <c r="X2022">
        <v>5.2916490399822373E-2</v>
      </c>
      <c r="Y2022">
        <v>9.4134102236376731E-3</v>
      </c>
    </row>
    <row r="2023" spans="1:25" x14ac:dyDescent="0.25">
      <c r="A2023" s="1083"/>
      <c r="B2023" s="1455">
        <v>1773</v>
      </c>
      <c r="C2023" s="1087">
        <v>1.0066361732272051</v>
      </c>
      <c r="D2023" s="1087">
        <v>0.99851449394991454</v>
      </c>
      <c r="E2023" s="1087">
        <v>0.97148928076287966</v>
      </c>
      <c r="F2023" s="1087">
        <v>1.0180178546423013</v>
      </c>
      <c r="G2023" s="1087">
        <v>0.99853813984497986</v>
      </c>
      <c r="H2023" s="1087">
        <v>0.98493312438866132</v>
      </c>
      <c r="I2023" s="1087">
        <v>0.97388980566992622</v>
      </c>
      <c r="K2023">
        <v>1.8171258970380739</v>
      </c>
      <c r="L2023">
        <v>0</v>
      </c>
      <c r="M2023">
        <v>3.774693613709306E-3</v>
      </c>
      <c r="N2023">
        <v>0.32850930297249131</v>
      </c>
      <c r="O2023">
        <v>0.23977463620609801</v>
      </c>
      <c r="P2023">
        <v>1.2831593593319207E-2</v>
      </c>
      <c r="Q2023">
        <v>1.5267484360935893E-3</v>
      </c>
      <c r="R2023">
        <v>3.768108967957283E-3</v>
      </c>
      <c r="S2023">
        <v>0.35061676941358855</v>
      </c>
      <c r="T2023">
        <v>0.40977534255592335</v>
      </c>
      <c r="U2023">
        <v>0</v>
      </c>
      <c r="V2023">
        <v>0.20050024814427492</v>
      </c>
      <c r="W2023">
        <v>0.2130550988083543</v>
      </c>
      <c r="X2023">
        <v>5.0287191099688738E-2</v>
      </c>
      <c r="Y2023">
        <v>1.0255550453992271E-2</v>
      </c>
    </row>
    <row r="2024" spans="1:25" x14ac:dyDescent="0.25">
      <c r="A2024" s="1083"/>
      <c r="B2024" s="1455">
        <v>1774</v>
      </c>
      <c r="C2024" s="1087">
        <v>1.0019669995186034</v>
      </c>
      <c r="D2024" s="1087">
        <v>0.9648182440991554</v>
      </c>
      <c r="E2024" s="1087">
        <v>1.0169879471973817</v>
      </c>
      <c r="F2024" s="1087">
        <v>0.98732397577204978</v>
      </c>
      <c r="G2024" s="1087">
        <v>0.95765337937242778</v>
      </c>
      <c r="H2024" s="1087">
        <v>1.0091155864212522</v>
      </c>
      <c r="I2024" s="1087">
        <v>0.9829242451377187</v>
      </c>
      <c r="K2024">
        <v>1.8737945806620602</v>
      </c>
      <c r="L2024">
        <v>0</v>
      </c>
      <c r="M2024">
        <v>3.6063919448247246E-3</v>
      </c>
      <c r="N2024">
        <v>0.36065079180388565</v>
      </c>
      <c r="O2024">
        <v>0.24075610632135325</v>
      </c>
      <c r="P2024">
        <v>1.3338769067077087E-2</v>
      </c>
      <c r="Q2024">
        <v>1.6325606620529749E-3</v>
      </c>
      <c r="R2024">
        <v>3.6002806538921231E-3</v>
      </c>
      <c r="S2024">
        <v>0.36724990767269439</v>
      </c>
      <c r="T2024">
        <v>0.39769140890777854</v>
      </c>
      <c r="U2024">
        <v>0</v>
      </c>
      <c r="V2024">
        <v>0.20044246632121304</v>
      </c>
      <c r="W2024">
        <v>0.22731616141184091</v>
      </c>
      <c r="X2024">
        <v>5.4923742677398371E-2</v>
      </c>
      <c r="Y2024">
        <v>9.7987771076957723E-3</v>
      </c>
    </row>
    <row r="2025" spans="1:25" x14ac:dyDescent="0.25">
      <c r="A2025" s="1083"/>
      <c r="B2025" s="1455">
        <v>1775</v>
      </c>
      <c r="C2025" s="1087">
        <v>0.99025337422365123</v>
      </c>
      <c r="D2025" s="1087">
        <v>1.0262998522304434</v>
      </c>
      <c r="E2025" s="1087">
        <v>1.0417990535252528</v>
      </c>
      <c r="F2025" s="1087">
        <v>1.0037888782816826</v>
      </c>
      <c r="G2025" s="1087">
        <v>1.0145797338825273</v>
      </c>
      <c r="H2025" s="1087">
        <v>0.97356883732132327</v>
      </c>
      <c r="I2025" s="1087">
        <v>0.96442975714414791</v>
      </c>
      <c r="K2025">
        <v>1.8350742079913034</v>
      </c>
      <c r="L2025">
        <v>0</v>
      </c>
      <c r="M2025">
        <v>3.2361562736973478E-3</v>
      </c>
      <c r="N2025">
        <v>0.34899773514518478</v>
      </c>
      <c r="O2025">
        <v>0.2383918965995348</v>
      </c>
      <c r="P2025">
        <v>1.3377932278170966E-2</v>
      </c>
      <c r="Q2025">
        <v>1.6540723219663177E-3</v>
      </c>
      <c r="R2025">
        <v>3.2304234615647604E-3</v>
      </c>
      <c r="S2025">
        <v>0.34643519694655733</v>
      </c>
      <c r="T2025">
        <v>0.40447742676442133</v>
      </c>
      <c r="U2025">
        <v>0</v>
      </c>
      <c r="V2025">
        <v>0.2000174898560817</v>
      </c>
      <c r="W2025">
        <v>0.21666060696876618</v>
      </c>
      <c r="X2025">
        <v>5.6275436169181091E-2</v>
      </c>
      <c r="Y2025">
        <v>8.7921477535713773E-3</v>
      </c>
    </row>
    <row r="2026" spans="1:25" x14ac:dyDescent="0.25">
      <c r="A2026" s="1083"/>
      <c r="B2026" s="1455">
        <v>1776</v>
      </c>
      <c r="C2026" s="1087">
        <v>0.96043379788593009</v>
      </c>
      <c r="D2026" s="1087">
        <v>1.0165622421891731</v>
      </c>
      <c r="E2026" s="1087">
        <v>0.97963946465608376</v>
      </c>
      <c r="F2026" s="1087">
        <v>0.98694450825785351</v>
      </c>
      <c r="G2026" s="1087">
        <v>0.99421403775251715</v>
      </c>
      <c r="H2026" s="1087">
        <v>0.96691535589850763</v>
      </c>
      <c r="I2026" s="1087">
        <v>1.0145685620575975</v>
      </c>
      <c r="K2026">
        <v>1.8467650485807932</v>
      </c>
      <c r="L2026">
        <v>0</v>
      </c>
      <c r="M2026">
        <v>3.7832726050781901E-3</v>
      </c>
      <c r="N2026">
        <v>0.33755033642254562</v>
      </c>
      <c r="O2026">
        <v>0.24014258246800266</v>
      </c>
      <c r="P2026">
        <v>1.3101981254969424E-2</v>
      </c>
      <c r="Q2026">
        <v>1.602804453349376E-3</v>
      </c>
      <c r="R2026">
        <v>3.7765333254468694E-3</v>
      </c>
      <c r="S2026">
        <v>0.37574081317570124</v>
      </c>
      <c r="T2026">
        <v>0.39731549311452224</v>
      </c>
      <c r="U2026">
        <v>0</v>
      </c>
      <c r="V2026">
        <v>0.20200391037850438</v>
      </c>
      <c r="W2026">
        <v>0.21778604339005617</v>
      </c>
      <c r="X2026">
        <v>5.1249344424780269E-2</v>
      </c>
      <c r="Y2026">
        <v>1.0278478777990227E-2</v>
      </c>
    </row>
    <row r="2027" spans="1:25" x14ac:dyDescent="0.25">
      <c r="A2027" s="1083"/>
      <c r="B2027" s="1455">
        <v>1777</v>
      </c>
      <c r="C2027" s="1087">
        <v>0.97890341022313898</v>
      </c>
      <c r="D2027" s="1087">
        <v>0.96905084301783662</v>
      </c>
      <c r="E2027" s="1087">
        <v>1.0061383159065231</v>
      </c>
      <c r="F2027" s="1087">
        <v>1.0075619814802903</v>
      </c>
      <c r="G2027" s="1087">
        <v>1.0098133565938567</v>
      </c>
      <c r="H2027" s="1087">
        <v>0.97296937516147841</v>
      </c>
      <c r="I2027" s="1087">
        <v>0.98467976827321047</v>
      </c>
      <c r="K2027">
        <v>1.8782772351738113</v>
      </c>
      <c r="L2027">
        <v>0</v>
      </c>
      <c r="M2027">
        <v>3.6307843177960635E-3</v>
      </c>
      <c r="N2027">
        <v>0.35125244057618843</v>
      </c>
      <c r="O2027">
        <v>0.24546611326757881</v>
      </c>
      <c r="P2027">
        <v>1.3419805511162302E-2</v>
      </c>
      <c r="Q2027">
        <v>1.6490408864164793E-3</v>
      </c>
      <c r="R2027">
        <v>3.6243995976815244E-3</v>
      </c>
      <c r="S2027">
        <v>0.36883297487215866</v>
      </c>
      <c r="T2027">
        <v>0.40577644500094417</v>
      </c>
      <c r="U2027">
        <v>0</v>
      </c>
      <c r="V2027">
        <v>0.20444576127724573</v>
      </c>
      <c r="W2027">
        <v>0.22288531021998897</v>
      </c>
      <c r="X2027">
        <v>5.4691307360359771E-2</v>
      </c>
      <c r="Y2027">
        <v>9.8644209218828379E-3</v>
      </c>
    </row>
    <row r="2028" spans="1:25" x14ac:dyDescent="0.25">
      <c r="A2028" s="1083"/>
      <c r="B2028" s="1455">
        <v>1778</v>
      </c>
      <c r="C2028" s="1087">
        <v>0.99198576820026685</v>
      </c>
      <c r="D2028" s="1087">
        <v>0.9933985313387943</v>
      </c>
      <c r="E2028" s="1087">
        <v>0.99835886376668403</v>
      </c>
      <c r="F2028" s="1087">
        <v>0.991659074978404</v>
      </c>
      <c r="G2028" s="1087">
        <v>1.0146031142404297</v>
      </c>
      <c r="H2028" s="1087">
        <v>1.0062989423872941</v>
      </c>
      <c r="I2028" s="1087">
        <v>0.97680442113132881</v>
      </c>
      <c r="K2028">
        <v>1.853394300790665</v>
      </c>
      <c r="L2028">
        <v>0</v>
      </c>
      <c r="M2028">
        <v>3.7151419869606208E-3</v>
      </c>
      <c r="N2028">
        <v>0.35100106705452383</v>
      </c>
      <c r="O2028">
        <v>0.23935220611558958</v>
      </c>
      <c r="P2028">
        <v>1.3104273705734044E-2</v>
      </c>
      <c r="Q2028">
        <v>1.5979349466249226E-3</v>
      </c>
      <c r="R2028">
        <v>3.708803597784006E-3</v>
      </c>
      <c r="S2028">
        <v>0.36201353695811467</v>
      </c>
      <c r="T2028">
        <v>0.3993250331379592</v>
      </c>
      <c r="U2028">
        <v>0</v>
      </c>
      <c r="V2028">
        <v>0.20024600028069997</v>
      </c>
      <c r="W2028">
        <v>0.22380922243346624</v>
      </c>
      <c r="X2028">
        <v>5.2857223760736698E-2</v>
      </c>
      <c r="Y2028">
        <v>1.009414078639064E-2</v>
      </c>
    </row>
    <row r="2029" spans="1:25" x14ac:dyDescent="0.25">
      <c r="A2029" s="1083"/>
      <c r="B2029" s="1455">
        <v>1779</v>
      </c>
      <c r="C2029" s="1087">
        <v>1.0400594274635597</v>
      </c>
      <c r="D2029" s="1087">
        <v>0.97193200728131535</v>
      </c>
      <c r="E2029" s="1087">
        <v>0.97605903557932838</v>
      </c>
      <c r="F2029" s="1087">
        <v>0.96858669986952739</v>
      </c>
      <c r="G2029" s="1087">
        <v>0.97957060304332988</v>
      </c>
      <c r="H2029" s="1087">
        <v>1.0078781413358411</v>
      </c>
      <c r="I2029" s="1087">
        <v>1.0086257554722096</v>
      </c>
      <c r="K2029">
        <v>1.7977901908800287</v>
      </c>
      <c r="L2029">
        <v>0</v>
      </c>
      <c r="M2029">
        <v>3.7580794803906332E-3</v>
      </c>
      <c r="N2029">
        <v>0.3316805708716421</v>
      </c>
      <c r="O2029">
        <v>0.23277476424467375</v>
      </c>
      <c r="P2029">
        <v>1.2664198111475464E-2</v>
      </c>
      <c r="Q2029">
        <v>1.5011116245866483E-3</v>
      </c>
      <c r="R2029">
        <v>3.7516969700018502E-3</v>
      </c>
      <c r="S2029">
        <v>0.36089253941799421</v>
      </c>
      <c r="T2029">
        <v>0.38990448950829237</v>
      </c>
      <c r="U2029">
        <v>0</v>
      </c>
      <c r="V2029">
        <v>0.19425411486678462</v>
      </c>
      <c r="W2029">
        <v>0.21448625861021225</v>
      </c>
      <c r="X2029">
        <v>4.9427643728985282E-2</v>
      </c>
      <c r="Y2029">
        <v>1.0210882405771258E-2</v>
      </c>
    </row>
    <row r="2030" spans="1:25" x14ac:dyDescent="0.25">
      <c r="A2030" s="1083"/>
      <c r="B2030" s="1455">
        <v>1780</v>
      </c>
      <c r="C2030" s="1087">
        <v>0.99801306603729234</v>
      </c>
      <c r="D2030" s="1087">
        <v>0.99125911750782481</v>
      </c>
      <c r="E2030" s="1087">
        <v>1.0145045733687383</v>
      </c>
      <c r="F2030" s="1087">
        <v>1.005760138947396</v>
      </c>
      <c r="G2030" s="1087">
        <v>1.0210034966887853</v>
      </c>
      <c r="H2030" s="1087">
        <v>1.0417425868823227</v>
      </c>
      <c r="I2030" s="1087">
        <v>0.98982606949111096</v>
      </c>
      <c r="K2030">
        <v>1.8981339088852101</v>
      </c>
      <c r="L2030">
        <v>0</v>
      </c>
      <c r="M2030">
        <v>3.7029012844466383E-3</v>
      </c>
      <c r="N2030">
        <v>0.3675268402216097</v>
      </c>
      <c r="O2030">
        <v>0.24074750192866684</v>
      </c>
      <c r="P2030">
        <v>1.3485570199636743E-2</v>
      </c>
      <c r="Q2030">
        <v>1.6171484919133292E-3</v>
      </c>
      <c r="R2030">
        <v>3.6968007904479854E-3</v>
      </c>
      <c r="S2030">
        <v>0.37166161151248039</v>
      </c>
      <c r="T2030">
        <v>0.40510214351132262</v>
      </c>
      <c r="U2030">
        <v>0</v>
      </c>
      <c r="V2030">
        <v>0.20102844334288442</v>
      </c>
      <c r="W2030">
        <v>0.23200558812947983</v>
      </c>
      <c r="X2030">
        <v>5.4903688939667197E-2</v>
      </c>
      <c r="Y2030">
        <v>1.0061473101546361E-2</v>
      </c>
    </row>
    <row r="2031" spans="1:25" x14ac:dyDescent="0.25">
      <c r="A2031" s="1083"/>
      <c r="B2031" s="1455">
        <v>1781</v>
      </c>
      <c r="C2031" s="1087">
        <v>1.0287210696567608</v>
      </c>
      <c r="D2031" s="1087">
        <v>0.98990674658963806</v>
      </c>
      <c r="E2031" s="1087">
        <v>0.99319470940167165</v>
      </c>
      <c r="F2031" s="1087">
        <v>0.99652941175955911</v>
      </c>
      <c r="G2031" s="1087">
        <v>1.0224483951796397</v>
      </c>
      <c r="H2031" s="1087">
        <v>0.99994965815430437</v>
      </c>
      <c r="I2031" s="1087">
        <v>1.0252509123224016</v>
      </c>
      <c r="K2031">
        <v>1.8254971993648377</v>
      </c>
      <c r="L2031">
        <v>0</v>
      </c>
      <c r="M2031">
        <v>3.6042958586797566E-3</v>
      </c>
      <c r="N2031">
        <v>0.33519901295962279</v>
      </c>
      <c r="O2031">
        <v>0.23583398674889175</v>
      </c>
      <c r="P2031">
        <v>1.3087890268532952E-2</v>
      </c>
      <c r="Q2031">
        <v>1.5345587884205011E-3</v>
      </c>
      <c r="R2031">
        <v>3.5981102419349697E-3</v>
      </c>
      <c r="S2031">
        <v>0.36589180235900698</v>
      </c>
      <c r="T2031">
        <v>0.40125515080519242</v>
      </c>
      <c r="U2031">
        <v>0</v>
      </c>
      <c r="V2031">
        <v>0.19695397126118966</v>
      </c>
      <c r="W2031">
        <v>0.2144263061352083</v>
      </c>
      <c r="X2031">
        <v>5.1527835693693222E-2</v>
      </c>
      <c r="Y2031">
        <v>9.7928699618245098E-3</v>
      </c>
    </row>
    <row r="2032" spans="1:25" x14ac:dyDescent="0.25">
      <c r="A2032" s="1083"/>
      <c r="B2032" s="1455">
        <v>1782</v>
      </c>
      <c r="C2032" s="1087">
        <v>0.96957881316312799</v>
      </c>
      <c r="D2032" s="1087">
        <v>1.0183434366259221</v>
      </c>
      <c r="E2032" s="1087">
        <v>0.95844383068144823</v>
      </c>
      <c r="F2032" s="1087">
        <v>0.99665909647398121</v>
      </c>
      <c r="G2032" s="1087">
        <v>0.97438870534200561</v>
      </c>
      <c r="H2032" s="1087">
        <v>0.98173994280423993</v>
      </c>
      <c r="I2032" s="1087">
        <v>1.0176452340351454</v>
      </c>
      <c r="K2032">
        <v>1.8414916498844396</v>
      </c>
      <c r="L2032">
        <v>0</v>
      </c>
      <c r="M2032">
        <v>3.9693478341802074E-3</v>
      </c>
      <c r="N2032">
        <v>0.33193019071463253</v>
      </c>
      <c r="O2032">
        <v>0.2396860533654237</v>
      </c>
      <c r="P2032">
        <v>1.2932587999028822E-2</v>
      </c>
      <c r="Q2032">
        <v>1.5505757302003657E-3</v>
      </c>
      <c r="R2032">
        <v>3.9623826920415287E-3</v>
      </c>
      <c r="S2032">
        <v>0.37552306901168886</v>
      </c>
      <c r="T2032">
        <v>0.40110118021051167</v>
      </c>
      <c r="U2032">
        <v>0</v>
      </c>
      <c r="V2032">
        <v>0.20159864609201658</v>
      </c>
      <c r="W2032">
        <v>0.2170830568303172</v>
      </c>
      <c r="X2032">
        <v>4.9308955584124459E-2</v>
      </c>
      <c r="Y2032">
        <v>1.0784299488633659E-2</v>
      </c>
    </row>
    <row r="2033" spans="1:25" x14ac:dyDescent="0.25">
      <c r="A2033" s="1083"/>
      <c r="B2033" s="1455">
        <v>1783</v>
      </c>
      <c r="C2033" s="1087">
        <v>0.97530471971060162</v>
      </c>
      <c r="D2033" s="1087">
        <v>1.0138158205388288</v>
      </c>
      <c r="E2033" s="1087">
        <v>1.0378232686055899</v>
      </c>
      <c r="F2033" s="1087">
        <v>0.99191327966956422</v>
      </c>
      <c r="G2033" s="1087">
        <v>1.0223367384059812</v>
      </c>
      <c r="H2033" s="1087">
        <v>0.98733072440534431</v>
      </c>
      <c r="I2033" s="1087">
        <v>1.0018239198681285</v>
      </c>
      <c r="K2033">
        <v>1.8769916015121582</v>
      </c>
      <c r="L2033">
        <v>0</v>
      </c>
      <c r="M2033">
        <v>3.3819524523260249E-3</v>
      </c>
      <c r="N2033">
        <v>0.36034517194461946</v>
      </c>
      <c r="O2033">
        <v>0.23999454193294437</v>
      </c>
      <c r="P2033">
        <v>1.3625501008836733E-2</v>
      </c>
      <c r="Q2033">
        <v>1.6806758843412729E-3</v>
      </c>
      <c r="R2033">
        <v>3.3760551522780905E-3</v>
      </c>
      <c r="S2033">
        <v>0.37036890577440651</v>
      </c>
      <c r="T2033">
        <v>0.39966759047650358</v>
      </c>
      <c r="U2033">
        <v>0</v>
      </c>
      <c r="V2033">
        <v>0.20126345050427499</v>
      </c>
      <c r="W2033">
        <v>0.22424523968539131</v>
      </c>
      <c r="X2033">
        <v>5.6617912392667488E-2</v>
      </c>
      <c r="Y2033">
        <v>9.1885092082191165E-3</v>
      </c>
    </row>
    <row r="2034" spans="1:25" x14ac:dyDescent="0.25">
      <c r="A2034" s="1083"/>
      <c r="B2034" s="1455">
        <v>1784</v>
      </c>
      <c r="C2034" s="1087">
        <v>1.0087535601298685</v>
      </c>
      <c r="D2034" s="1087">
        <v>1.0065373908583417</v>
      </c>
      <c r="E2034" s="1087">
        <v>1.0152483630036055</v>
      </c>
      <c r="F2034" s="1087">
        <v>1.0074207410938789</v>
      </c>
      <c r="G2034" s="1087">
        <v>1.0137773794426792</v>
      </c>
      <c r="H2034" s="1087">
        <v>0.98367367415160523</v>
      </c>
      <c r="I2034" s="1087">
        <v>0.96629118294759597</v>
      </c>
      <c r="K2034">
        <v>1.8224895894628075</v>
      </c>
      <c r="L2034">
        <v>0</v>
      </c>
      <c r="M2034">
        <v>3.4253004571122522E-3</v>
      </c>
      <c r="N2034">
        <v>0.3407111134481613</v>
      </c>
      <c r="O2034">
        <v>0.23811906170713662</v>
      </c>
      <c r="P2034">
        <v>1.3121190419774836E-2</v>
      </c>
      <c r="Q2034">
        <v>1.5914226479702353E-3</v>
      </c>
      <c r="R2034">
        <v>3.4193108714302505E-3</v>
      </c>
      <c r="S2034">
        <v>0.34587095126776612</v>
      </c>
      <c r="T2034">
        <v>0.40577559206402475</v>
      </c>
      <c r="U2034">
        <v>0</v>
      </c>
      <c r="V2034">
        <v>0.1992081159221189</v>
      </c>
      <c r="W2034">
        <v>0.2149790275320006</v>
      </c>
      <c r="X2034">
        <v>5.3812867023030002E-2</v>
      </c>
      <c r="Y2034">
        <v>9.3062370165073131E-3</v>
      </c>
    </row>
    <row r="2035" spans="1:25" x14ac:dyDescent="0.25">
      <c r="A2035" s="1083"/>
      <c r="B2035" s="1455">
        <v>1785</v>
      </c>
      <c r="C2035" s="1087">
        <v>1.0284918148375941</v>
      </c>
      <c r="D2035" s="1087">
        <v>0.9623304984119363</v>
      </c>
      <c r="E2035" s="1087">
        <v>0.9847952826101084</v>
      </c>
      <c r="F2035" s="1087">
        <v>1.0358846024097035</v>
      </c>
      <c r="G2035" s="1087">
        <v>0.9956455967303659</v>
      </c>
      <c r="H2035" s="1087">
        <v>1.0173951977496607</v>
      </c>
      <c r="I2035" s="1087">
        <v>0.97027619677719801</v>
      </c>
      <c r="K2035">
        <v>1.8583318195347214</v>
      </c>
      <c r="L2035">
        <v>0</v>
      </c>
      <c r="M2035">
        <v>3.7889664327403864E-3</v>
      </c>
      <c r="N2035">
        <v>0.3434612905324651</v>
      </c>
      <c r="O2035">
        <v>0.24314057351959195</v>
      </c>
      <c r="P2035">
        <v>1.3133884365699268E-2</v>
      </c>
      <c r="Q2035">
        <v>1.5384347855168974E-3</v>
      </c>
      <c r="R2035">
        <v>3.7826008727457135E-3</v>
      </c>
      <c r="S2035">
        <v>0.35478648199624807</v>
      </c>
      <c r="T2035">
        <v>0.41704931586678046</v>
      </c>
      <c r="U2035">
        <v>0</v>
      </c>
      <c r="V2035">
        <v>0.20179369650027579</v>
      </c>
      <c r="W2035">
        <v>0.22087743444896571</v>
      </c>
      <c r="X2035">
        <v>5.2262080437603421E-2</v>
      </c>
      <c r="Y2035">
        <v>1.0294992641571252E-2</v>
      </c>
    </row>
    <row r="2036" spans="1:25" x14ac:dyDescent="0.25">
      <c r="A2036" s="1083"/>
      <c r="B2036" s="1455">
        <v>1786</v>
      </c>
      <c r="C2036" s="1087">
        <v>1.0108263569520541</v>
      </c>
      <c r="D2036" s="1087">
        <v>0.97575913697058136</v>
      </c>
      <c r="E2036" s="1087">
        <v>0.9961660894713209</v>
      </c>
      <c r="F2036" s="1087">
        <v>0.96598074971109038</v>
      </c>
      <c r="G2036" s="1087">
        <v>0.99609097521076706</v>
      </c>
      <c r="H2036" s="1087">
        <v>0.97440034307532852</v>
      </c>
      <c r="I2036" s="1087">
        <v>0.98862040242541072</v>
      </c>
      <c r="K2036">
        <v>1.8052450007040888</v>
      </c>
      <c r="L2036">
        <v>0</v>
      </c>
      <c r="M2036">
        <v>3.5800335198342514E-3</v>
      </c>
      <c r="N2036">
        <v>0.33596254557567712</v>
      </c>
      <c r="O2036">
        <v>0.23570656729493836</v>
      </c>
      <c r="P2036">
        <v>1.2833390837629912E-2</v>
      </c>
      <c r="Q2036">
        <v>1.5757384680988868E-3</v>
      </c>
      <c r="R2036">
        <v>3.5737403813841128E-3</v>
      </c>
      <c r="S2036">
        <v>0.35736432794579209</v>
      </c>
      <c r="T2036">
        <v>0.38897197846123638</v>
      </c>
      <c r="U2036">
        <v>0</v>
      </c>
      <c r="V2036">
        <v>0.19691473009736052</v>
      </c>
      <c r="W2036">
        <v>0.21451450151275062</v>
      </c>
      <c r="X2036">
        <v>5.1680970414126365E-2</v>
      </c>
      <c r="Y2036">
        <v>9.7265432349274462E-3</v>
      </c>
    </row>
    <row r="2037" spans="1:25" x14ac:dyDescent="0.25">
      <c r="A2037" s="1083"/>
      <c r="B2037" s="1455">
        <v>1787</v>
      </c>
      <c r="C2037" s="1087">
        <v>0.99137932201295498</v>
      </c>
      <c r="D2037" s="1087">
        <v>1.001934751438696</v>
      </c>
      <c r="E2037" s="1087">
        <v>1.0235648940218376</v>
      </c>
      <c r="F2037" s="1087">
        <v>1.0100994423561311</v>
      </c>
      <c r="G2037" s="1087">
        <v>0.97832475953132347</v>
      </c>
      <c r="H2037" s="1087">
        <v>0.98916009874737898</v>
      </c>
      <c r="I2037" s="1087">
        <v>0.99459112011615336</v>
      </c>
      <c r="K2037">
        <v>1.8675040055714565</v>
      </c>
      <c r="L2037">
        <v>0</v>
      </c>
      <c r="M2037">
        <v>3.4543290219048082E-3</v>
      </c>
      <c r="N2037">
        <v>0.35242174119255548</v>
      </c>
      <c r="O2037">
        <v>0.24113545505704603</v>
      </c>
      <c r="P2037">
        <v>1.350583897446163E-2</v>
      </c>
      <c r="Q2037">
        <v>1.6365802537054214E-3</v>
      </c>
      <c r="R2037">
        <v>3.4483265809064226E-3</v>
      </c>
      <c r="S2037">
        <v>0.36426889169330146</v>
      </c>
      <c r="T2037">
        <v>0.40690613145662635</v>
      </c>
      <c r="U2037">
        <v>0</v>
      </c>
      <c r="V2037">
        <v>0.20160644344677228</v>
      </c>
      <c r="W2037">
        <v>0.22123221248290514</v>
      </c>
      <c r="X2037">
        <v>5.5411505242406851E-2</v>
      </c>
      <c r="Y2037">
        <v>9.385208212675392E-3</v>
      </c>
    </row>
    <row r="2038" spans="1:25" x14ac:dyDescent="0.25">
      <c r="A2038" s="1083"/>
      <c r="B2038" s="1455">
        <v>1788</v>
      </c>
      <c r="C2038" s="1087">
        <v>1.0034617324449784</v>
      </c>
      <c r="D2038" s="1087">
        <v>0.98343826044195848</v>
      </c>
      <c r="E2038" s="1087">
        <v>0.9892929320053766</v>
      </c>
      <c r="F2038" s="1087">
        <v>0.99933897505368263</v>
      </c>
      <c r="G2038" s="1087">
        <v>0.99975539795294843</v>
      </c>
      <c r="H2038" s="1087">
        <v>1.0126032140288308</v>
      </c>
      <c r="I2038" s="1087">
        <v>0.96758564241935918</v>
      </c>
      <c r="K2038">
        <v>1.8476489481545473</v>
      </c>
      <c r="L2038">
        <v>0</v>
      </c>
      <c r="M2038">
        <v>3.7853846481750181E-3</v>
      </c>
      <c r="N2038">
        <v>0.34787876096814446</v>
      </c>
      <c r="O2038">
        <v>0.23974644672363374</v>
      </c>
      <c r="P2038">
        <v>1.2994286476967895E-2</v>
      </c>
      <c r="Q2038">
        <v>1.5707439003554903E-3</v>
      </c>
      <c r="R2038">
        <v>3.7789757979537443E-3</v>
      </c>
      <c r="S2038">
        <v>0.35749604530733803</v>
      </c>
      <c r="T2038">
        <v>0.402362950719859</v>
      </c>
      <c r="U2038">
        <v>0</v>
      </c>
      <c r="V2038">
        <v>0.20015768299187087</v>
      </c>
      <c r="W2038">
        <v>0.22308431000143628</v>
      </c>
      <c r="X2038">
        <v>5.2079003532167358E-2</v>
      </c>
      <c r="Y2038">
        <v>1.0285126382993098E-2</v>
      </c>
    </row>
    <row r="2039" spans="1:25" x14ac:dyDescent="0.25">
      <c r="A2039" s="1083"/>
      <c r="B2039" s="1455">
        <v>1789</v>
      </c>
      <c r="C2039" s="1087">
        <v>0.98684298561070161</v>
      </c>
      <c r="D2039" s="1087">
        <v>1.0030362215464799</v>
      </c>
      <c r="E2039" s="1087">
        <v>0.9804526288067551</v>
      </c>
      <c r="F2039" s="1087">
        <v>0.99460315526423537</v>
      </c>
      <c r="G2039" s="1087">
        <v>0.99127435952411902</v>
      </c>
      <c r="H2039" s="1087">
        <v>1.0205815234615148</v>
      </c>
      <c r="I2039" s="1087">
        <v>0.99998456115790302</v>
      </c>
      <c r="K2039">
        <v>1.8645630237901214</v>
      </c>
      <c r="L2039">
        <v>0</v>
      </c>
      <c r="M2039">
        <v>3.9082559842288488E-3</v>
      </c>
      <c r="N2039">
        <v>0.34960315920638618</v>
      </c>
      <c r="O2039">
        <v>0.23912171671464405</v>
      </c>
      <c r="P2039">
        <v>1.3093307341829298E-2</v>
      </c>
      <c r="Q2039">
        <v>1.5696653922877165E-3</v>
      </c>
      <c r="R2039">
        <v>3.9016727441114583E-3</v>
      </c>
      <c r="S2039">
        <v>0.37296692301901635</v>
      </c>
      <c r="T2039">
        <v>0.40040347442929508</v>
      </c>
      <c r="U2039">
        <v>0</v>
      </c>
      <c r="V2039">
        <v>0.20044397662338434</v>
      </c>
      <c r="W2039">
        <v>0.22544616170070991</v>
      </c>
      <c r="X2039">
        <v>5.1302155579288307E-2</v>
      </c>
      <c r="Y2039">
        <v>1.0619067023396961E-2</v>
      </c>
    </row>
    <row r="2040" spans="1:25" x14ac:dyDescent="0.25">
      <c r="A2040" s="1083"/>
      <c r="B2040" s="1455">
        <v>1790</v>
      </c>
      <c r="C2040" s="1087">
        <v>0.98312441861219491</v>
      </c>
      <c r="D2040" s="1087">
        <v>1.0354566068897009</v>
      </c>
      <c r="E2040" s="1087">
        <v>0.9724832530818619</v>
      </c>
      <c r="F2040" s="1087">
        <v>1.016545630634087</v>
      </c>
      <c r="G2040" s="1087">
        <v>0.99685770520592254</v>
      </c>
      <c r="H2040" s="1087">
        <v>1.0126447471069353</v>
      </c>
      <c r="I2040" s="1087">
        <v>0.98496322427145611</v>
      </c>
      <c r="K2040">
        <v>1.8448331475046258</v>
      </c>
      <c r="L2040">
        <v>0</v>
      </c>
      <c r="M2040">
        <v>3.8886831159429249E-3</v>
      </c>
      <c r="N2040">
        <v>0.33947326464655708</v>
      </c>
      <c r="O2040">
        <v>0.23885067667430987</v>
      </c>
      <c r="P2040">
        <v>1.2976392823366418E-2</v>
      </c>
      <c r="Q2040">
        <v>1.5423652808243134E-3</v>
      </c>
      <c r="R2040">
        <v>3.8820516982260838E-3</v>
      </c>
      <c r="S2040">
        <v>0.3608206434430159</v>
      </c>
      <c r="T2040">
        <v>0.40918873720193533</v>
      </c>
      <c r="U2040">
        <v>0</v>
      </c>
      <c r="V2040">
        <v>0.20098675733497764</v>
      </c>
      <c r="W2040">
        <v>0.22002617654892148</v>
      </c>
      <c r="X2040">
        <v>5.0409099963859443E-2</v>
      </c>
      <c r="Y2040">
        <v>1.056566500457301E-2</v>
      </c>
    </row>
    <row r="2041" spans="1:25" x14ac:dyDescent="0.25">
      <c r="A2041" s="1083"/>
      <c r="B2041" s="1455">
        <v>1791</v>
      </c>
      <c r="C2041" s="1087">
        <v>0.9905015842645214</v>
      </c>
      <c r="D2041" s="1087">
        <v>1.019280343940494</v>
      </c>
      <c r="E2041" s="1087">
        <v>0.99585727156671966</v>
      </c>
      <c r="F2041" s="1087">
        <v>0.97446046463505953</v>
      </c>
      <c r="G2041" s="1087">
        <v>1.0061710796066994</v>
      </c>
      <c r="H2041" s="1087">
        <v>1.0154518595715158</v>
      </c>
      <c r="I2041" s="1087">
        <v>1.0158435852659207</v>
      </c>
      <c r="K2041">
        <v>1.8466799630798258</v>
      </c>
      <c r="L2041">
        <v>0</v>
      </c>
      <c r="M2041">
        <v>3.7217951824758282E-3</v>
      </c>
      <c r="N2041">
        <v>0.34895818690068942</v>
      </c>
      <c r="O2041">
        <v>0.23492165634488663</v>
      </c>
      <c r="P2041">
        <v>1.3103340719021934E-2</v>
      </c>
      <c r="Q2041">
        <v>1.5797264997862138E-3</v>
      </c>
      <c r="R2041">
        <v>3.7154800504939603E-3</v>
      </c>
      <c r="S2041">
        <v>0.37337870967168957</v>
      </c>
      <c r="T2041">
        <v>0.39238469153807704</v>
      </c>
      <c r="U2041">
        <v>0</v>
      </c>
      <c r="V2041">
        <v>0.19755023432507657</v>
      </c>
      <c r="W2041">
        <v>0.22285543842639505</v>
      </c>
      <c r="X2041">
        <v>5.184198189640974E-2</v>
      </c>
      <c r="Y2041">
        <v>1.0112311889775088E-2</v>
      </c>
    </row>
    <row r="2042" spans="1:25" x14ac:dyDescent="0.25">
      <c r="A2042" s="1083"/>
      <c r="B2042" s="1455">
        <v>1792</v>
      </c>
      <c r="C2042" s="1087">
        <v>1.0224038828675905</v>
      </c>
      <c r="D2042" s="1087">
        <v>0.98955951838090239</v>
      </c>
      <c r="E2042" s="1087">
        <v>1.0376482173583519</v>
      </c>
      <c r="F2042" s="1087">
        <v>1.0137744012202907</v>
      </c>
      <c r="G2042" s="1087">
        <v>0.97927357701029571</v>
      </c>
      <c r="H2042" s="1087">
        <v>1.0055626609190695</v>
      </c>
      <c r="I2042" s="1087">
        <v>1.0111934032429308</v>
      </c>
      <c r="K2042">
        <v>1.8677032434804974</v>
      </c>
      <c r="L2042">
        <v>0</v>
      </c>
      <c r="M2042">
        <v>3.3297841296453167E-3</v>
      </c>
      <c r="N2042">
        <v>0.35461092597964611</v>
      </c>
      <c r="O2042">
        <v>0.23925086182958244</v>
      </c>
      <c r="P2042">
        <v>1.3640954298024349E-2</v>
      </c>
      <c r="Q2042">
        <v>1.6185615137787248E-3</v>
      </c>
      <c r="R2042">
        <v>3.3241016966304433E-3</v>
      </c>
      <c r="S2042">
        <v>0.36469355695539973</v>
      </c>
      <c r="T2042">
        <v>0.40847489994311986</v>
      </c>
      <c r="U2042">
        <v>0</v>
      </c>
      <c r="V2042">
        <v>0.1993576912237236</v>
      </c>
      <c r="W2042">
        <v>0.22070024510254543</v>
      </c>
      <c r="X2042">
        <v>5.6314120039292932E-2</v>
      </c>
      <c r="Y2042">
        <v>9.0471090283982727E-3</v>
      </c>
    </row>
    <row r="2043" spans="1:25" x14ac:dyDescent="0.25">
      <c r="A2043" s="1083"/>
      <c r="B2043" s="1455">
        <v>1793</v>
      </c>
      <c r="C2043" s="1087">
        <v>0.99119160963694175</v>
      </c>
      <c r="D2043" s="1087">
        <v>1.0093346762259712</v>
      </c>
      <c r="E2043" s="1087">
        <v>1.007192045845855</v>
      </c>
      <c r="F2043" s="1087">
        <v>0.99106537835781183</v>
      </c>
      <c r="G2043" s="1087">
        <v>1.0295387249859507</v>
      </c>
      <c r="H2043" s="1087">
        <v>1.0217891533692813</v>
      </c>
      <c r="I2043" s="1087">
        <v>1.0060713853541663</v>
      </c>
      <c r="K2043">
        <v>1.8709204218876279</v>
      </c>
      <c r="L2043">
        <v>0</v>
      </c>
      <c r="M2043">
        <v>3.6761079163818667E-3</v>
      </c>
      <c r="N2043">
        <v>0.35680871783113682</v>
      </c>
      <c r="O2043">
        <v>0.23793942247264932</v>
      </c>
      <c r="P2043">
        <v>1.3326238766639584E-2</v>
      </c>
      <c r="Q2043">
        <v>1.6040731107157761E-3</v>
      </c>
      <c r="R2043">
        <v>3.6699176182363649E-3</v>
      </c>
      <c r="S2043">
        <v>0.37283361517203417</v>
      </c>
      <c r="T2043">
        <v>0.39913910907490824</v>
      </c>
      <c r="U2043">
        <v>0</v>
      </c>
      <c r="V2043">
        <v>0.19949651774026061</v>
      </c>
      <c r="W2043">
        <v>0.22626274126269752</v>
      </c>
      <c r="X2043">
        <v>5.3527870785907435E-2</v>
      </c>
      <c r="Y2043">
        <v>9.9883059688216733E-3</v>
      </c>
    </row>
    <row r="2044" spans="1:25" x14ac:dyDescent="0.25">
      <c r="A2044" s="1083"/>
      <c r="B2044" s="1455">
        <v>1794</v>
      </c>
      <c r="C2044" s="1087">
        <v>1.0236566136531469</v>
      </c>
      <c r="D2044" s="1087">
        <v>1.0351686318536697</v>
      </c>
      <c r="E2044" s="1087">
        <v>1.0079520355975067</v>
      </c>
      <c r="F2044" s="1087">
        <v>1.0090101366721771</v>
      </c>
      <c r="G2044" s="1087">
        <v>1.0143855040445204</v>
      </c>
      <c r="H2044" s="1087">
        <v>1.0089029680663826</v>
      </c>
      <c r="I2044" s="1087">
        <v>0.97516971561399168</v>
      </c>
      <c r="K2044">
        <v>1.8051623051880412</v>
      </c>
      <c r="L2044">
        <v>0</v>
      </c>
      <c r="M2044">
        <v>3.4599693156950524E-3</v>
      </c>
      <c r="N2044">
        <v>0.33659975731895242</v>
      </c>
      <c r="O2044">
        <v>0.233590229435999</v>
      </c>
      <c r="P2044">
        <v>1.2976168439675707E-2</v>
      </c>
      <c r="Q2044">
        <v>1.538818667556741E-3</v>
      </c>
      <c r="R2044">
        <v>3.4540448583322172E-3</v>
      </c>
      <c r="S2044">
        <v>0.34281596175370765</v>
      </c>
      <c r="T2044">
        <v>0.40637080596459579</v>
      </c>
      <c r="U2044">
        <v>0</v>
      </c>
      <c r="V2044">
        <v>0.1962348306336191</v>
      </c>
      <c r="W2044">
        <v>0.21334689560304304</v>
      </c>
      <c r="X2044">
        <v>5.2293990349455081E-2</v>
      </c>
      <c r="Y2044">
        <v>9.4007714787987598E-3</v>
      </c>
    </row>
    <row r="2045" spans="1:25" x14ac:dyDescent="0.25">
      <c r="A2045" s="1083"/>
      <c r="B2045" s="1455">
        <v>1795</v>
      </c>
      <c r="C2045" s="1087">
        <v>1.0020745759460139</v>
      </c>
      <c r="D2045" s="1087">
        <v>0.96974690357166327</v>
      </c>
      <c r="E2045" s="1087">
        <v>0.99723860297098554</v>
      </c>
      <c r="F2045" s="1087">
        <v>0.96684262477485183</v>
      </c>
      <c r="G2045" s="1087">
        <v>0.9606938873854467</v>
      </c>
      <c r="H2045" s="1087">
        <v>0.9599341512129661</v>
      </c>
      <c r="I2045" s="1087">
        <v>1.006066766491952</v>
      </c>
      <c r="K2045">
        <v>1.8160359942620661</v>
      </c>
      <c r="L2045">
        <v>0</v>
      </c>
      <c r="M2045">
        <v>3.5614319115522602E-3</v>
      </c>
      <c r="N2045">
        <v>0.33530441398586364</v>
      </c>
      <c r="O2045">
        <v>0.23744321081014919</v>
      </c>
      <c r="P2045">
        <v>1.2976243977251891E-2</v>
      </c>
      <c r="Q2045">
        <v>1.5952601616648792E-3</v>
      </c>
      <c r="R2045">
        <v>3.5550820361964597E-3</v>
      </c>
      <c r="S2045">
        <v>0.365427128171392</v>
      </c>
      <c r="T2045">
        <v>0.38932529845525232</v>
      </c>
      <c r="U2045">
        <v>0</v>
      </c>
      <c r="V2045">
        <v>0.19823290886611372</v>
      </c>
      <c r="W2045">
        <v>0.2139505004667582</v>
      </c>
      <c r="X2045">
        <v>5.2111617872925883E-2</v>
      </c>
      <c r="Y2045">
        <v>9.6757613700484968E-3</v>
      </c>
    </row>
    <row r="2046" spans="1:25" x14ac:dyDescent="0.25">
      <c r="A2046" s="1083"/>
      <c r="B2046" s="1455">
        <v>1796</v>
      </c>
      <c r="C2046" s="1087">
        <v>1.0189803912149977</v>
      </c>
      <c r="D2046" s="1087">
        <v>0.98059668632459762</v>
      </c>
      <c r="E2046" s="1087">
        <v>0.98725338451430233</v>
      </c>
      <c r="F2046" s="1087">
        <v>1.0363333227211833</v>
      </c>
      <c r="G2046" s="1087">
        <v>0.96009631721992694</v>
      </c>
      <c r="H2046" s="1087">
        <v>0.9790471976449836</v>
      </c>
      <c r="I2046" s="1087">
        <v>1.0042011084396656</v>
      </c>
      <c r="K2046">
        <v>1.8416955697952393</v>
      </c>
      <c r="L2046">
        <v>0</v>
      </c>
      <c r="M2046">
        <v>3.6244802459896399E-3</v>
      </c>
      <c r="N2046">
        <v>0.3310039794306941</v>
      </c>
      <c r="O2046">
        <v>0.24244458081396103</v>
      </c>
      <c r="P2046">
        <v>1.3229704850102523E-2</v>
      </c>
      <c r="Q2046">
        <v>1.5452311147354334E-3</v>
      </c>
      <c r="R2046">
        <v>3.6181353239343782E-3</v>
      </c>
      <c r="S2046">
        <v>0.35985678539795879</v>
      </c>
      <c r="T2046">
        <v>0.41724525214288172</v>
      </c>
      <c r="U2046">
        <v>0</v>
      </c>
      <c r="V2046">
        <v>0.20181202384800936</v>
      </c>
      <c r="W2046">
        <v>0.21253608811122143</v>
      </c>
      <c r="X2046">
        <v>5.2180897373969852E-2</v>
      </c>
      <c r="Y2046">
        <v>9.847371633760392E-3</v>
      </c>
    </row>
    <row r="2047" spans="1:25" x14ac:dyDescent="0.25">
      <c r="A2047" s="1083"/>
      <c r="B2047" s="1455">
        <v>1797</v>
      </c>
      <c r="C2047" s="1087">
        <v>0.98119821688779307</v>
      </c>
      <c r="D2047" s="1087">
        <v>1.020404267279011</v>
      </c>
      <c r="E2047" s="1087">
        <v>1.0048381960464803</v>
      </c>
      <c r="F2047" s="1087">
        <v>1.0178817464409282</v>
      </c>
      <c r="G2047" s="1087">
        <v>1.0192993422519061</v>
      </c>
      <c r="H2047" s="1087">
        <v>1.0129726142445721</v>
      </c>
      <c r="I2047" s="1087">
        <v>0.9970019362305188</v>
      </c>
      <c r="K2047">
        <v>1.8811706135493818</v>
      </c>
      <c r="L2047">
        <v>0</v>
      </c>
      <c r="M2047">
        <v>3.6776089770281443E-3</v>
      </c>
      <c r="N2047">
        <v>0.35439451531845817</v>
      </c>
      <c r="O2047">
        <v>0.24119805749659631</v>
      </c>
      <c r="P2047">
        <v>1.3441497218999721E-2</v>
      </c>
      <c r="Q2047">
        <v>1.6093269194315776E-3</v>
      </c>
      <c r="R2047">
        <v>3.6713527767374791E-3</v>
      </c>
      <c r="S2047">
        <v>0.36936080132030324</v>
      </c>
      <c r="T2047">
        <v>0.4099244845634043</v>
      </c>
      <c r="U2047">
        <v>0</v>
      </c>
      <c r="V2047">
        <v>0.20229938518711479</v>
      </c>
      <c r="W2047">
        <v>0.22506109724834303</v>
      </c>
      <c r="X2047">
        <v>5.3895492479856262E-2</v>
      </c>
      <c r="Y2047">
        <v>9.9922119971618314E-3</v>
      </c>
    </row>
    <row r="2048" spans="1:25" x14ac:dyDescent="0.25">
      <c r="A2048" s="1083"/>
      <c r="B2048" s="1455">
        <v>1798</v>
      </c>
      <c r="C2048" s="1087">
        <v>1.0301919365953338</v>
      </c>
      <c r="D2048" s="1087">
        <v>1.0055987479691142</v>
      </c>
      <c r="E2048" s="1087">
        <v>0.99780616580113535</v>
      </c>
      <c r="F2048" s="1087">
        <v>0.96667110464216832</v>
      </c>
      <c r="G2048" s="1087">
        <v>1.0167234300542765</v>
      </c>
      <c r="H2048" s="1087">
        <v>0.99978449453025831</v>
      </c>
      <c r="I2048" s="1087">
        <v>0.98167800901135749</v>
      </c>
      <c r="K2048">
        <v>1.7808837459006255</v>
      </c>
      <c r="L2048">
        <v>0</v>
      </c>
      <c r="M2048">
        <v>3.5346212825254734E-3</v>
      </c>
      <c r="N2048">
        <v>0.33337815263410125</v>
      </c>
      <c r="O2048">
        <v>0.23070234751372826</v>
      </c>
      <c r="P2048">
        <v>1.2662397883432762E-2</v>
      </c>
      <c r="Q2048">
        <v>1.5302763908634613E-3</v>
      </c>
      <c r="R2048">
        <v>3.5285408207587428E-3</v>
      </c>
      <c r="S2048">
        <v>0.346828448641744</v>
      </c>
      <c r="T2048">
        <v>0.38925954971962934</v>
      </c>
      <c r="U2048">
        <v>0</v>
      </c>
      <c r="V2048">
        <v>0.19345630793257118</v>
      </c>
      <c r="W2048">
        <v>0.21264583084235142</v>
      </c>
      <c r="X2048">
        <v>5.082298987303429E-2</v>
      </c>
      <c r="Y2048">
        <v>9.6035249309363493E-3</v>
      </c>
    </row>
    <row r="2049" spans="1:25" x14ac:dyDescent="0.25">
      <c r="A2049" s="1083"/>
      <c r="B2049" s="1455">
        <v>1799</v>
      </c>
      <c r="C2049" s="1087">
        <v>0.97519544326778318</v>
      </c>
      <c r="D2049" s="1087">
        <v>0.97988808015509377</v>
      </c>
      <c r="E2049" s="1087">
        <v>1.0005581538269708</v>
      </c>
      <c r="F2049" s="1087">
        <v>0.98600496680027849</v>
      </c>
      <c r="G2049" s="1087">
        <v>0.98236918535481077</v>
      </c>
      <c r="H2049" s="1087">
        <v>0.96325984088751693</v>
      </c>
      <c r="I2049" s="1087">
        <v>1.039569926968793</v>
      </c>
      <c r="K2049">
        <v>1.8710746377408949</v>
      </c>
      <c r="L2049">
        <v>0</v>
      </c>
      <c r="M2049">
        <v>3.6272657875705957E-3</v>
      </c>
      <c r="N2049">
        <v>0.34498123998846003</v>
      </c>
      <c r="O2049">
        <v>0.24208874021219309</v>
      </c>
      <c r="P2049">
        <v>1.3457099003934903E-2</v>
      </c>
      <c r="Q2049">
        <v>1.6382106589095669E-3</v>
      </c>
      <c r="R2049">
        <v>3.6208119521034263E-3</v>
      </c>
      <c r="S2049">
        <v>0.38647180196604325</v>
      </c>
      <c r="T2049">
        <v>0.39706134975497254</v>
      </c>
      <c r="U2049">
        <v>0</v>
      </c>
      <c r="V2049">
        <v>0.20232018493560333</v>
      </c>
      <c r="W2049">
        <v>0.21966860122418386</v>
      </c>
      <c r="X2049">
        <v>5.3539207298773657E-2</v>
      </c>
      <c r="Y2049">
        <v>9.8546565332863021E-3</v>
      </c>
    </row>
    <row r="2050" spans="1:25" x14ac:dyDescent="0.25">
      <c r="A2050" s="1083"/>
      <c r="B2050" s="1455">
        <v>1800</v>
      </c>
      <c r="C2050" s="1087">
        <v>0.99953211557906396</v>
      </c>
      <c r="D2050" s="1087">
        <v>1.0013007742588398</v>
      </c>
      <c r="E2050" s="1087">
        <v>1.0277901431994898</v>
      </c>
      <c r="F2050" s="1087">
        <v>1.0086548301107618</v>
      </c>
      <c r="G2050" s="1087">
        <v>1.0078700383123544</v>
      </c>
      <c r="H2050" s="1087">
        <v>1.0276651895144566</v>
      </c>
      <c r="I2050" s="1087">
        <v>0.98745367597591605</v>
      </c>
      <c r="K2050">
        <v>1.8867420264395012</v>
      </c>
      <c r="L2050">
        <v>0</v>
      </c>
      <c r="M2050">
        <v>3.5298808812278641E-3</v>
      </c>
      <c r="N2050">
        <v>0.36481845608970315</v>
      </c>
      <c r="O2050">
        <v>0.24008805656568921</v>
      </c>
      <c r="P2050">
        <v>1.3547481463545737E-2</v>
      </c>
      <c r="Q2050">
        <v>1.6308724865911745E-3</v>
      </c>
      <c r="R2050">
        <v>3.5239773408151411E-3</v>
      </c>
      <c r="S2050">
        <v>0.3657749350418093</v>
      </c>
      <c r="T2050">
        <v>0.4063504745463572</v>
      </c>
      <c r="U2050">
        <v>0</v>
      </c>
      <c r="V2050">
        <v>0.20065581114975564</v>
      </c>
      <c r="W2050">
        <v>0.22842192443583156</v>
      </c>
      <c r="X2050">
        <v>5.586881355775028E-2</v>
      </c>
      <c r="Y2050">
        <v>9.5911046428806216E-3</v>
      </c>
    </row>
    <row r="2051" spans="1:25" x14ac:dyDescent="0.25">
      <c r="A2051" s="1083"/>
      <c r="B2051" s="1455">
        <v>1801</v>
      </c>
      <c r="C2051" s="1087">
        <v>0.9947135232880332</v>
      </c>
      <c r="D2051" s="1087">
        <v>0.99309396531535787</v>
      </c>
      <c r="E2051" s="1087">
        <v>0.98029277595383235</v>
      </c>
      <c r="F2051" s="1087">
        <v>0.98965283147222916</v>
      </c>
      <c r="G2051" s="1087">
        <v>1.0146883161983709</v>
      </c>
      <c r="H2051" s="1087">
        <v>1.0355705001503985</v>
      </c>
      <c r="I2051" s="1087">
        <v>1.0036918767063994</v>
      </c>
      <c r="K2051">
        <v>1.8714164696623057</v>
      </c>
      <c r="L2051">
        <v>0</v>
      </c>
      <c r="M2051">
        <v>3.9566475161221032E-3</v>
      </c>
      <c r="N2051">
        <v>0.35376847876697076</v>
      </c>
      <c r="O2051">
        <v>0.23855434445228871</v>
      </c>
      <c r="P2051">
        <v>1.3097999695700864E-2</v>
      </c>
      <c r="Q2051">
        <v>1.5631940623340259E-3</v>
      </c>
      <c r="R2051">
        <v>3.9500881509845834E-3</v>
      </c>
      <c r="S2051">
        <v>0.37618466043573273</v>
      </c>
      <c r="T2051">
        <v>0.39840964728926848</v>
      </c>
      <c r="U2051">
        <v>0</v>
      </c>
      <c r="V2051">
        <v>0.19968668048100099</v>
      </c>
      <c r="W2051">
        <v>0.22815534903308993</v>
      </c>
      <c r="X2051">
        <v>5.1251837010282318E-2</v>
      </c>
      <c r="Y2051">
        <v>1.0750837800771023E-2</v>
      </c>
    </row>
    <row r="2052" spans="1:25" x14ac:dyDescent="0.25">
      <c r="A2052" s="1083"/>
      <c r="B2052" s="1455">
        <v>1802</v>
      </c>
      <c r="C2052" s="1087">
        <v>1.0031070925694678</v>
      </c>
      <c r="D2052" s="1087">
        <v>1.0034160154257956</v>
      </c>
      <c r="E2052" s="1087">
        <v>0.99208129990098382</v>
      </c>
      <c r="F2052" s="1087">
        <v>0.96329973782321809</v>
      </c>
      <c r="G2052" s="1087">
        <v>0.99787880686049235</v>
      </c>
      <c r="H2052" s="1087">
        <v>1.0250484840954384</v>
      </c>
      <c r="I2052" s="1087">
        <v>1.0177740183522663</v>
      </c>
      <c r="K2052">
        <v>1.8409211913126342</v>
      </c>
      <c r="L2052">
        <v>0</v>
      </c>
      <c r="M2052">
        <v>3.769947812947701E-3</v>
      </c>
      <c r="N2052">
        <v>0.34942830693876753</v>
      </c>
      <c r="O2052">
        <v>0.23354907274858744</v>
      </c>
      <c r="P2052">
        <v>1.2996954899726245E-2</v>
      </c>
      <c r="Q2052">
        <v>1.5633706102086363E-3</v>
      </c>
      <c r="R2052">
        <v>3.7636241806082785E-3</v>
      </c>
      <c r="S2052">
        <v>0.37430445356218328</v>
      </c>
      <c r="T2052">
        <v>0.38786867188125856</v>
      </c>
      <c r="U2052">
        <v>0</v>
      </c>
      <c r="V2052">
        <v>0.19602674440878035</v>
      </c>
      <c r="W2052">
        <v>0.2236851884013619</v>
      </c>
      <c r="X2052">
        <v>5.1261407152859956E-2</v>
      </c>
      <c r="Y2052">
        <v>1.0243344341238034E-2</v>
      </c>
    </row>
    <row r="2053" spans="1:25" x14ac:dyDescent="0.25">
      <c r="A2053" s="1083"/>
      <c r="B2053" s="1455">
        <v>1803</v>
      </c>
      <c r="C2053" s="1087">
        <v>0.97574542303893108</v>
      </c>
      <c r="D2053" s="1087">
        <v>1.0019540468616068</v>
      </c>
      <c r="E2053" s="1087">
        <v>1.0281001233546179</v>
      </c>
      <c r="F2053" s="1087">
        <v>0.99975087073217306</v>
      </c>
      <c r="G2053" s="1087">
        <v>0.98545270255146988</v>
      </c>
      <c r="H2053" s="1087">
        <v>1.0161815759593993</v>
      </c>
      <c r="I2053" s="1087">
        <v>1.0127782318833551</v>
      </c>
      <c r="K2053">
        <v>1.9115180783908028</v>
      </c>
      <c r="L2053">
        <v>0</v>
      </c>
      <c r="M2053">
        <v>3.5720537417616403E-3</v>
      </c>
      <c r="N2053">
        <v>0.36951872437035599</v>
      </c>
      <c r="O2053">
        <v>0.24191048828722905</v>
      </c>
      <c r="P2053">
        <v>1.3751937573437319E-2</v>
      </c>
      <c r="Q2053">
        <v>1.6707379458023009E-3</v>
      </c>
      <c r="R2053">
        <v>3.5660117113070879E-3</v>
      </c>
      <c r="S2053">
        <v>0.38200791361603487</v>
      </c>
      <c r="T2053">
        <v>0.40276530646478104</v>
      </c>
      <c r="U2053">
        <v>0</v>
      </c>
      <c r="V2053">
        <v>0.2024642645865084</v>
      </c>
      <c r="W2053">
        <v>0.2313210013745505</v>
      </c>
      <c r="X2053">
        <v>5.6408237859824226E-2</v>
      </c>
      <c r="Y2053">
        <v>9.7055083427331906E-3</v>
      </c>
    </row>
    <row r="2054" spans="1:25" x14ac:dyDescent="0.25">
      <c r="A2054" s="1083"/>
      <c r="B2054" s="1455">
        <v>1804</v>
      </c>
      <c r="C2054" s="1087">
        <v>1.0256217676313271</v>
      </c>
      <c r="D2054" s="1087">
        <v>1.0097309385127653</v>
      </c>
      <c r="E2054" s="1087">
        <v>0.97485443564757979</v>
      </c>
      <c r="F2054" s="1087">
        <v>1.0246508660522966</v>
      </c>
      <c r="G2054" s="1087">
        <v>1.0419990160384132</v>
      </c>
      <c r="H2054" s="1087">
        <v>0.9889189784559177</v>
      </c>
      <c r="I2054" s="1087">
        <v>1.0093771783506023</v>
      </c>
      <c r="K2054">
        <v>1.8093652660288446</v>
      </c>
      <c r="L2054">
        <v>0</v>
      </c>
      <c r="M2054">
        <v>3.6709594467904914E-3</v>
      </c>
      <c r="N2054">
        <v>0.32278688148348533</v>
      </c>
      <c r="O2054">
        <v>0.2371467188879402</v>
      </c>
      <c r="P2054">
        <v>1.2934150310795983E-2</v>
      </c>
      <c r="Q2054">
        <v>1.4972399381805843E-3</v>
      </c>
      <c r="R2054">
        <v>3.6645694521924943E-3</v>
      </c>
      <c r="S2054">
        <v>0.35515414541782447</v>
      </c>
      <c r="T2054">
        <v>0.41246576823363135</v>
      </c>
      <c r="U2054">
        <v>0</v>
      </c>
      <c r="V2054">
        <v>0.19846620012385421</v>
      </c>
      <c r="W2054">
        <v>0.20889512386195017</v>
      </c>
      <c r="X2054">
        <v>5.0051677741906712E-2</v>
      </c>
      <c r="Y2054">
        <v>9.9737500238727163E-3</v>
      </c>
    </row>
    <row r="2055" spans="1:25" x14ac:dyDescent="0.25">
      <c r="A2055" s="1083"/>
      <c r="B2055" s="1455">
        <v>1805</v>
      </c>
      <c r="C2055" s="1087">
        <v>1.0083167865792531</v>
      </c>
      <c r="D2055" s="1087">
        <v>0.98969350518055588</v>
      </c>
      <c r="E2055" s="1087">
        <v>1.0177695606835</v>
      </c>
      <c r="F2055" s="1087">
        <v>1.008677107644373</v>
      </c>
      <c r="G2055" s="1087">
        <v>0.99885373114119713</v>
      </c>
      <c r="H2055" s="1087">
        <v>1.0288232056528708</v>
      </c>
      <c r="I2055" s="1087">
        <v>0.98622374999896811</v>
      </c>
      <c r="K2055">
        <v>1.8788650867264578</v>
      </c>
      <c r="L2055">
        <v>0</v>
      </c>
      <c r="M2055">
        <v>3.5984408102690134E-3</v>
      </c>
      <c r="N2055">
        <v>0.36072358697528228</v>
      </c>
      <c r="O2055">
        <v>0.24004676962264865</v>
      </c>
      <c r="P2055">
        <v>1.3426120287180758E-2</v>
      </c>
      <c r="Q2055">
        <v>1.6071712156692105E-3</v>
      </c>
      <c r="R2055">
        <v>3.5924391547140565E-3</v>
      </c>
      <c r="S2055">
        <v>0.36457291309762346</v>
      </c>
      <c r="T2055">
        <v>0.4062972277263705</v>
      </c>
      <c r="U2055">
        <v>0</v>
      </c>
      <c r="V2055">
        <v>0.20027977586734658</v>
      </c>
      <c r="W2055">
        <v>0.22725247258217821</v>
      </c>
      <c r="X2055">
        <v>5.4887615875830173E-2</v>
      </c>
      <c r="Y2055">
        <v>9.777435131882584E-3</v>
      </c>
    </row>
    <row r="2056" spans="1:25" x14ac:dyDescent="0.25">
      <c r="A2056" s="1083"/>
      <c r="B2056" s="1455">
        <v>1806</v>
      </c>
      <c r="C2056" s="1087">
        <v>0.99524800998022822</v>
      </c>
      <c r="D2056" s="1087">
        <v>0.97140245931783653</v>
      </c>
      <c r="E2056" s="1087">
        <v>1.0086021442554429</v>
      </c>
      <c r="F2056" s="1087">
        <v>0.98460546030469565</v>
      </c>
      <c r="G2056" s="1087">
        <v>0.95746303288591827</v>
      </c>
      <c r="H2056" s="1087">
        <v>0.98898045587405203</v>
      </c>
      <c r="I2056" s="1087">
        <v>0.97533107659912432</v>
      </c>
      <c r="K2056">
        <v>1.8520630933022979</v>
      </c>
      <c r="L2056">
        <v>0</v>
      </c>
      <c r="M2056">
        <v>3.6066191115707393E-3</v>
      </c>
      <c r="N2056">
        <v>0.35155629831528412</v>
      </c>
      <c r="O2056">
        <v>0.24044447962969581</v>
      </c>
      <c r="P2056">
        <v>1.3166345709808461E-2</v>
      </c>
      <c r="Q2056">
        <v>1.6246310787507575E-3</v>
      </c>
      <c r="R2056">
        <v>3.6003769063793112E-3</v>
      </c>
      <c r="S2056">
        <v>0.36175181580003157</v>
      </c>
      <c r="T2056">
        <v>0.39654591788858295</v>
      </c>
      <c r="U2056">
        <v>0</v>
      </c>
      <c r="V2056">
        <v>0.20051479742025907</v>
      </c>
      <c r="W2056">
        <v>0.22273686085383648</v>
      </c>
      <c r="X2056">
        <v>5.392914973600095E-2</v>
      </c>
      <c r="Y2056">
        <v>9.7990390752362745E-3</v>
      </c>
    </row>
    <row r="2057" spans="1:25" x14ac:dyDescent="0.25">
      <c r="A2057" s="1083"/>
      <c r="B2057" s="1455">
        <v>1807</v>
      </c>
      <c r="C2057" s="1087">
        <v>1.0127663459557292</v>
      </c>
      <c r="D2057" s="1087">
        <v>1.000786428256071</v>
      </c>
      <c r="E2057" s="1087">
        <v>1.0198430521777011</v>
      </c>
      <c r="F2057" s="1087">
        <v>0.99355800138940575</v>
      </c>
      <c r="G2057" s="1087">
        <v>0.99214131709989817</v>
      </c>
      <c r="H2057" s="1087">
        <v>1.0028065920202311</v>
      </c>
      <c r="I2057" s="1087">
        <v>0.99739486478593598</v>
      </c>
      <c r="K2057">
        <v>1.8414300091679843</v>
      </c>
      <c r="L2057">
        <v>0</v>
      </c>
      <c r="M2057">
        <v>3.4562479819236361E-3</v>
      </c>
      <c r="N2057">
        <v>0.34864975668048642</v>
      </c>
      <c r="O2057">
        <v>0.23666518616321244</v>
      </c>
      <c r="P2057">
        <v>1.3269330853681864E-2</v>
      </c>
      <c r="Q2057">
        <v>1.5964815516170902E-3</v>
      </c>
      <c r="R2057">
        <v>3.4503245261665559E-3</v>
      </c>
      <c r="S2057">
        <v>0.36019433754536073</v>
      </c>
      <c r="T2057">
        <v>0.40021986818050104</v>
      </c>
      <c r="U2057">
        <v>0</v>
      </c>
      <c r="V2057">
        <v>0.19793670047121847</v>
      </c>
      <c r="W2057">
        <v>0.21936567468589499</v>
      </c>
      <c r="X2057">
        <v>5.4147950530716304E-2</v>
      </c>
      <c r="Y2057">
        <v>9.390645961050997E-3</v>
      </c>
    </row>
    <row r="2058" spans="1:25" x14ac:dyDescent="0.25">
      <c r="A2058" s="1083"/>
      <c r="B2058" s="1455">
        <v>1808</v>
      </c>
      <c r="C2058" s="1087">
        <v>1.0152194501673724</v>
      </c>
      <c r="D2058" s="1087">
        <v>0.9952061880943659</v>
      </c>
      <c r="E2058" s="1087">
        <v>0.97582459026387913</v>
      </c>
      <c r="F2058" s="1087">
        <v>0.99836320447049165</v>
      </c>
      <c r="G2058" s="1087">
        <v>1.0293910560496409</v>
      </c>
      <c r="H2058" s="1087">
        <v>1.0069010109821341</v>
      </c>
      <c r="I2058" s="1087">
        <v>0.98328097602918207</v>
      </c>
      <c r="K2058">
        <v>1.8191036181445051</v>
      </c>
      <c r="L2058">
        <v>0</v>
      </c>
      <c r="M2058">
        <v>3.7994867099877499E-3</v>
      </c>
      <c r="N2058">
        <v>0.3350924221340893</v>
      </c>
      <c r="O2058">
        <v>0.23685482070271541</v>
      </c>
      <c r="P2058">
        <v>1.2802941780257765E-2</v>
      </c>
      <c r="Q2058">
        <v>1.5229669641051624E-3</v>
      </c>
      <c r="R2058">
        <v>3.7930065405938629E-3</v>
      </c>
      <c r="S2058">
        <v>0.35556775174005245</v>
      </c>
      <c r="T2058">
        <v>0.40188962516719245</v>
      </c>
      <c r="U2058">
        <v>0</v>
      </c>
      <c r="V2058">
        <v>0.1981199440035786</v>
      </c>
      <c r="W2058">
        <v>0.21672491015855724</v>
      </c>
      <c r="X2058">
        <v>5.0211402224124263E-2</v>
      </c>
      <c r="Y2058">
        <v>1.032331343922643E-2</v>
      </c>
    </row>
    <row r="2059" spans="1:25" x14ac:dyDescent="0.25">
      <c r="A2059" s="1083"/>
      <c r="B2059" s="1455">
        <v>1809</v>
      </c>
      <c r="C2059" s="1087">
        <v>1.0257992627213863</v>
      </c>
      <c r="D2059" s="1087">
        <v>0.98754603554689546</v>
      </c>
      <c r="E2059" s="1087">
        <v>1.0069748028632712</v>
      </c>
      <c r="F2059" s="1087">
        <v>0.97045850376395704</v>
      </c>
      <c r="G2059" s="1087">
        <v>0.99022451721346683</v>
      </c>
      <c r="H2059" s="1087">
        <v>0.95885570393179564</v>
      </c>
      <c r="I2059" s="1087">
        <v>1.0073858461610878</v>
      </c>
      <c r="K2059">
        <v>1.7837665117077157</v>
      </c>
      <c r="L2059">
        <v>0</v>
      </c>
      <c r="M2059">
        <v>3.3740206730771671E-3</v>
      </c>
      <c r="N2059">
        <v>0.32723624624952974</v>
      </c>
      <c r="O2059">
        <v>0.2335222808151329</v>
      </c>
      <c r="P2059">
        <v>1.2890456616238232E-2</v>
      </c>
      <c r="Q2059">
        <v>1.5631849447613113E-3</v>
      </c>
      <c r="R2059">
        <v>3.3679840905419338E-3</v>
      </c>
      <c r="S2059">
        <v>0.35380205580384672</v>
      </c>
      <c r="T2059">
        <v>0.39083866582550197</v>
      </c>
      <c r="U2059">
        <v>0</v>
      </c>
      <c r="V2059">
        <v>0.19521279330692726</v>
      </c>
      <c r="W2059">
        <v>0.20753799999528802</v>
      </c>
      <c r="X2059">
        <v>5.200232229422691E-2</v>
      </c>
      <c r="Y2059">
        <v>9.1665424387980844E-3</v>
      </c>
    </row>
    <row r="2060" spans="1:25" x14ac:dyDescent="0.25">
      <c r="A2060" s="1083"/>
      <c r="B2060" s="1455">
        <v>1810</v>
      </c>
      <c r="C2060" s="1087">
        <v>0.99236037747967809</v>
      </c>
      <c r="D2060" s="1087">
        <v>0.97081611546986146</v>
      </c>
      <c r="E2060" s="1087">
        <v>1.0232335535622734</v>
      </c>
      <c r="F2060" s="1087">
        <v>1.0016955101255269</v>
      </c>
      <c r="G2060" s="1087">
        <v>1.0456229669300821</v>
      </c>
      <c r="H2060" s="1087">
        <v>1.0239717320521962</v>
      </c>
      <c r="I2060" s="1087">
        <v>1.0343419984147904</v>
      </c>
      <c r="K2060">
        <v>1.925883889721353</v>
      </c>
      <c r="L2060">
        <v>0</v>
      </c>
      <c r="M2060">
        <v>3.6359919509911342E-3</v>
      </c>
      <c r="N2060">
        <v>0.37060595084676973</v>
      </c>
      <c r="O2060">
        <v>0.24315450841923883</v>
      </c>
      <c r="P2060">
        <v>1.3849630413279483E-2</v>
      </c>
      <c r="Q2060">
        <v>1.6551495292263982E-3</v>
      </c>
      <c r="R2060">
        <v>3.629915153832603E-3</v>
      </c>
      <c r="S2060">
        <v>0.39181009975328401</v>
      </c>
      <c r="T2060">
        <v>0.40351866671714132</v>
      </c>
      <c r="U2060">
        <v>0</v>
      </c>
      <c r="V2060">
        <v>0.20245301275369826</v>
      </c>
      <c r="W2060">
        <v>0.23269465400160641</v>
      </c>
      <c r="X2060">
        <v>5.6268861636743273E-2</v>
      </c>
      <c r="Y2060">
        <v>9.8794324475234788E-3</v>
      </c>
    </row>
    <row r="2061" spans="1:25" x14ac:dyDescent="0.25">
      <c r="A2061" s="1083"/>
      <c r="B2061" s="1455">
        <v>1811</v>
      </c>
      <c r="C2061" s="1087">
        <v>0.98455544947271878</v>
      </c>
      <c r="D2061" s="1087">
        <v>0.99542475766001537</v>
      </c>
      <c r="E2061" s="1087">
        <v>1.0028150144471237</v>
      </c>
      <c r="F2061" s="1087">
        <v>0.9898295823752441</v>
      </c>
      <c r="G2061" s="1087">
        <v>0.95832150177918451</v>
      </c>
      <c r="H2061" s="1087">
        <v>0.99933215318632629</v>
      </c>
      <c r="I2061" s="1087">
        <v>0.99603217336592542</v>
      </c>
      <c r="K2061">
        <v>1.8643199484008053</v>
      </c>
      <c r="L2061">
        <v>0</v>
      </c>
      <c r="M2061">
        <v>3.6794136954781858E-3</v>
      </c>
      <c r="N2061">
        <v>0.35238050324374998</v>
      </c>
      <c r="O2061">
        <v>0.23990195080023005</v>
      </c>
      <c r="P2061">
        <v>1.3258868745352122E-2</v>
      </c>
      <c r="Q2061">
        <v>1.6163371352786345E-3</v>
      </c>
      <c r="R2061">
        <v>3.6730905795696548E-3</v>
      </c>
      <c r="S2061">
        <v>0.37027268694486032</v>
      </c>
      <c r="T2061">
        <v>0.39861506323514007</v>
      </c>
      <c r="U2061">
        <v>0</v>
      </c>
      <c r="V2061">
        <v>0.20081508150730962</v>
      </c>
      <c r="W2061">
        <v>0.22406433729931821</v>
      </c>
      <c r="X2061">
        <v>5.3404500881868912E-2</v>
      </c>
      <c r="Y2061">
        <v>9.9969417236044633E-3</v>
      </c>
    </row>
    <row r="2062" spans="1:25" x14ac:dyDescent="0.25">
      <c r="A2062" s="1083"/>
      <c r="B2062" s="1455">
        <v>1812</v>
      </c>
      <c r="C2062" s="1087">
        <v>1.0261133367144941</v>
      </c>
      <c r="D2062" s="1087">
        <v>1.0111921644579893</v>
      </c>
      <c r="E2062" s="1087">
        <v>1.0027844115918703</v>
      </c>
      <c r="F2062" s="1087">
        <v>0.99438843818861422</v>
      </c>
      <c r="G2062" s="1087">
        <v>1.0002999997476145</v>
      </c>
      <c r="H2062" s="1087">
        <v>1.0161804497520133</v>
      </c>
      <c r="I2062" s="1087">
        <v>0.99323083869615281</v>
      </c>
      <c r="K2062">
        <v>1.8183112365337475</v>
      </c>
      <c r="L2062">
        <v>0</v>
      </c>
      <c r="M2062">
        <v>3.5593845603206372E-3</v>
      </c>
      <c r="N2062">
        <v>0.34086177550306412</v>
      </c>
      <c r="O2062">
        <v>0.2339192988629637</v>
      </c>
      <c r="P2062">
        <v>1.2996692291319549E-2</v>
      </c>
      <c r="Q2062">
        <v>1.5411061522472959E-3</v>
      </c>
      <c r="R2062">
        <v>3.5533551743473272E-3</v>
      </c>
      <c r="S2062">
        <v>0.35412952424511757</v>
      </c>
      <c r="T2062">
        <v>0.4004507789540897</v>
      </c>
      <c r="U2062">
        <v>0</v>
      </c>
      <c r="V2062">
        <v>0.19597191161338268</v>
      </c>
      <c r="W2062">
        <v>0.21674418553537844</v>
      </c>
      <c r="X2062">
        <v>5.2030931340804089E-2</v>
      </c>
      <c r="Y2062">
        <v>9.6710614213550098E-3</v>
      </c>
    </row>
    <row r="2063" spans="1:25" x14ac:dyDescent="0.25">
      <c r="A2063" s="1083"/>
      <c r="B2063" s="1455">
        <v>1813</v>
      </c>
      <c r="C2063" s="1087">
        <v>0.99514060963181072</v>
      </c>
      <c r="D2063" s="1087">
        <v>0.98440140670376119</v>
      </c>
      <c r="E2063" s="1087">
        <v>0.99645403156472767</v>
      </c>
      <c r="F2063" s="1087">
        <v>0.9590720057708656</v>
      </c>
      <c r="G2063" s="1087">
        <v>1.0121509552595571</v>
      </c>
      <c r="H2063" s="1087">
        <v>1.035451835800465</v>
      </c>
      <c r="I2063" s="1087">
        <v>1.0321753033742584</v>
      </c>
      <c r="K2063">
        <v>1.8773154534458969</v>
      </c>
      <c r="L2063">
        <v>0</v>
      </c>
      <c r="M2063">
        <v>3.8432612283253323E-3</v>
      </c>
      <c r="N2063">
        <v>0.36101854984446002</v>
      </c>
      <c r="O2063">
        <v>0.23585363285371552</v>
      </c>
      <c r="P2063">
        <v>1.3232785847893017E-2</v>
      </c>
      <c r="Q2063">
        <v>1.5954305824876975E-3</v>
      </c>
      <c r="R2063">
        <v>3.8368951510557299E-3</v>
      </c>
      <c r="S2063">
        <v>0.3887014648886592</v>
      </c>
      <c r="T2063">
        <v>0.38619169977542506</v>
      </c>
      <c r="U2063">
        <v>0</v>
      </c>
      <c r="V2063">
        <v>0.19750027137156131</v>
      </c>
      <c r="W2063">
        <v>0.23047135665962798</v>
      </c>
      <c r="X2063">
        <v>5.2313863930309158E-2</v>
      </c>
      <c r="Y2063">
        <v>1.0442763769027084E-2</v>
      </c>
    </row>
    <row r="2064" spans="1:25" x14ac:dyDescent="0.25">
      <c r="A2064" s="1083"/>
      <c r="B2064" s="1455">
        <v>1814</v>
      </c>
      <c r="C2064" s="1087">
        <v>1.0239577232721733</v>
      </c>
      <c r="D2064" s="1087">
        <v>0.98897635919851579</v>
      </c>
      <c r="E2064" s="1087">
        <v>0.98304856038549759</v>
      </c>
      <c r="F2064" s="1087">
        <v>1.0292927388056237</v>
      </c>
      <c r="G2064" s="1087">
        <v>0.98518441727972239</v>
      </c>
      <c r="H2064" s="1087">
        <v>1.0235770026042641</v>
      </c>
      <c r="I2064" s="1087">
        <v>0.99651483649178663</v>
      </c>
      <c r="K2064">
        <v>1.8538523218180372</v>
      </c>
      <c r="L2064">
        <v>0</v>
      </c>
      <c r="M2064">
        <v>3.7856820958722106E-3</v>
      </c>
      <c r="N2064">
        <v>0.34133827388558075</v>
      </c>
      <c r="O2064">
        <v>0.24010981176867602</v>
      </c>
      <c r="P2064">
        <v>1.3150208235158689E-2</v>
      </c>
      <c r="Q2064">
        <v>1.5255910853320363E-3</v>
      </c>
      <c r="R2064">
        <v>3.7793352413427418E-3</v>
      </c>
      <c r="S2064">
        <v>0.36153556239276258</v>
      </c>
      <c r="T2064">
        <v>0.41438464976751815</v>
      </c>
      <c r="U2064">
        <v>0</v>
      </c>
      <c r="V2064">
        <v>0.20020720153616825</v>
      </c>
      <c r="W2064">
        <v>0.21975476626142576</v>
      </c>
      <c r="X2064">
        <v>5.1566499070537918E-2</v>
      </c>
      <c r="Y2064">
        <v>1.0286104669407464E-2</v>
      </c>
    </row>
    <row r="2065" spans="1:25" x14ac:dyDescent="0.25">
      <c r="A2065" s="1083"/>
      <c r="B2065" s="1455">
        <v>1815</v>
      </c>
      <c r="C2065" s="1087">
        <v>0.99950400091377289</v>
      </c>
      <c r="D2065" s="1087">
        <v>0.98677419323059234</v>
      </c>
      <c r="E2065" s="1087">
        <v>0.99810730682164017</v>
      </c>
      <c r="F2065" s="1087">
        <v>1.0080554448594605</v>
      </c>
      <c r="G2065" s="1087">
        <v>0.97844042683855093</v>
      </c>
      <c r="H2065" s="1087">
        <v>0.95514140023195815</v>
      </c>
      <c r="I2065" s="1087">
        <v>0.97350882899336322</v>
      </c>
      <c r="K2065">
        <v>1.8187514521553796</v>
      </c>
      <c r="L2065">
        <v>0</v>
      </c>
      <c r="M2065">
        <v>3.5143656499981774E-3</v>
      </c>
      <c r="N2065">
        <v>0.33174740510563694</v>
      </c>
      <c r="O2065">
        <v>0.24105240486582874</v>
      </c>
      <c r="P2065">
        <v>1.3045376549465202E-2</v>
      </c>
      <c r="Q2065">
        <v>1.5897387900453018E-3</v>
      </c>
      <c r="R2065">
        <v>3.5080548341062698E-3</v>
      </c>
      <c r="S2065">
        <v>0.35030955739700925</v>
      </c>
      <c r="T2065">
        <v>0.4059260509053908</v>
      </c>
      <c r="U2065">
        <v>0</v>
      </c>
      <c r="V2065">
        <v>0.20120894801204875</v>
      </c>
      <c r="W2065">
        <v>0.21156578255846067</v>
      </c>
      <c r="X2065">
        <v>5.2764729958912737E-2</v>
      </c>
      <c r="Y2065">
        <v>9.547768828472001E-3</v>
      </c>
    </row>
    <row r="2066" spans="1:25" x14ac:dyDescent="0.25">
      <c r="A2066" s="1083"/>
      <c r="B2066" s="1455">
        <v>1816</v>
      </c>
      <c r="C2066" s="1087">
        <v>1.0039969011099392</v>
      </c>
      <c r="D2066" s="1087">
        <v>0.99857988043425105</v>
      </c>
      <c r="E2066" s="1087">
        <v>1.0007444066054778</v>
      </c>
      <c r="F2066" s="1087">
        <v>0.98925250599645853</v>
      </c>
      <c r="G2066" s="1087">
        <v>0.98313680945701165</v>
      </c>
      <c r="H2066" s="1087">
        <v>1.0007859807973623</v>
      </c>
      <c r="I2066" s="1087">
        <v>1.0327756677407853</v>
      </c>
      <c r="K2066">
        <v>1.8516625744405506</v>
      </c>
      <c r="L2066">
        <v>0</v>
      </c>
      <c r="M2066">
        <v>3.6226454053711831E-3</v>
      </c>
      <c r="N2066">
        <v>0.34475927656659905</v>
      </c>
      <c r="O2066">
        <v>0.23714137442788275</v>
      </c>
      <c r="P2066">
        <v>1.3282792332307353E-2</v>
      </c>
      <c r="Q2066">
        <v>1.5795474161496665E-3</v>
      </c>
      <c r="R2066">
        <v>3.6164262820542335E-3</v>
      </c>
      <c r="S2066">
        <v>0.37608979025694345</v>
      </c>
      <c r="T2066">
        <v>0.3983702413267376</v>
      </c>
      <c r="U2066">
        <v>0</v>
      </c>
      <c r="V2066">
        <v>0.1984903300702765</v>
      </c>
      <c r="W2066">
        <v>0.21950173138588736</v>
      </c>
      <c r="X2066">
        <v>5.2610989595935291E-2</v>
      </c>
      <c r="Y2066">
        <v>9.8427201851481443E-3</v>
      </c>
    </row>
    <row r="2067" spans="1:25" x14ac:dyDescent="0.25">
      <c r="A2067" s="1083"/>
      <c r="B2067" s="1455">
        <v>1817</v>
      </c>
      <c r="C2067" s="1087">
        <v>0.98281662545062443</v>
      </c>
      <c r="D2067" s="1087">
        <v>1.0322906766636766</v>
      </c>
      <c r="E2067" s="1087">
        <v>1.0148581071987848</v>
      </c>
      <c r="F2067" s="1087">
        <v>0.99605540332374087</v>
      </c>
      <c r="G2067" s="1087">
        <v>1.0030702120064279</v>
      </c>
      <c r="H2067" s="1087">
        <v>1.0016776233391746</v>
      </c>
      <c r="I2067" s="1087">
        <v>0.9954410167340253</v>
      </c>
      <c r="K2067">
        <v>1.8535517700492763</v>
      </c>
      <c r="L2067">
        <v>0</v>
      </c>
      <c r="M2067">
        <v>3.5347448086479904E-3</v>
      </c>
      <c r="N2067">
        <v>0.35118838923060425</v>
      </c>
      <c r="O2067">
        <v>0.23743772770647484</v>
      </c>
      <c r="P2067">
        <v>1.3309892690481776E-2</v>
      </c>
      <c r="Q2067">
        <v>1.6163301735896598E-3</v>
      </c>
      <c r="R2067">
        <v>3.5286540971249721E-3</v>
      </c>
      <c r="S2067">
        <v>0.36390875263537592</v>
      </c>
      <c r="T2067">
        <v>0.40119540582951041</v>
      </c>
      <c r="U2067">
        <v>0</v>
      </c>
      <c r="V2067">
        <v>0.19969962624042573</v>
      </c>
      <c r="W2067">
        <v>0.22164332249456109</v>
      </c>
      <c r="X2067">
        <v>5.3954580527911987E-2</v>
      </c>
      <c r="Y2067">
        <v>9.6038332318636802E-3</v>
      </c>
    </row>
    <row r="2068" spans="1:25" x14ac:dyDescent="0.25">
      <c r="A2068" s="1083"/>
      <c r="B2068" s="1455">
        <v>1818</v>
      </c>
      <c r="C2068" s="1087">
        <v>0.99646686079059443</v>
      </c>
      <c r="D2068" s="1087">
        <v>0.96218706531331122</v>
      </c>
      <c r="E2068" s="1087">
        <v>0.97810777276938832</v>
      </c>
      <c r="F2068" s="1087">
        <v>0.99015760510344086</v>
      </c>
      <c r="G2068" s="1087">
        <v>1.001496952199568</v>
      </c>
      <c r="H2068" s="1087">
        <v>1.0033148205975655</v>
      </c>
      <c r="I2068" s="1087">
        <v>1.0339949967031796</v>
      </c>
      <c r="K2068">
        <v>1.8771424905338094</v>
      </c>
      <c r="L2068">
        <v>0</v>
      </c>
      <c r="M2068">
        <v>3.909460778715841E-3</v>
      </c>
      <c r="N2068">
        <v>0.34720693048202711</v>
      </c>
      <c r="O2068">
        <v>0.24146993264901487</v>
      </c>
      <c r="P2068">
        <v>1.3250432597417029E-2</v>
      </c>
      <c r="Q2068">
        <v>1.5765881806575879E-3</v>
      </c>
      <c r="R2068">
        <v>3.9028000158207827E-3</v>
      </c>
      <c r="S2068">
        <v>0.38746201782857764</v>
      </c>
      <c r="T2068">
        <v>0.39859994391076026</v>
      </c>
      <c r="U2068">
        <v>0</v>
      </c>
      <c r="V2068">
        <v>0.20119351108765621</v>
      </c>
      <c r="W2068">
        <v>0.22423437733702722</v>
      </c>
      <c r="X2068">
        <v>5.1533282138180626E-2</v>
      </c>
      <c r="Y2068">
        <v>1.0622135085384725E-2</v>
      </c>
    </row>
    <row r="2069" spans="1:25" x14ac:dyDescent="0.25">
      <c r="A2069" s="1083"/>
      <c r="B2069" s="1455">
        <v>1819</v>
      </c>
      <c r="C2069" s="1087">
        <v>0.99990727747205843</v>
      </c>
      <c r="D2069" s="1087">
        <v>1.0305920896583218</v>
      </c>
      <c r="E2069" s="1087">
        <v>1.0103067958367664</v>
      </c>
      <c r="F2069" s="1087">
        <v>1.0160668224500506</v>
      </c>
      <c r="G2069" s="1087">
        <v>1.0078634241744979</v>
      </c>
      <c r="H2069" s="1087">
        <v>1.0216552352576891</v>
      </c>
      <c r="I2069" s="1087">
        <v>0.9976059359391759</v>
      </c>
      <c r="K2069">
        <v>1.85977889132826</v>
      </c>
      <c r="L2069">
        <v>0</v>
      </c>
      <c r="M2069">
        <v>3.5792194608244491E-3</v>
      </c>
      <c r="N2069">
        <v>0.35071844335713392</v>
      </c>
      <c r="O2069">
        <v>0.23773268572094647</v>
      </c>
      <c r="P2069">
        <v>1.3351525948377289E-2</v>
      </c>
      <c r="Q2069">
        <v>1.5821087406775282E-3</v>
      </c>
      <c r="R2069">
        <v>3.573172766629273E-3</v>
      </c>
      <c r="S2069">
        <v>0.36225910398166711</v>
      </c>
      <c r="T2069">
        <v>0.40922742076043228</v>
      </c>
      <c r="U2069">
        <v>0</v>
      </c>
      <c r="V2069">
        <v>0.19958882653002963</v>
      </c>
      <c r="W2069">
        <v>0.22197114472853505</v>
      </c>
      <c r="X2069">
        <v>5.3628679879976514E-2</v>
      </c>
      <c r="Y2069">
        <v>9.7249983746789288E-3</v>
      </c>
    </row>
    <row r="2070" spans="1:25" x14ac:dyDescent="0.25">
      <c r="A2070" s="1083"/>
      <c r="B2070" s="1455">
        <v>1820</v>
      </c>
      <c r="C2070" s="1087">
        <v>1.0038451844992733</v>
      </c>
      <c r="D2070" s="1087">
        <v>1.0146839930070308</v>
      </c>
      <c r="E2070" s="1087">
        <v>1.0004615728910664</v>
      </c>
      <c r="F2070" s="1087">
        <v>0.99340982277303058</v>
      </c>
      <c r="G2070" s="1087">
        <v>1.0032518583639214</v>
      </c>
      <c r="H2070" s="1087">
        <v>1.0290617275231113</v>
      </c>
      <c r="I2070" s="1087">
        <v>1.0152360198474353</v>
      </c>
      <c r="K2070">
        <v>1.8583119554006315</v>
      </c>
      <c r="L2070">
        <v>0</v>
      </c>
      <c r="M2070">
        <v>3.6956147525258731E-3</v>
      </c>
      <c r="N2070">
        <v>0.35141547258784162</v>
      </c>
      <c r="O2070">
        <v>0.23606807407235936</v>
      </c>
      <c r="P2070">
        <v>1.3235696665879149E-2</v>
      </c>
      <c r="Q2070">
        <v>1.5692359663918923E-3</v>
      </c>
      <c r="R2070">
        <v>3.6894307894919627E-3</v>
      </c>
      <c r="S2070">
        <v>0.37164282929410819</v>
      </c>
      <c r="T2070">
        <v>0.40004268229433265</v>
      </c>
      <c r="U2070">
        <v>0</v>
      </c>
      <c r="V2070">
        <v>0.19802018552909703</v>
      </c>
      <c r="W2070">
        <v>0.22377913091910914</v>
      </c>
      <c r="X2070">
        <v>5.2503417646079117E-2</v>
      </c>
      <c r="Y2070">
        <v>1.0041414388464232E-2</v>
      </c>
    </row>
    <row r="2071" spans="1:25" x14ac:dyDescent="0.25">
      <c r="A2071" s="1083"/>
      <c r="B2071" s="1455">
        <v>1821</v>
      </c>
      <c r="C2071" s="1087">
        <v>1.0011670228610359</v>
      </c>
      <c r="D2071" s="1087">
        <v>1.0150483387853444</v>
      </c>
      <c r="E2071" s="1087">
        <v>0.99796073305836142</v>
      </c>
      <c r="F2071" s="1087">
        <v>0.98146201641872866</v>
      </c>
      <c r="G2071" s="1087">
        <v>0.96193952845152919</v>
      </c>
      <c r="H2071" s="1087">
        <v>0.98690504607090712</v>
      </c>
      <c r="I2071" s="1087">
        <v>0.97528742559290915</v>
      </c>
      <c r="K2071">
        <v>1.8056015564678871</v>
      </c>
      <c r="L2071">
        <v>0</v>
      </c>
      <c r="M2071">
        <v>3.5712827599346619E-3</v>
      </c>
      <c r="N2071">
        <v>0.33698662532600232</v>
      </c>
      <c r="O2071">
        <v>0.23491672353925291</v>
      </c>
      <c r="P2071">
        <v>1.2846525831760542E-2</v>
      </c>
      <c r="Q2071">
        <v>1.569019336684212E-3</v>
      </c>
      <c r="R2071">
        <v>3.5650513531127071E-3</v>
      </c>
      <c r="S2071">
        <v>0.35048860455020125</v>
      </c>
      <c r="T2071">
        <v>0.39521647844526586</v>
      </c>
      <c r="U2071">
        <v>0</v>
      </c>
      <c r="V2071">
        <v>0.19724724301564839</v>
      </c>
      <c r="W2071">
        <v>0.21492671029946608</v>
      </c>
      <c r="X2071">
        <v>5.1706962966117383E-2</v>
      </c>
      <c r="Y2071">
        <v>9.7028945643100814E-3</v>
      </c>
    </row>
    <row r="2072" spans="1:25" x14ac:dyDescent="0.25">
      <c r="A2072" s="1083"/>
      <c r="B2072" s="1455">
        <v>1822</v>
      </c>
      <c r="C2072" s="1087">
        <v>0.98420106533906471</v>
      </c>
      <c r="D2072" s="1087">
        <v>0.9812754841282969</v>
      </c>
      <c r="E2072" s="1087">
        <v>1.0031772593612067</v>
      </c>
      <c r="F2072" s="1087">
        <v>1.0161520637945234</v>
      </c>
      <c r="G2072" s="1087">
        <v>0.9958003574246338</v>
      </c>
      <c r="H2072" s="1087">
        <v>0.99909066005090508</v>
      </c>
      <c r="I2072" s="1087">
        <v>0.98765788295427703</v>
      </c>
      <c r="K2072">
        <v>1.8885680957078148</v>
      </c>
      <c r="L2072">
        <v>0</v>
      </c>
      <c r="M2072">
        <v>3.7059592931878529E-3</v>
      </c>
      <c r="N2072">
        <v>0.35531640785350815</v>
      </c>
      <c r="O2072">
        <v>0.24454200600633028</v>
      </c>
      <c r="P2072">
        <v>1.3448749263173625E-2</v>
      </c>
      <c r="Q2072">
        <v>1.6268318796662223E-3</v>
      </c>
      <c r="R2072">
        <v>3.6996022884973534E-3</v>
      </c>
      <c r="S2072">
        <v>0.37019303308203166</v>
      </c>
      <c r="T2072">
        <v>0.4092176458920701</v>
      </c>
      <c r="U2072">
        <v>0</v>
      </c>
      <c r="V2072">
        <v>0.20391563164547347</v>
      </c>
      <c r="W2072">
        <v>0.22588014271461818</v>
      </c>
      <c r="X2072">
        <v>5.4364906519906768E-2</v>
      </c>
      <c r="Y2072">
        <v>1.0069097855723158E-2</v>
      </c>
    </row>
    <row r="2073" spans="1:25" x14ac:dyDescent="0.25">
      <c r="A2073" s="1083"/>
      <c r="B2073" s="1455">
        <v>1823</v>
      </c>
      <c r="C2073" s="1087">
        <v>0.97818270560951981</v>
      </c>
      <c r="D2073" s="1087">
        <v>0.99586453591449775</v>
      </c>
      <c r="E2073" s="1087">
        <v>1.010730299677395</v>
      </c>
      <c r="F2073" s="1087">
        <v>1.0097099826362985</v>
      </c>
      <c r="G2073" s="1087">
        <v>1.0259450733370596</v>
      </c>
      <c r="H2073" s="1087">
        <v>1.0174988786002213</v>
      </c>
      <c r="I2073" s="1087">
        <v>0.99869296882045011</v>
      </c>
      <c r="K2073">
        <v>1.9046653890176335</v>
      </c>
      <c r="L2073">
        <v>0</v>
      </c>
      <c r="M2073">
        <v>3.7094912242379139E-3</v>
      </c>
      <c r="N2073">
        <v>0.36395372528678133</v>
      </c>
      <c r="O2073">
        <v>0.24315024590243003</v>
      </c>
      <c r="P2073">
        <v>1.3574961580591217E-2</v>
      </c>
      <c r="Q2073">
        <v>1.6403088168539504E-3</v>
      </c>
      <c r="R2073">
        <v>3.7032303421058767E-3</v>
      </c>
      <c r="S2073">
        <v>0.37706986415359345</v>
      </c>
      <c r="T2073">
        <v>0.4066697730663773</v>
      </c>
      <c r="U2073">
        <v>0</v>
      </c>
      <c r="V2073">
        <v>0.20327556806964076</v>
      </c>
      <c r="W2073">
        <v>0.23028734335944426</v>
      </c>
      <c r="X2073">
        <v>5.4970887442395297E-2</v>
      </c>
      <c r="Y2073">
        <v>1.0078972221658008E-2</v>
      </c>
    </row>
    <row r="2074" spans="1:25" x14ac:dyDescent="0.25">
      <c r="A2074" s="1083"/>
      <c r="B2074" s="1455">
        <v>1824</v>
      </c>
      <c r="C2074" s="1087">
        <v>0.96219691926416995</v>
      </c>
      <c r="D2074" s="1087">
        <v>1.0118431184488861</v>
      </c>
      <c r="E2074" s="1087">
        <v>1.0295732306562846</v>
      </c>
      <c r="F2074" s="1087">
        <v>1.0088128934507108</v>
      </c>
      <c r="G2074" s="1087">
        <v>0.99629753185757874</v>
      </c>
      <c r="H2074" s="1087">
        <v>1.0132158497858561</v>
      </c>
      <c r="I2074" s="1087">
        <v>0.97632101766347679</v>
      </c>
      <c r="K2074">
        <v>1.9123582940247315</v>
      </c>
      <c r="L2074">
        <v>0</v>
      </c>
      <c r="M2074">
        <v>3.5820027026128277E-3</v>
      </c>
      <c r="N2074">
        <v>0.3722112561954275</v>
      </c>
      <c r="O2074">
        <v>0.24374760430934747</v>
      </c>
      <c r="P2074">
        <v>1.3687967687286671E-2</v>
      </c>
      <c r="Q2074">
        <v>1.6902323643133801E-3</v>
      </c>
      <c r="R2074">
        <v>3.5759180630424952E-3</v>
      </c>
      <c r="S2074">
        <v>0.37090339655798987</v>
      </c>
      <c r="T2074">
        <v>0.40642527027717246</v>
      </c>
      <c r="U2074">
        <v>0</v>
      </c>
      <c r="V2074">
        <v>0.20426661422870032</v>
      </c>
      <c r="W2074">
        <v>0.23279675730352223</v>
      </c>
      <c r="X2074">
        <v>5.6902809574012482E-2</v>
      </c>
      <c r="Y2074">
        <v>9.7324701665290007E-3</v>
      </c>
    </row>
    <row r="2075" spans="1:25" x14ac:dyDescent="0.25">
      <c r="A2075" s="1083"/>
      <c r="B2075" s="1455">
        <v>1825</v>
      </c>
      <c r="C2075" s="1087">
        <v>1.0019330789285248</v>
      </c>
      <c r="D2075" s="1087">
        <v>0.98948778939892879</v>
      </c>
      <c r="E2075" s="1087">
        <v>0.98534475805410149</v>
      </c>
      <c r="F2075" s="1087">
        <v>0.98463171057985488</v>
      </c>
      <c r="G2075" s="1087">
        <v>0.99026040626403677</v>
      </c>
      <c r="H2075" s="1087">
        <v>1.0047169352150582</v>
      </c>
      <c r="I2075" s="1087">
        <v>0.9686532298854641</v>
      </c>
      <c r="K2075">
        <v>1.8280664641239786</v>
      </c>
      <c r="L2075">
        <v>0</v>
      </c>
      <c r="M2075">
        <v>3.7793684389884207E-3</v>
      </c>
      <c r="N2075">
        <v>0.3431572550155616</v>
      </c>
      <c r="O2075">
        <v>0.23751487520068337</v>
      </c>
      <c r="P2075">
        <v>1.2832558339978024E-2</v>
      </c>
      <c r="Q2075">
        <v>1.5626546080275158E-3</v>
      </c>
      <c r="R2075">
        <v>3.7729137208547718E-3</v>
      </c>
      <c r="S2075">
        <v>0.35577751298500671</v>
      </c>
      <c r="T2075">
        <v>0.39641803709216594</v>
      </c>
      <c r="U2075">
        <v>0</v>
      </c>
      <c r="V2075">
        <v>0.19869874987713959</v>
      </c>
      <c r="W2075">
        <v>0.22060530201371462</v>
      </c>
      <c r="X2075">
        <v>5.1237346302342113E-2</v>
      </c>
      <c r="Y2075">
        <v>1.0268627407492868E-2</v>
      </c>
    </row>
    <row r="2076" spans="1:25" x14ac:dyDescent="0.25">
      <c r="A2076" s="1083"/>
      <c r="B2076" s="1455">
        <v>1826</v>
      </c>
      <c r="C2076" s="1087">
        <v>0.97103301794486929</v>
      </c>
      <c r="D2076" s="1087">
        <v>0.96919227776198913</v>
      </c>
      <c r="E2076" s="1087">
        <v>1.0010545902274963</v>
      </c>
      <c r="F2076" s="1087">
        <v>0.99315233091603627</v>
      </c>
      <c r="G2076" s="1087">
        <v>1.0194444214296139</v>
      </c>
      <c r="H2076" s="1087">
        <v>1.0156646553500668</v>
      </c>
      <c r="I2076" s="1087">
        <v>1.0129019648679005</v>
      </c>
      <c r="K2076">
        <v>1.9210186690986601</v>
      </c>
      <c r="L2076">
        <v>0</v>
      </c>
      <c r="M2076">
        <v>3.8597303112729831E-3</v>
      </c>
      <c r="N2076">
        <v>0.36768168506917359</v>
      </c>
      <c r="O2076">
        <v>0.24458044126578771</v>
      </c>
      <c r="P2076">
        <v>1.3580355012412488E-2</v>
      </c>
      <c r="Q2076">
        <v>1.65334568790762E-3</v>
      </c>
      <c r="R2076">
        <v>3.8532269018655635E-3</v>
      </c>
      <c r="S2076">
        <v>0.39056515956773835</v>
      </c>
      <c r="T2076">
        <v>0.39994256173063342</v>
      </c>
      <c r="U2076">
        <v>0</v>
      </c>
      <c r="V2076">
        <v>0.20400724021875077</v>
      </c>
      <c r="W2076">
        <v>0.23405066170297573</v>
      </c>
      <c r="X2076">
        <v>5.4476508841716328E-2</v>
      </c>
      <c r="Y2076">
        <v>1.048721341097124E-2</v>
      </c>
    </row>
    <row r="2077" spans="1:25" x14ac:dyDescent="0.25">
      <c r="A2077" s="1083"/>
      <c r="B2077" s="1455">
        <v>1827</v>
      </c>
      <c r="C2077" s="1087">
        <v>1.0296167388760062</v>
      </c>
      <c r="D2077" s="1087">
        <v>1.0146887809069844</v>
      </c>
      <c r="E2077" s="1087">
        <v>1.0196472587650562</v>
      </c>
      <c r="F2077" s="1087">
        <v>0.99593342275215047</v>
      </c>
      <c r="G2077" s="1087">
        <v>0.9988119703045526</v>
      </c>
      <c r="H2077" s="1087">
        <v>1.0296512743909065</v>
      </c>
      <c r="I2077" s="1087">
        <v>0.99542310768907172</v>
      </c>
      <c r="K2077">
        <v>1.8329486086799518</v>
      </c>
      <c r="L2077">
        <v>0</v>
      </c>
      <c r="M2077">
        <v>3.4655352129757989E-3</v>
      </c>
      <c r="N2077">
        <v>0.34939249267503253</v>
      </c>
      <c r="O2077">
        <v>0.23358484186105863</v>
      </c>
      <c r="P2077">
        <v>1.3184861346027294E-2</v>
      </c>
      <c r="Q2077">
        <v>1.5613896650688661E-3</v>
      </c>
      <c r="R2077">
        <v>3.4597384345184503E-3</v>
      </c>
      <c r="S2077">
        <v>0.35555016186916388</v>
      </c>
      <c r="T2077">
        <v>0.40117552514760013</v>
      </c>
      <c r="U2077">
        <v>0</v>
      </c>
      <c r="V2077">
        <v>0.19566195415675561</v>
      </c>
      <c r="W2077">
        <v>0.21985949360782331</v>
      </c>
      <c r="X2077">
        <v>5.3567417613587617E-2</v>
      </c>
      <c r="Y2077">
        <v>9.4162675162908042E-3</v>
      </c>
    </row>
    <row r="2078" spans="1:25" x14ac:dyDescent="0.25">
      <c r="A2078" s="1083"/>
      <c r="B2078" s="1455">
        <v>1828</v>
      </c>
      <c r="C2078" s="1087">
        <v>1.0194099234676737</v>
      </c>
      <c r="D2078" s="1087">
        <v>0.99446920685921913</v>
      </c>
      <c r="E2078" s="1087">
        <v>0.99407829991711905</v>
      </c>
      <c r="F2078" s="1087">
        <v>0.95569131942163521</v>
      </c>
      <c r="G2078" s="1087">
        <v>0.99219813801309165</v>
      </c>
      <c r="H2078" s="1087">
        <v>1.0221330959679593</v>
      </c>
      <c r="I2078" s="1087">
        <v>0.98753212442775284</v>
      </c>
      <c r="K2078">
        <v>1.8104094406440983</v>
      </c>
      <c r="L2078">
        <v>0</v>
      </c>
      <c r="M2078">
        <v>3.7017647519386587E-3</v>
      </c>
      <c r="N2078">
        <v>0.34520604913995767</v>
      </c>
      <c r="O2078">
        <v>0.23162704026978756</v>
      </c>
      <c r="P2078">
        <v>1.2736737212282235E-2</v>
      </c>
      <c r="Q2078">
        <v>1.5471903122425286E-3</v>
      </c>
      <c r="R2078">
        <v>3.6955453475097629E-3</v>
      </c>
      <c r="S2078">
        <v>0.35865215318392829</v>
      </c>
      <c r="T2078">
        <v>0.38481668043223743</v>
      </c>
      <c r="U2078">
        <v>0</v>
      </c>
      <c r="V2078">
        <v>0.19414224664826638</v>
      </c>
      <c r="W2078">
        <v>0.22070532452817965</v>
      </c>
      <c r="X2078">
        <v>5.092418212191762E-2</v>
      </c>
      <c r="Y2078">
        <v>1.0058056199725173E-2</v>
      </c>
    </row>
    <row r="2079" spans="1:25" x14ac:dyDescent="0.25">
      <c r="A2079" s="1083"/>
      <c r="B2079" s="1455">
        <v>1829</v>
      </c>
      <c r="C2079" s="1087">
        <v>1.0239749672141123</v>
      </c>
      <c r="D2079" s="1087">
        <v>1.0280068207019566</v>
      </c>
      <c r="E2079" s="1087">
        <v>1.0141718190637188</v>
      </c>
      <c r="F2079" s="1087">
        <v>1.0006848989987476</v>
      </c>
      <c r="G2079" s="1087">
        <v>0.97100674763234285</v>
      </c>
      <c r="H2079" s="1087">
        <v>1.0054726649961345</v>
      </c>
      <c r="I2079" s="1087">
        <v>1.0418297595547261</v>
      </c>
      <c r="K2079">
        <v>1.8291165157264146</v>
      </c>
      <c r="L2079">
        <v>0</v>
      </c>
      <c r="M2079">
        <v>3.4168018094326777E-3</v>
      </c>
      <c r="N2079">
        <v>0.33876324174210592</v>
      </c>
      <c r="O2079">
        <v>0.23340439079075295</v>
      </c>
      <c r="P2079">
        <v>1.3319494291289142E-2</v>
      </c>
      <c r="Q2079">
        <v>1.55281748285923E-3</v>
      </c>
      <c r="R2079">
        <v>3.4109379353455135E-3</v>
      </c>
      <c r="S2079">
        <v>0.36701698468403249</v>
      </c>
      <c r="T2079">
        <v>0.40305588990401475</v>
      </c>
      <c r="U2079">
        <v>0</v>
      </c>
      <c r="V2079">
        <v>0.19591494216533409</v>
      </c>
      <c r="W2079">
        <v>0.21389222246210585</v>
      </c>
      <c r="X2079">
        <v>5.2918947433383504E-2</v>
      </c>
      <c r="Y2079">
        <v>9.2834486446222945E-3</v>
      </c>
    </row>
    <row r="2080" spans="1:25" x14ac:dyDescent="0.25">
      <c r="A2080" s="1083"/>
      <c r="B2080" s="1455">
        <v>1830</v>
      </c>
      <c r="C2080" s="1087">
        <v>1.0098535139923626</v>
      </c>
      <c r="D2080" s="1087">
        <v>0.96876465320232275</v>
      </c>
      <c r="E2080" s="1087">
        <v>1.0012943890991934</v>
      </c>
      <c r="F2080" s="1087">
        <v>0.99770131586124966</v>
      </c>
      <c r="G2080" s="1087">
        <v>0.99211894894528385</v>
      </c>
      <c r="H2080" s="1087">
        <v>0.9948014748083579</v>
      </c>
      <c r="I2080" s="1087">
        <v>0.99913305281228071</v>
      </c>
      <c r="K2080">
        <v>1.8542231570862835</v>
      </c>
      <c r="L2080">
        <v>0</v>
      </c>
      <c r="M2080">
        <v>3.6350863474925964E-3</v>
      </c>
      <c r="N2080">
        <v>0.34652327479158768</v>
      </c>
      <c r="O2080">
        <v>0.24044961640318005</v>
      </c>
      <c r="P2080">
        <v>1.3231006841733152E-2</v>
      </c>
      <c r="Q2080">
        <v>1.5904750217879454E-3</v>
      </c>
      <c r="R2080">
        <v>3.6288349040339901E-3</v>
      </c>
      <c r="S2080">
        <v>0.36677570394135645</v>
      </c>
      <c r="T2080">
        <v>0.40177588936145009</v>
      </c>
      <c r="U2080">
        <v>0</v>
      </c>
      <c r="V2080">
        <v>0.20020987700631165</v>
      </c>
      <c r="W2080">
        <v>0.22054909107085041</v>
      </c>
      <c r="X2080">
        <v>5.3247981727809007E-2</v>
      </c>
      <c r="Y2080">
        <v>9.8764923636759042E-3</v>
      </c>
    </row>
    <row r="2081" spans="1:25" x14ac:dyDescent="0.25">
      <c r="A2081" s="1083"/>
      <c r="B2081" s="1455">
        <v>1831</v>
      </c>
      <c r="C2081" s="1087">
        <v>0.9724675362831291</v>
      </c>
      <c r="D2081" s="1087">
        <v>0.9547255569112334</v>
      </c>
      <c r="E2081" s="1087">
        <v>1.0165869472353088</v>
      </c>
      <c r="F2081" s="1087">
        <v>0.96180610992129145</v>
      </c>
      <c r="G2081" s="1087">
        <v>1.032520879411305</v>
      </c>
      <c r="H2081" s="1087">
        <v>0.9886755954486538</v>
      </c>
      <c r="I2081" s="1087">
        <v>0.99445897319508858</v>
      </c>
      <c r="K2081">
        <v>1.8890304035773864</v>
      </c>
      <c r="L2081">
        <v>0</v>
      </c>
      <c r="M2081">
        <v>3.6614934168718856E-3</v>
      </c>
      <c r="N2081">
        <v>0.36570147422959393</v>
      </c>
      <c r="O2081">
        <v>0.24211599923237784</v>
      </c>
      <c r="P2081">
        <v>1.3403426436264151E-2</v>
      </c>
      <c r="Q2081">
        <v>1.6884587087481063E-3</v>
      </c>
      <c r="R2081">
        <v>3.6551649981088298E-3</v>
      </c>
      <c r="S2081">
        <v>0.38104043670129273</v>
      </c>
      <c r="T2081">
        <v>0.38741051748529942</v>
      </c>
      <c r="U2081">
        <v>0</v>
      </c>
      <c r="V2081">
        <v>0.20189517975315144</v>
      </c>
      <c r="W2081">
        <v>0.23055661442657785</v>
      </c>
      <c r="X2081">
        <v>5.5276470822807906E-2</v>
      </c>
      <c r="Y2081">
        <v>9.9481542000344376E-3</v>
      </c>
    </row>
    <row r="2082" spans="1:25" x14ac:dyDescent="0.25">
      <c r="A2082" s="1083"/>
      <c r="B2082" s="1455">
        <v>1832</v>
      </c>
      <c r="C2082" s="1087">
        <v>0.99133486633709544</v>
      </c>
      <c r="D2082" s="1087">
        <v>0.98634872410836039</v>
      </c>
      <c r="E2082" s="1087">
        <v>0.99814609098747353</v>
      </c>
      <c r="F2082" s="1087">
        <v>0.99909727652061608</v>
      </c>
      <c r="G2082" s="1087">
        <v>0.99081982701348603</v>
      </c>
      <c r="H2082" s="1087">
        <v>1.0013706239873883</v>
      </c>
      <c r="I2082" s="1087">
        <v>1.0196702504872703</v>
      </c>
      <c r="K2082">
        <v>1.8761974897323741</v>
      </c>
      <c r="L2082">
        <v>0</v>
      </c>
      <c r="M2082">
        <v>3.715293938333634E-3</v>
      </c>
      <c r="N2082">
        <v>0.35078520555945286</v>
      </c>
      <c r="O2082">
        <v>0.24102891776857199</v>
      </c>
      <c r="P2082">
        <v>1.338555276207843E-2</v>
      </c>
      <c r="Q2082">
        <v>1.6031819373831611E-3</v>
      </c>
      <c r="R2082">
        <v>3.7089305249017298E-3</v>
      </c>
      <c r="S2082">
        <v>0.37871729990363334</v>
      </c>
      <c r="T2082">
        <v>0.40231898985317022</v>
      </c>
      <c r="U2082">
        <v>0</v>
      </c>
      <c r="V2082">
        <v>0.20134306839447527</v>
      </c>
      <c r="W2082">
        <v>0.22370135958721787</v>
      </c>
      <c r="X2082">
        <v>5.3225791139656094E-2</v>
      </c>
      <c r="Y2082">
        <v>1.0094486240163569E-2</v>
      </c>
    </row>
    <row r="2083" spans="1:25" x14ac:dyDescent="0.25">
      <c r="A2083" s="1083"/>
      <c r="B2083" s="1455">
        <v>1833</v>
      </c>
      <c r="C2083" s="1087">
        <v>0.99570019276516475</v>
      </c>
      <c r="D2083" s="1087">
        <v>0.99343486787405277</v>
      </c>
      <c r="E2083" s="1087">
        <v>1.0055586761103628</v>
      </c>
      <c r="F2083" s="1087">
        <v>0.99432370305345719</v>
      </c>
      <c r="G2083" s="1087">
        <v>0.96999303402527381</v>
      </c>
      <c r="H2083" s="1087">
        <v>1.0105678901967019</v>
      </c>
      <c r="I2083" s="1087">
        <v>1.0074116172089453</v>
      </c>
      <c r="K2083">
        <v>1.869433155826596</v>
      </c>
      <c r="L2083">
        <v>0</v>
      </c>
      <c r="M2083">
        <v>3.6626063980322895E-3</v>
      </c>
      <c r="N2083">
        <v>0.35372617630202535</v>
      </c>
      <c r="O2083">
        <v>0.23931986123625373</v>
      </c>
      <c r="P2083">
        <v>1.3336401505258355E-2</v>
      </c>
      <c r="Q2083">
        <v>1.6041985036979174E-3</v>
      </c>
      <c r="R2083">
        <v>3.6563840917941972E-3</v>
      </c>
      <c r="S2083">
        <v>0.37282958787257942</v>
      </c>
      <c r="T2083">
        <v>0.4004414732095164</v>
      </c>
      <c r="U2083">
        <v>0</v>
      </c>
      <c r="V2083">
        <v>0.20011689209019182</v>
      </c>
      <c r="W2083">
        <v>0.22453595498258608</v>
      </c>
      <c r="X2083">
        <v>5.3577360259551808E-2</v>
      </c>
      <c r="Y2083">
        <v>9.9514721711718834E-3</v>
      </c>
    </row>
    <row r="2084" spans="1:25" x14ac:dyDescent="0.25">
      <c r="A2084" s="1083"/>
      <c r="B2084" s="1455">
        <v>1834</v>
      </c>
      <c r="C2084" s="1087">
        <v>0.98732274579877455</v>
      </c>
      <c r="D2084" s="1087">
        <v>1.0106052460662842</v>
      </c>
      <c r="E2084" s="1087">
        <v>0.99115144572097846</v>
      </c>
      <c r="F2084" s="1087">
        <v>0.97218791937855986</v>
      </c>
      <c r="G2084" s="1087">
        <v>0.98896871170027212</v>
      </c>
      <c r="H2084" s="1087">
        <v>0.97084561766765698</v>
      </c>
      <c r="I2084" s="1087">
        <v>0.99051603388829401</v>
      </c>
      <c r="K2084">
        <v>1.8086753961386295</v>
      </c>
      <c r="L2084">
        <v>0</v>
      </c>
      <c r="M2084">
        <v>3.6207436918407505E-3</v>
      </c>
      <c r="N2084">
        <v>0.33461540179845806</v>
      </c>
      <c r="O2084">
        <v>0.23579085362941132</v>
      </c>
      <c r="P2084">
        <v>1.2854878958033446E-2</v>
      </c>
      <c r="Q2084">
        <v>1.5822594968633345E-3</v>
      </c>
      <c r="R2084">
        <v>3.6143251035161E-3</v>
      </c>
      <c r="S2084">
        <v>0.35883785804342327</v>
      </c>
      <c r="T2084">
        <v>0.39144201694444875</v>
      </c>
      <c r="U2084">
        <v>0</v>
      </c>
      <c r="V2084">
        <v>0.19810943085976929</v>
      </c>
      <c r="W2084">
        <v>0.21432803925825492</v>
      </c>
      <c r="X2084">
        <v>5.1284074268468136E-2</v>
      </c>
      <c r="Y2084">
        <v>9.8370014698206613E-3</v>
      </c>
    </row>
    <row r="2085" spans="1:25" x14ac:dyDescent="0.25">
      <c r="A2085" s="1083"/>
      <c r="B2085" s="1455">
        <v>1835</v>
      </c>
      <c r="C2085" s="1087">
        <v>0.96818717486661421</v>
      </c>
      <c r="D2085" s="1087">
        <v>1.0039585451151938</v>
      </c>
      <c r="E2085" s="1087">
        <v>1.0067119339719031</v>
      </c>
      <c r="F2085" s="1087">
        <v>0.98443139596373863</v>
      </c>
      <c r="G2085" s="1087">
        <v>0.97402756747437946</v>
      </c>
      <c r="H2085" s="1087">
        <v>0.98202478231373835</v>
      </c>
      <c r="I2085" s="1087">
        <v>1.0155026581876894</v>
      </c>
      <c r="K2085">
        <v>1.8713180609529696</v>
      </c>
      <c r="L2085">
        <v>0</v>
      </c>
      <c r="M2085">
        <v>3.6306297938951309E-3</v>
      </c>
      <c r="N2085">
        <v>0.35185523184810569</v>
      </c>
      <c r="O2085">
        <v>0.24047850395740403</v>
      </c>
      <c r="P2085">
        <v>1.3397670311043752E-2</v>
      </c>
      <c r="Q2085">
        <v>1.6448595812023742E-3</v>
      </c>
      <c r="R2085">
        <v>3.6242726125477074E-3</v>
      </c>
      <c r="S2085">
        <v>0.37883335788662398</v>
      </c>
      <c r="T2085">
        <v>0.39646447826260051</v>
      </c>
      <c r="U2085">
        <v>0</v>
      </c>
      <c r="V2085">
        <v>0.20172495515215494</v>
      </c>
      <c r="W2085">
        <v>0.22318818653464464</v>
      </c>
      <c r="X2085">
        <v>5.3873099290327013E-2</v>
      </c>
      <c r="Y2085">
        <v>9.8640753102092263E-3</v>
      </c>
    </row>
    <row r="2086" spans="1:25" x14ac:dyDescent="0.25">
      <c r="A2086" s="1083"/>
      <c r="B2086" s="1455">
        <v>1836</v>
      </c>
      <c r="C2086" s="1087">
        <v>1.0061187246794592</v>
      </c>
      <c r="D2086" s="1087">
        <v>1.0003551871792706</v>
      </c>
      <c r="E2086" s="1087">
        <v>0.99293851590589755</v>
      </c>
      <c r="F2086" s="1087">
        <v>1.0086017635278917</v>
      </c>
      <c r="G2086" s="1087">
        <v>1.021134469505715</v>
      </c>
      <c r="H2086" s="1087">
        <v>1.0021685129707054</v>
      </c>
      <c r="I2086" s="1087">
        <v>0.97662044529152359</v>
      </c>
      <c r="K2086">
        <v>1.8361330982206741</v>
      </c>
      <c r="L2086">
        <v>0</v>
      </c>
      <c r="M2086">
        <v>3.674655943002108E-3</v>
      </c>
      <c r="N2086">
        <v>0.34147574332071712</v>
      </c>
      <c r="O2086">
        <v>0.23887428857630802</v>
      </c>
      <c r="P2086">
        <v>1.3037802688900698E-2</v>
      </c>
      <c r="Q2086">
        <v>1.5620285611869619E-3</v>
      </c>
      <c r="R2086">
        <v>3.6683545759398136E-3</v>
      </c>
      <c r="S2086">
        <v>0.35469581552013657</v>
      </c>
      <c r="T2086">
        <v>0.40611455661594609</v>
      </c>
      <c r="U2086">
        <v>0</v>
      </c>
      <c r="V2086">
        <v>0.19978705104655023</v>
      </c>
      <c r="W2086">
        <v>0.21847667408688792</v>
      </c>
      <c r="X2086">
        <v>5.2131387288154668E-2</v>
      </c>
      <c r="Y2086">
        <v>9.9840518829472109E-3</v>
      </c>
    </row>
    <row r="2087" spans="1:25" x14ac:dyDescent="0.25">
      <c r="A2087" s="1083"/>
      <c r="B2087" s="1455">
        <v>1837</v>
      </c>
      <c r="C2087" s="1087">
        <v>0.95984244914673733</v>
      </c>
      <c r="D2087" s="1087">
        <v>1.006495048008984</v>
      </c>
      <c r="E2087" s="1087">
        <v>1.0168061711925382</v>
      </c>
      <c r="F2087" s="1087">
        <v>0.98731752833253328</v>
      </c>
      <c r="G2087" s="1087">
        <v>0.99890330071319766</v>
      </c>
      <c r="H2087" s="1087">
        <v>1.0199778070663306</v>
      </c>
      <c r="I2087" s="1087">
        <v>0.97372666629229387</v>
      </c>
      <c r="K2087">
        <v>1.9022114795171812</v>
      </c>
      <c r="L2087">
        <v>0</v>
      </c>
      <c r="M2087">
        <v>3.7207688687203016E-3</v>
      </c>
      <c r="N2087">
        <v>0.3718857882397254</v>
      </c>
      <c r="O2087">
        <v>0.24178006179755335</v>
      </c>
      <c r="P2087">
        <v>1.3449343427806343E-2</v>
      </c>
      <c r="Q2087">
        <v>1.6753013846197489E-3</v>
      </c>
      <c r="R2087">
        <v>3.7144940399883083E-3</v>
      </c>
      <c r="S2087">
        <v>0.3729738782076934</v>
      </c>
      <c r="T2087">
        <v>0.39768771151903626</v>
      </c>
      <c r="U2087">
        <v>0</v>
      </c>
      <c r="V2087">
        <v>0.20285408202591543</v>
      </c>
      <c r="W2087">
        <v>0.23442380459908355</v>
      </c>
      <c r="X2087">
        <v>5.5378154850262234E-2</v>
      </c>
      <c r="Y2087">
        <v>1.010962829421698E-2</v>
      </c>
    </row>
    <row r="2088" spans="1:25" x14ac:dyDescent="0.25">
      <c r="A2088" s="1083"/>
      <c r="B2088" s="1455">
        <v>1838</v>
      </c>
      <c r="C2088" s="1087">
        <v>1.0269029291987939</v>
      </c>
      <c r="D2088" s="1087">
        <v>0.99563864160244997</v>
      </c>
      <c r="E2088" s="1087">
        <v>1.0098234127613617</v>
      </c>
      <c r="F2088" s="1087">
        <v>0.99685933632062285</v>
      </c>
      <c r="G2088" s="1087">
        <v>0.97205612937677399</v>
      </c>
      <c r="H2088" s="1087">
        <v>0.99903911593042605</v>
      </c>
      <c r="I2088" s="1087">
        <v>0.97097850572801125</v>
      </c>
      <c r="K2088">
        <v>1.8124913056019316</v>
      </c>
      <c r="L2088">
        <v>0</v>
      </c>
      <c r="M2088">
        <v>3.4758117777865692E-3</v>
      </c>
      <c r="N2088">
        <v>0.34007397870698841</v>
      </c>
      <c r="O2088">
        <v>0.23574574594506367</v>
      </c>
      <c r="P2088">
        <v>1.2981444181627291E-2</v>
      </c>
      <c r="Q2088">
        <v>1.5611267061087745E-3</v>
      </c>
      <c r="R2088">
        <v>3.4698363024335869E-3</v>
      </c>
      <c r="S2088">
        <v>0.34604916845763467</v>
      </c>
      <c r="T2088">
        <v>0.40148854222203689</v>
      </c>
      <c r="U2088">
        <v>0</v>
      </c>
      <c r="V2088">
        <v>0.19695912387971043</v>
      </c>
      <c r="W2088">
        <v>0.21529874612834196</v>
      </c>
      <c r="X2088">
        <v>5.2895654265779239E-2</v>
      </c>
      <c r="Y2088">
        <v>9.443750583994541E-3</v>
      </c>
    </row>
    <row r="2089" spans="1:25" x14ac:dyDescent="0.25">
      <c r="A2089" s="1083"/>
      <c r="B2089" s="1455">
        <v>1839</v>
      </c>
      <c r="C2089" s="1087">
        <v>0.9929093409562777</v>
      </c>
      <c r="D2089" s="1087">
        <v>0.97146530296560507</v>
      </c>
      <c r="E2089" s="1087">
        <v>0.99432704887359491</v>
      </c>
      <c r="F2089" s="1087">
        <v>0.98381651616007915</v>
      </c>
      <c r="G2089" s="1087">
        <v>1.0010056768798465</v>
      </c>
      <c r="H2089" s="1087">
        <v>1.0072993278845519</v>
      </c>
      <c r="I2089" s="1087">
        <v>0.99934929225875258</v>
      </c>
      <c r="K2089">
        <v>1.869751352805094</v>
      </c>
      <c r="L2089">
        <v>0</v>
      </c>
      <c r="M2089">
        <v>3.7909927247137265E-3</v>
      </c>
      <c r="N2089">
        <v>0.35378872336313244</v>
      </c>
      <c r="O2089">
        <v>0.24041808172930837</v>
      </c>
      <c r="P2089">
        <v>1.3199528728674668E-2</v>
      </c>
      <c r="Q2089">
        <v>1.6038512119117105E-3</v>
      </c>
      <c r="R2089">
        <v>3.7845505440618691E-3</v>
      </c>
      <c r="S2089">
        <v>0.37474572795981648</v>
      </c>
      <c r="T2089">
        <v>0.39614299038432627</v>
      </c>
      <c r="U2089">
        <v>0</v>
      </c>
      <c r="V2089">
        <v>0.20060888790108461</v>
      </c>
      <c r="W2089">
        <v>0.2261572967766024</v>
      </c>
      <c r="X2089">
        <v>5.2792407926702749E-2</v>
      </c>
      <c r="Y2089">
        <v>1.0300299004184851E-2</v>
      </c>
    </row>
    <row r="2090" spans="1:25" x14ac:dyDescent="0.25">
      <c r="A2090" s="1083"/>
      <c r="B2090" s="1455">
        <v>1840</v>
      </c>
      <c r="C2090" s="1087">
        <v>0.96645364877612561</v>
      </c>
      <c r="D2090" s="1087">
        <v>0.9925220986507175</v>
      </c>
      <c r="E2090" s="1087">
        <v>1.0154605339988838</v>
      </c>
      <c r="F2090" s="1087">
        <v>1.0203958427263473</v>
      </c>
      <c r="G2090" s="1087">
        <v>0.99490515546017155</v>
      </c>
      <c r="H2090" s="1087">
        <v>0.98381917776029226</v>
      </c>
      <c r="I2090" s="1087">
        <v>0.99521125125815602</v>
      </c>
      <c r="K2090">
        <v>1.9035045721961819</v>
      </c>
      <c r="L2090">
        <v>0</v>
      </c>
      <c r="M2090">
        <v>3.6018154133072668E-3</v>
      </c>
      <c r="N2090">
        <v>0.35850206570374771</v>
      </c>
      <c r="O2090">
        <v>0.24632660421967958</v>
      </c>
      <c r="P2090">
        <v>1.3684352382741216E-2</v>
      </c>
      <c r="Q2090">
        <v>1.6707939278688714E-3</v>
      </c>
      <c r="R2090">
        <v>3.5955312452742414E-3</v>
      </c>
      <c r="S2090">
        <v>0.3747647768889884</v>
      </c>
      <c r="T2090">
        <v>0.41100311534655681</v>
      </c>
      <c r="U2090">
        <v>0</v>
      </c>
      <c r="V2090">
        <v>0.20573993420107503</v>
      </c>
      <c r="W2090">
        <v>0.2261749705866333</v>
      </c>
      <c r="X2090">
        <v>5.5858392323843126E-2</v>
      </c>
      <c r="Y2090">
        <v>9.7858507830800266E-3</v>
      </c>
    </row>
    <row r="2091" spans="1:25" x14ac:dyDescent="0.25">
      <c r="A2091" s="1083"/>
      <c r="B2091" s="1455">
        <v>1841</v>
      </c>
      <c r="C2091" s="1087">
        <v>1.0124199953912845</v>
      </c>
      <c r="D2091" s="1087">
        <v>1.006357893677118</v>
      </c>
      <c r="E2091" s="1087">
        <v>0.99958256347606078</v>
      </c>
      <c r="F2091" s="1087">
        <v>0.98569738269879714</v>
      </c>
      <c r="G2091" s="1087">
        <v>0.97271582474632423</v>
      </c>
      <c r="H2091" s="1087">
        <v>1.0190861207103552</v>
      </c>
      <c r="I2091" s="1087">
        <v>0.98387407843473262</v>
      </c>
      <c r="K2091">
        <v>1.8291535299561079</v>
      </c>
      <c r="L2091">
        <v>0</v>
      </c>
      <c r="M2091">
        <v>3.6514909055537586E-3</v>
      </c>
      <c r="N2091">
        <v>0.34628457370491678</v>
      </c>
      <c r="O2091">
        <v>0.23494837061001991</v>
      </c>
      <c r="P2091">
        <v>1.2969066604774461E-2</v>
      </c>
      <c r="Q2091">
        <v>1.5596201673797015E-3</v>
      </c>
      <c r="R2091">
        <v>3.6453280053507591E-3</v>
      </c>
      <c r="S2091">
        <v>0.35697711602373244</v>
      </c>
      <c r="T2091">
        <v>0.39693165951171228</v>
      </c>
      <c r="U2091">
        <v>0</v>
      </c>
      <c r="V2091">
        <v>0.19688635550415828</v>
      </c>
      <c r="W2091">
        <v>0.22063294907125075</v>
      </c>
      <c r="X2091">
        <v>5.2048600509854596E-2</v>
      </c>
      <c r="Y2091">
        <v>9.9213811485107627E-3</v>
      </c>
    </row>
    <row r="2092" spans="1:25" x14ac:dyDescent="0.25">
      <c r="A2092" s="1083"/>
      <c r="B2092" s="1455">
        <v>1842</v>
      </c>
      <c r="C2092" s="1087">
        <v>0.98895144716208905</v>
      </c>
      <c r="D2092" s="1087">
        <v>1.0292749043028879</v>
      </c>
      <c r="E2092" s="1087">
        <v>0.95320113357725622</v>
      </c>
      <c r="F2092" s="1087">
        <v>0.97751782908576657</v>
      </c>
      <c r="G2092" s="1087">
        <v>0.97631717918178795</v>
      </c>
      <c r="H2092" s="1087">
        <v>1.0368640942760998</v>
      </c>
      <c r="I2092" s="1087">
        <v>0.9804591153397384</v>
      </c>
      <c r="K2092">
        <v>1.822891379996431</v>
      </c>
      <c r="L2092">
        <v>0</v>
      </c>
      <c r="M2092">
        <v>4.1301086193215736E-3</v>
      </c>
      <c r="N2092">
        <v>0.33990516437208107</v>
      </c>
      <c r="O2092">
        <v>0.23392422723567174</v>
      </c>
      <c r="P2092">
        <v>1.2546721965253643E-2</v>
      </c>
      <c r="Q2092">
        <v>1.505094335884839E-3</v>
      </c>
      <c r="R2092">
        <v>4.1232362326188562E-3</v>
      </c>
      <c r="S2092">
        <v>0.36231315153458404</v>
      </c>
      <c r="T2092">
        <v>0.39336780830942847</v>
      </c>
      <c r="U2092">
        <v>0</v>
      </c>
      <c r="V2092">
        <v>0.19722498454827195</v>
      </c>
      <c r="W2092">
        <v>0.22305291433184687</v>
      </c>
      <c r="X2092">
        <v>4.7836095949378869E-2</v>
      </c>
      <c r="Y2092">
        <v>1.1222089800729739E-2</v>
      </c>
    </row>
    <row r="2093" spans="1:25" x14ac:dyDescent="0.25">
      <c r="A2093" s="1083"/>
      <c r="B2093" s="1455">
        <v>1843</v>
      </c>
      <c r="C2093" s="1087">
        <v>0.98465910871962237</v>
      </c>
      <c r="D2093" s="1087">
        <v>0.98223986297979959</v>
      </c>
      <c r="E2093" s="1087">
        <v>0.97107373321397206</v>
      </c>
      <c r="F2093" s="1087">
        <v>0.98253608960148509</v>
      </c>
      <c r="G2093" s="1087">
        <v>1.0164134058441938</v>
      </c>
      <c r="H2093" s="1087">
        <v>1.0435031857154442</v>
      </c>
      <c r="I2093" s="1087">
        <v>0.9855035226762463</v>
      </c>
      <c r="K2093">
        <v>1.8808485627989882</v>
      </c>
      <c r="L2093">
        <v>0</v>
      </c>
      <c r="M2093">
        <v>4.1278976087167187E-3</v>
      </c>
      <c r="N2093">
        <v>0.35882868114618455</v>
      </c>
      <c r="O2093">
        <v>0.23984482400166157</v>
      </c>
      <c r="P2093">
        <v>1.2987840487525954E-2</v>
      </c>
      <c r="Q2093">
        <v>1.5704121581845529E-3</v>
      </c>
      <c r="R2093">
        <v>4.1211158670940327E-3</v>
      </c>
      <c r="S2093">
        <v>0.37673679559874151</v>
      </c>
      <c r="T2093">
        <v>0.39549070253688196</v>
      </c>
      <c r="U2093">
        <v>0</v>
      </c>
      <c r="V2093">
        <v>0.20066973461668763</v>
      </c>
      <c r="W2093">
        <v>0.2327805236454481</v>
      </c>
      <c r="X2093">
        <v>5.0729511484546679E-2</v>
      </c>
      <c r="Y2093">
        <v>1.1216318864749478E-2</v>
      </c>
    </row>
    <row r="2094" spans="1:25" x14ac:dyDescent="0.25">
      <c r="A2094" s="1083"/>
      <c r="B2094" s="1455">
        <v>1844</v>
      </c>
      <c r="C2094" s="1087">
        <v>0.9890510326881391</v>
      </c>
      <c r="D2094" s="1087">
        <v>1.0359204733343605</v>
      </c>
      <c r="E2094" s="1087">
        <v>1.009751614315352</v>
      </c>
      <c r="F2094" s="1087">
        <v>0.98562442994784105</v>
      </c>
      <c r="G2094" s="1087">
        <v>0.97448283988979567</v>
      </c>
      <c r="H2094" s="1087">
        <v>1.0190878235882079</v>
      </c>
      <c r="I2094" s="1087">
        <v>0.98726733621631624</v>
      </c>
      <c r="K2094">
        <v>1.8442863185151921</v>
      </c>
      <c r="L2094">
        <v>0</v>
      </c>
      <c r="M2094">
        <v>3.604223436307685E-3</v>
      </c>
      <c r="N2094">
        <v>0.35256929775563534</v>
      </c>
      <c r="O2094">
        <v>0.23503634209998456</v>
      </c>
      <c r="P2094">
        <v>1.3136981012215724E-2</v>
      </c>
      <c r="Q2094">
        <v>1.595239582219015E-3</v>
      </c>
      <c r="R2094">
        <v>3.5981160250870329E-3</v>
      </c>
      <c r="S2094">
        <v>0.36098671127129311</v>
      </c>
      <c r="T2094">
        <v>0.39696321310761751</v>
      </c>
      <c r="U2094">
        <v>0</v>
      </c>
      <c r="V2094">
        <v>0.1979118660490127</v>
      </c>
      <c r="W2094">
        <v>0.2232193961518133</v>
      </c>
      <c r="X2094">
        <v>5.308049319496206E-2</v>
      </c>
      <c r="Y2094">
        <v>9.7928857016580089E-3</v>
      </c>
    </row>
    <row r="2095" spans="1:25" x14ac:dyDescent="0.25">
      <c r="A2095" s="1083"/>
      <c r="B2095" s="1455">
        <v>1845</v>
      </c>
      <c r="C2095" s="1087">
        <v>1.0142045983839232</v>
      </c>
      <c r="D2095" s="1087">
        <v>0.96072223865432527</v>
      </c>
      <c r="E2095" s="1087">
        <v>0.98746432874555612</v>
      </c>
      <c r="F2095" s="1087">
        <v>1.0224592543588802</v>
      </c>
      <c r="G2095" s="1087">
        <v>1.0122712110535483</v>
      </c>
      <c r="H2095" s="1087">
        <v>0.97727237856819482</v>
      </c>
      <c r="I2095" s="1087">
        <v>1.0259043507665826</v>
      </c>
      <c r="K2095">
        <v>1.8594686790955046</v>
      </c>
      <c r="L2095">
        <v>0</v>
      </c>
      <c r="M2095">
        <v>3.6744212139836049E-3</v>
      </c>
      <c r="N2095">
        <v>0.33578182193027639</v>
      </c>
      <c r="O2095">
        <v>0.24350804634309367</v>
      </c>
      <c r="P2095">
        <v>1.334402059050724E-2</v>
      </c>
      <c r="Q2095">
        <v>1.5656294700305729E-3</v>
      </c>
      <c r="R2095">
        <v>3.6679967551241336E-3</v>
      </c>
      <c r="S2095">
        <v>0.37329475291309999</v>
      </c>
      <c r="T2095">
        <v>0.41166061353761918</v>
      </c>
      <c r="U2095">
        <v>0</v>
      </c>
      <c r="V2095">
        <v>0.20225804936904684</v>
      </c>
      <c r="W2095">
        <v>0.2155752309815735</v>
      </c>
      <c r="X2095">
        <v>5.2503860406474319E-2</v>
      </c>
      <c r="Y2095">
        <v>9.983078012642534E-3</v>
      </c>
    </row>
    <row r="2096" spans="1:25" x14ac:dyDescent="0.25">
      <c r="A2096" s="1083"/>
      <c r="B2096" s="1455">
        <v>1846</v>
      </c>
      <c r="C2096" s="1087">
        <v>0.99474697687642255</v>
      </c>
      <c r="D2096" s="1087">
        <v>1.0152466336679613</v>
      </c>
      <c r="E2096" s="1087">
        <v>1.0116042608576468</v>
      </c>
      <c r="F2096" s="1087">
        <v>1.0204773591233169</v>
      </c>
      <c r="G2096" s="1087">
        <v>0.98691581394772276</v>
      </c>
      <c r="H2096" s="1087">
        <v>1.0356336511883639</v>
      </c>
      <c r="I2096" s="1087">
        <v>1.012326755919827</v>
      </c>
      <c r="K2096">
        <v>1.8965395355166075</v>
      </c>
      <c r="L2096">
        <v>0</v>
      </c>
      <c r="M2096">
        <v>3.6673381898418862E-3</v>
      </c>
      <c r="N2096">
        <v>0.36078706772971542</v>
      </c>
      <c r="O2096">
        <v>0.24041518949112883</v>
      </c>
      <c r="P2096">
        <v>1.3590793371104432E-2</v>
      </c>
      <c r="Q2096">
        <v>1.6020887717041238E-3</v>
      </c>
      <c r="R2096">
        <v>3.6612397798453161E-3</v>
      </c>
      <c r="S2096">
        <v>0.37518009387140622</v>
      </c>
      <c r="T2096">
        <v>0.41101187729250471</v>
      </c>
      <c r="U2096">
        <v>0</v>
      </c>
      <c r="V2096">
        <v>0.20133812894515862</v>
      </c>
      <c r="W2096">
        <v>0.22816009470231557</v>
      </c>
      <c r="X2096">
        <v>5.4495611998194839E-2</v>
      </c>
      <c r="Y2096">
        <v>9.9646877533698924E-3</v>
      </c>
    </row>
    <row r="2097" spans="1:25" x14ac:dyDescent="0.25">
      <c r="A2097" s="1083"/>
      <c r="B2097" s="1455">
        <v>1847</v>
      </c>
      <c r="C2097" s="1087">
        <v>1.0025361143581248</v>
      </c>
      <c r="D2097" s="1087">
        <v>1.0170331299221511</v>
      </c>
      <c r="E2097" s="1087">
        <v>1.0244222884504381</v>
      </c>
      <c r="F2097" s="1087">
        <v>1.0275170811151393</v>
      </c>
      <c r="G2097" s="1087">
        <v>1.0129160757043938</v>
      </c>
      <c r="H2097" s="1087">
        <v>1.0292758266696884</v>
      </c>
      <c r="I2097" s="1087">
        <v>0.98881393891821157</v>
      </c>
      <c r="K2097">
        <v>1.8835871215561424</v>
      </c>
      <c r="L2097">
        <v>0</v>
      </c>
      <c r="M2097">
        <v>3.5188399953817438E-3</v>
      </c>
      <c r="N2097">
        <v>0.35996529817451495</v>
      </c>
      <c r="O2097">
        <v>0.2402626033646556</v>
      </c>
      <c r="P2097">
        <v>1.3576434955729912E-2</v>
      </c>
      <c r="Q2097">
        <v>1.6101664645919785E-3</v>
      </c>
      <c r="R2097">
        <v>3.5129501354488595E-3</v>
      </c>
      <c r="S2097">
        <v>0.36225975112317205</v>
      </c>
      <c r="T2097">
        <v>0.41392804073982881</v>
      </c>
      <c r="U2097">
        <v>0</v>
      </c>
      <c r="V2097">
        <v>0.20106804716698951</v>
      </c>
      <c r="W2097">
        <v>0.22584880402320939</v>
      </c>
      <c r="X2097">
        <v>5.5512773178391511E-2</v>
      </c>
      <c r="Y2097">
        <v>9.5610922249908768E-3</v>
      </c>
    </row>
    <row r="2098" spans="1:25" x14ac:dyDescent="0.25">
      <c r="A2098" s="1083"/>
      <c r="B2098" s="1455">
        <v>1848</v>
      </c>
      <c r="C2098" s="1087">
        <v>0.95513605981972471</v>
      </c>
      <c r="D2098" s="1087">
        <v>0.99752970235166483</v>
      </c>
      <c r="E2098" s="1087">
        <v>0.99725397692242712</v>
      </c>
      <c r="F2098" s="1087">
        <v>0.99899532115576517</v>
      </c>
      <c r="G2098" s="1087">
        <v>1.0082149053278844</v>
      </c>
      <c r="H2098" s="1087">
        <v>0.99400903502880489</v>
      </c>
      <c r="I2098" s="1087">
        <v>1.0115080957523817</v>
      </c>
      <c r="K2098">
        <v>1.9047932194543744</v>
      </c>
      <c r="L2098">
        <v>0</v>
      </c>
      <c r="M2098">
        <v>3.8111448904852422E-3</v>
      </c>
      <c r="N2098">
        <v>0.35885106090532048</v>
      </c>
      <c r="O2098">
        <v>0.24439957576278573</v>
      </c>
      <c r="P2098">
        <v>1.3522625774834937E-2</v>
      </c>
      <c r="Q2098">
        <v>1.6548798682742287E-3</v>
      </c>
      <c r="R2098">
        <v>3.8045580161668513E-3</v>
      </c>
      <c r="S2098">
        <v>0.38605305854854599</v>
      </c>
      <c r="T2098">
        <v>0.40227254301358817</v>
      </c>
      <c r="U2098">
        <v>0</v>
      </c>
      <c r="V2098">
        <v>0.20477418816173201</v>
      </c>
      <c r="W2098">
        <v>0.22897290292669181</v>
      </c>
      <c r="X2098">
        <v>5.3944218619127245E-2</v>
      </c>
      <c r="Y2098">
        <v>1.0354752747793208E-2</v>
      </c>
    </row>
    <row r="2099" spans="1:25" x14ac:dyDescent="0.25">
      <c r="A2099" s="1083"/>
      <c r="B2099" s="1455">
        <v>1849</v>
      </c>
      <c r="C2099" s="1087">
        <v>0.99358585675711675</v>
      </c>
      <c r="D2099" s="1087">
        <v>1.0047880887390783</v>
      </c>
      <c r="E2099" s="1087">
        <v>0.95413589377321795</v>
      </c>
      <c r="F2099" s="1087">
        <v>1.0214226373808242</v>
      </c>
      <c r="G2099" s="1087">
        <v>0.97697930026265478</v>
      </c>
      <c r="H2099" s="1087">
        <v>0.9994783645804598</v>
      </c>
      <c r="I2099" s="1087">
        <v>1.0114784879238248</v>
      </c>
      <c r="K2099">
        <v>1.845859815993194</v>
      </c>
      <c r="L2099">
        <v>0</v>
      </c>
      <c r="M2099">
        <v>4.0067256946872392E-3</v>
      </c>
      <c r="N2099">
        <v>0.33067730965034903</v>
      </c>
      <c r="O2099">
        <v>0.24088687790668858</v>
      </c>
      <c r="P2099">
        <v>1.2951558445390013E-2</v>
      </c>
      <c r="Q2099">
        <v>1.5141161318902229E-3</v>
      </c>
      <c r="R2099">
        <v>3.9998322592212469E-3</v>
      </c>
      <c r="S2099">
        <v>0.37013932047535036</v>
      </c>
      <c r="T2099">
        <v>0.4110413497623705</v>
      </c>
      <c r="U2099">
        <v>0</v>
      </c>
      <c r="V2099">
        <v>0.20175865140124374</v>
      </c>
      <c r="W2099">
        <v>0.21686618280426115</v>
      </c>
      <c r="X2099">
        <v>4.9145117985865676E-2</v>
      </c>
      <c r="Y2099">
        <v>1.0886224865250347E-2</v>
      </c>
    </row>
    <row r="2100" spans="1:25" x14ac:dyDescent="0.25">
      <c r="A2100" s="1083"/>
      <c r="B2100" s="1455">
        <v>1850</v>
      </c>
      <c r="C2100" s="1087">
        <v>0.98477215766625348</v>
      </c>
      <c r="D2100" s="1087">
        <v>1.0045273193921198</v>
      </c>
      <c r="E2100" s="1087">
        <v>0.9537065883125404</v>
      </c>
      <c r="F2100" s="1087">
        <v>0.99193166220781848</v>
      </c>
      <c r="G2100" s="1087">
        <v>1.0074669162614711</v>
      </c>
      <c r="H2100" s="1087">
        <v>0.99448365540640626</v>
      </c>
      <c r="I2100" s="1087">
        <v>0.95186139304734241</v>
      </c>
      <c r="K2100">
        <v>1.8116419797236285</v>
      </c>
      <c r="L2100">
        <v>0</v>
      </c>
      <c r="M2100">
        <v>4.0265128303832902E-3</v>
      </c>
      <c r="N2100">
        <v>0.33187096509592817</v>
      </c>
      <c r="O2100">
        <v>0.23852621635244817</v>
      </c>
      <c r="P2100">
        <v>1.2513190991328886E-2</v>
      </c>
      <c r="Q2100">
        <v>1.5271103700358556E-3</v>
      </c>
      <c r="R2100">
        <v>4.0195509109734202E-3</v>
      </c>
      <c r="S2100">
        <v>0.35061648607190066</v>
      </c>
      <c r="T2100">
        <v>0.39917108511213523</v>
      </c>
      <c r="U2100">
        <v>0</v>
      </c>
      <c r="V2100">
        <v>0.2002000275767683</v>
      </c>
      <c r="W2100">
        <v>0.21770947177633318</v>
      </c>
      <c r="X2100">
        <v>4.8574495761092483E-2</v>
      </c>
      <c r="Y2100">
        <v>1.093989253506796E-2</v>
      </c>
    </row>
    <row r="2101" spans="1:25" x14ac:dyDescent="0.25">
      <c r="A2101" s="1083"/>
      <c r="B2101" s="1455">
        <v>1851</v>
      </c>
      <c r="C2101" s="1087">
        <v>1.0019685551789328</v>
      </c>
      <c r="D2101" s="1087">
        <v>1.011024011633336</v>
      </c>
      <c r="E2101" s="1087">
        <v>1.0248588323571324</v>
      </c>
      <c r="F2101" s="1087">
        <v>1.0329125399040842</v>
      </c>
      <c r="G2101" s="1087">
        <v>1.0147119510702054</v>
      </c>
      <c r="H2101" s="1087">
        <v>1.0163966639810669</v>
      </c>
      <c r="I2101" s="1087">
        <v>1.0003289891847047</v>
      </c>
      <c r="K2101">
        <v>1.8864841679760089</v>
      </c>
      <c r="L2101">
        <v>0</v>
      </c>
      <c r="M2101">
        <v>3.4848418147562081E-3</v>
      </c>
      <c r="N2101">
        <v>0.3569547021901458</v>
      </c>
      <c r="O2101">
        <v>0.24155577668316297</v>
      </c>
      <c r="P2101">
        <v>1.3668713745554537E-2</v>
      </c>
      <c r="Q2101">
        <v>1.615643864674854E-3</v>
      </c>
      <c r="R2101">
        <v>3.4789399253268402E-3</v>
      </c>
      <c r="S2101">
        <v>0.36557566575327455</v>
      </c>
      <c r="T2101">
        <v>0.41610434274494312</v>
      </c>
      <c r="U2101">
        <v>0</v>
      </c>
      <c r="V2101">
        <v>0.20190490760611729</v>
      </c>
      <c r="W2101">
        <v>0.22389993983588224</v>
      </c>
      <c r="X2101">
        <v>5.5741849797181484E-2</v>
      </c>
      <c r="Y2101">
        <v>9.468527644501493E-3</v>
      </c>
    </row>
    <row r="2102" spans="1:25" x14ac:dyDescent="0.25">
      <c r="A2102" s="1083"/>
      <c r="B2102" s="1455">
        <v>1852</v>
      </c>
      <c r="C2102" s="1087">
        <v>0.9804333932598901</v>
      </c>
      <c r="D2102" s="1087">
        <v>0.97311875859206531</v>
      </c>
      <c r="E2102" s="1087">
        <v>0.99219298422382074</v>
      </c>
      <c r="F2102" s="1087">
        <v>0.99886299854248672</v>
      </c>
      <c r="G2102" s="1087">
        <v>1.0111123692741972</v>
      </c>
      <c r="H2102" s="1087">
        <v>1.0154658862325521</v>
      </c>
      <c r="I2102" s="1087">
        <v>0.99984902962020239</v>
      </c>
      <c r="K2102">
        <v>1.8993432095794638</v>
      </c>
      <c r="L2102">
        <v>0</v>
      </c>
      <c r="M2102">
        <v>3.8839632169763447E-3</v>
      </c>
      <c r="N2102">
        <v>0.36011583971477279</v>
      </c>
      <c r="O2102">
        <v>0.24358576790957698</v>
      </c>
      <c r="P2102">
        <v>1.337854270262411E-2</v>
      </c>
      <c r="Q2102">
        <v>1.6194558725119337E-3</v>
      </c>
      <c r="R2102">
        <v>3.8774150039687866E-3</v>
      </c>
      <c r="S2102">
        <v>0.3808653914478054</v>
      </c>
      <c r="T2102">
        <v>0.40218874448316588</v>
      </c>
      <c r="U2102">
        <v>0</v>
      </c>
      <c r="V2102">
        <v>0.20319630655646145</v>
      </c>
      <c r="W2102">
        <v>0.23051058968284388</v>
      </c>
      <c r="X2102">
        <v>5.3336073971419033E-2</v>
      </c>
      <c r="Y2102">
        <v>1.0553045451290502E-2</v>
      </c>
    </row>
    <row r="2103" spans="1:25" x14ac:dyDescent="0.25">
      <c r="A2103" s="1083"/>
      <c r="B2103" s="1455">
        <v>1853</v>
      </c>
      <c r="C2103" s="1087">
        <v>1.0000541672249035</v>
      </c>
      <c r="D2103" s="1087">
        <v>0.98566973150664472</v>
      </c>
      <c r="E2103" s="1087">
        <v>0.99285061095182281</v>
      </c>
      <c r="F2103" s="1087">
        <v>0.98675679558579721</v>
      </c>
      <c r="G2103" s="1087">
        <v>0.98081565334626908</v>
      </c>
      <c r="H2103" s="1087">
        <v>0.97098414871425398</v>
      </c>
      <c r="I2103" s="1087">
        <v>0.99650280146816872</v>
      </c>
      <c r="K2103">
        <v>1.823005545027135</v>
      </c>
      <c r="L2103">
        <v>0</v>
      </c>
      <c r="M2103">
        <v>3.6111949502609137E-3</v>
      </c>
      <c r="N2103">
        <v>0.33547113945899526</v>
      </c>
      <c r="O2103">
        <v>0.23847896020926349</v>
      </c>
      <c r="P2103">
        <v>1.3002691023151471E-2</v>
      </c>
      <c r="Q2103">
        <v>1.5806764089654006E-3</v>
      </c>
      <c r="R2103">
        <v>3.6048166110220969E-3</v>
      </c>
      <c r="S2103">
        <v>0.36142308160348574</v>
      </c>
      <c r="T2103">
        <v>0.39731813448025</v>
      </c>
      <c r="U2103">
        <v>0</v>
      </c>
      <c r="V2103">
        <v>0.19933054544568729</v>
      </c>
      <c r="W2103">
        <v>0.21464677223745524</v>
      </c>
      <c r="X2103">
        <v>5.1948800011392897E-2</v>
      </c>
      <c r="Y2103">
        <v>9.8111224877256917E-3</v>
      </c>
    </row>
    <row r="2104" spans="1:25" x14ac:dyDescent="0.25">
      <c r="A2104" s="1083"/>
      <c r="B2104" s="1455">
        <v>1854</v>
      </c>
      <c r="C2104" s="1087">
        <v>0.97495208312087622</v>
      </c>
      <c r="D2104" s="1087">
        <v>0.97717451463111893</v>
      </c>
      <c r="E2104" s="1087">
        <v>0.97385401086050039</v>
      </c>
      <c r="F2104" s="1087">
        <v>0.97248067865623411</v>
      </c>
      <c r="G2104" s="1087">
        <v>1.0099934124909322</v>
      </c>
      <c r="H2104" s="1087">
        <v>1.0265242112053934</v>
      </c>
      <c r="I2104" s="1087">
        <v>0.99813470874629218</v>
      </c>
      <c r="K2104">
        <v>1.8835279972396237</v>
      </c>
      <c r="L2104">
        <v>0</v>
      </c>
      <c r="M2104">
        <v>4.0884490951810784E-3</v>
      </c>
      <c r="N2104">
        <v>0.35842440660626979</v>
      </c>
      <c r="O2104">
        <v>0.24031930248682934</v>
      </c>
      <c r="P2104">
        <v>1.3055036417278339E-2</v>
      </c>
      <c r="Q2104">
        <v>1.5941148357661128E-3</v>
      </c>
      <c r="R2104">
        <v>4.0816244044362873E-3</v>
      </c>
      <c r="S2104">
        <v>0.38326996520360257</v>
      </c>
      <c r="T2104">
        <v>0.39145925221855632</v>
      </c>
      <c r="U2104">
        <v>0</v>
      </c>
      <c r="V2104">
        <v>0.20112441233328787</v>
      </c>
      <c r="W2104">
        <v>0.23210621930147343</v>
      </c>
      <c r="X2104">
        <v>5.1073276405549893E-2</v>
      </c>
      <c r="Y2104">
        <v>1.1108836121752263E-2</v>
      </c>
    </row>
    <row r="2105" spans="1:25" x14ac:dyDescent="0.25">
      <c r="A2105" s="1083"/>
      <c r="B2105" s="1455">
        <v>1855</v>
      </c>
      <c r="C2105" s="1087">
        <v>0.99474591575397076</v>
      </c>
      <c r="D2105" s="1087">
        <v>1.000260553448602</v>
      </c>
      <c r="E2105" s="1087">
        <v>1.0220498245810146</v>
      </c>
      <c r="F2105" s="1087">
        <v>0.97382269474297767</v>
      </c>
      <c r="G2105" s="1087">
        <v>0.96750173352747948</v>
      </c>
      <c r="H2105" s="1087">
        <v>1.0253904020760869</v>
      </c>
      <c r="I2105" s="1087">
        <v>0.99604835290399563</v>
      </c>
      <c r="K2105">
        <v>1.8692826016246697</v>
      </c>
      <c r="L2105">
        <v>0</v>
      </c>
      <c r="M2105">
        <v>3.5827074361225869E-3</v>
      </c>
      <c r="N2105">
        <v>0.36385848302507945</v>
      </c>
      <c r="O2105">
        <v>0.23653714904712458</v>
      </c>
      <c r="P2105">
        <v>1.3326276428487532E-2</v>
      </c>
      <c r="Q2105">
        <v>1.6295308090250927E-3</v>
      </c>
      <c r="R2105">
        <v>3.5767026604882524E-3</v>
      </c>
      <c r="S2105">
        <v>0.37045223136379163</v>
      </c>
      <c r="T2105">
        <v>0.39228340728294392</v>
      </c>
      <c r="U2105">
        <v>0</v>
      </c>
      <c r="V2105">
        <v>0.1981731627029959</v>
      </c>
      <c r="W2105">
        <v>0.22862426648451145</v>
      </c>
      <c r="X2105">
        <v>5.4669493674207259E-2</v>
      </c>
      <c r="Y2105">
        <v>9.7346055821338692E-3</v>
      </c>
    </row>
    <row r="2106" spans="1:25" x14ac:dyDescent="0.25">
      <c r="A2106" s="1083"/>
      <c r="B2106" s="1455">
        <v>1856</v>
      </c>
      <c r="C2106" s="1087">
        <v>0.98214705020479376</v>
      </c>
      <c r="D2106" s="1087">
        <v>1.0079621009759934</v>
      </c>
      <c r="E2106" s="1087">
        <v>0.99422609040282883</v>
      </c>
      <c r="F2106" s="1087">
        <v>1.0050636230918328</v>
      </c>
      <c r="G2106" s="1087">
        <v>1.0232813200357007</v>
      </c>
      <c r="H2106" s="1087">
        <v>0.99287244395001251</v>
      </c>
      <c r="I2106" s="1087">
        <v>0.9717130684396752</v>
      </c>
      <c r="K2106">
        <v>1.8494016599242504</v>
      </c>
      <c r="L2106">
        <v>0</v>
      </c>
      <c r="M2106">
        <v>3.7047103381771963E-3</v>
      </c>
      <c r="N2106">
        <v>0.34561849073204659</v>
      </c>
      <c r="O2106">
        <v>0.24065417694132343</v>
      </c>
      <c r="P2106">
        <v>1.3107041711871959E-2</v>
      </c>
      <c r="Q2106">
        <v>1.5975098081886783E-3</v>
      </c>
      <c r="R2106">
        <v>3.6982916123928142E-3</v>
      </c>
      <c r="S2106">
        <v>0.3583817562515284</v>
      </c>
      <c r="T2106">
        <v>0.4046977258827657</v>
      </c>
      <c r="U2106">
        <v>0</v>
      </c>
      <c r="V2106">
        <v>0.20168673069859216</v>
      </c>
      <c r="W2106">
        <v>0.22094852250715652</v>
      </c>
      <c r="X2106">
        <v>5.2650593489126409E-2</v>
      </c>
      <c r="Y2106">
        <v>1.0065530627430869E-2</v>
      </c>
    </row>
    <row r="2107" spans="1:25" x14ac:dyDescent="0.25">
      <c r="A2107" s="1083"/>
      <c r="B2107" s="1455">
        <v>1857</v>
      </c>
      <c r="C2107" s="1087">
        <v>0.99232951244537404</v>
      </c>
      <c r="D2107" s="1087">
        <v>1.0222813514298696</v>
      </c>
      <c r="E2107" s="1087">
        <v>0.97559355325552854</v>
      </c>
      <c r="F2107" s="1087">
        <v>1.0005562340233087</v>
      </c>
      <c r="G2107" s="1087">
        <v>1.0180617068882496</v>
      </c>
      <c r="H2107" s="1087">
        <v>1.0219409825306303</v>
      </c>
      <c r="I2107" s="1087">
        <v>0.98061470037450615</v>
      </c>
      <c r="K2107">
        <v>1.8394525199485481</v>
      </c>
      <c r="L2107">
        <v>0</v>
      </c>
      <c r="M2107">
        <v>3.8903989598092492E-3</v>
      </c>
      <c r="N2107">
        <v>0.34287456372344133</v>
      </c>
      <c r="O2107">
        <v>0.23719795777398495</v>
      </c>
      <c r="P2107">
        <v>1.2889403221062275E-2</v>
      </c>
      <c r="Q2107">
        <v>1.5410732539828964E-3</v>
      </c>
      <c r="R2107">
        <v>3.8838370254060308E-3</v>
      </c>
      <c r="S2107">
        <v>0.36010544294285124</v>
      </c>
      <c r="T2107">
        <v>0.40277104982998307</v>
      </c>
      <c r="U2107">
        <v>0</v>
      </c>
      <c r="V2107">
        <v>0.19932298400142165</v>
      </c>
      <c r="W2107">
        <v>0.22179070724406422</v>
      </c>
      <c r="X2107">
        <v>5.0395375815534299E-2</v>
      </c>
      <c r="Y2107">
        <v>1.0570524076623884E-2</v>
      </c>
    </row>
    <row r="2108" spans="1:25" x14ac:dyDescent="0.25">
      <c r="A2108" s="1083"/>
      <c r="B2108" s="1455">
        <v>1858</v>
      </c>
      <c r="C2108" s="1087">
        <v>0.99301528077420265</v>
      </c>
      <c r="D2108" s="1087">
        <v>1.0060874531691413</v>
      </c>
      <c r="E2108" s="1087">
        <v>1.0176485468990852</v>
      </c>
      <c r="F2108" s="1087">
        <v>0.99869808576571073</v>
      </c>
      <c r="G2108" s="1087">
        <v>0.97838372253694128</v>
      </c>
      <c r="H2108" s="1087">
        <v>0.98649155278914102</v>
      </c>
      <c r="I2108" s="1087">
        <v>0.98210247635353143</v>
      </c>
      <c r="K2108">
        <v>1.8453476309272461</v>
      </c>
      <c r="L2108">
        <v>0</v>
      </c>
      <c r="M2108">
        <v>3.4735442278712803E-3</v>
      </c>
      <c r="N2108">
        <v>0.34804866571884263</v>
      </c>
      <c r="O2108">
        <v>0.23909208681715605</v>
      </c>
      <c r="P2108">
        <v>1.3273616496875232E-2</v>
      </c>
      <c r="Q2108">
        <v>1.6210399331113899E-3</v>
      </c>
      <c r="R2108">
        <v>3.4674885059107962E-3</v>
      </c>
      <c r="S2108">
        <v>0.35773563159761873</v>
      </c>
      <c r="T2108">
        <v>0.40227691563633833</v>
      </c>
      <c r="U2108">
        <v>0</v>
      </c>
      <c r="V2108">
        <v>0.2001917223088997</v>
      </c>
      <c r="W2108">
        <v>0.21928375216855675</v>
      </c>
      <c r="X2108">
        <v>5.4392895315994623E-2</v>
      </c>
      <c r="Y2108">
        <v>9.4373606558104169E-3</v>
      </c>
    </row>
    <row r="2109" spans="1:25" x14ac:dyDescent="0.25">
      <c r="A2109" s="1083"/>
      <c r="B2109" s="1455">
        <v>1859</v>
      </c>
      <c r="C2109" s="1087">
        <v>1.0022640863242807</v>
      </c>
      <c r="D2109" s="1087">
        <v>1.0069948697579127</v>
      </c>
      <c r="E2109" s="1087">
        <v>0.9991521616258825</v>
      </c>
      <c r="F2109" s="1087">
        <v>0.96128209139967302</v>
      </c>
      <c r="G2109" s="1087">
        <v>1.02814504353821</v>
      </c>
      <c r="H2109" s="1087">
        <v>0.96843667202616179</v>
      </c>
      <c r="I2109" s="1087">
        <v>0.98029472594243761</v>
      </c>
      <c r="K2109">
        <v>1.7851875974172169</v>
      </c>
      <c r="L2109">
        <v>0</v>
      </c>
      <c r="M2109">
        <v>3.5068442860977417E-3</v>
      </c>
      <c r="N2109">
        <v>0.33210119170382957</v>
      </c>
      <c r="O2109">
        <v>0.23316177264353471</v>
      </c>
      <c r="P2109">
        <v>1.2723407973293821E-2</v>
      </c>
      <c r="Q2109">
        <v>1.5743026391835046E-3</v>
      </c>
      <c r="R2109">
        <v>3.5006150315776536E-3</v>
      </c>
      <c r="S2109">
        <v>0.35018961363225715</v>
      </c>
      <c r="T2109">
        <v>0.387097330839489</v>
      </c>
      <c r="U2109">
        <v>0</v>
      </c>
      <c r="V2109">
        <v>0.19579723545425748</v>
      </c>
      <c r="W2109">
        <v>0.21165303826437062</v>
      </c>
      <c r="X2109">
        <v>5.1368413383002055E-2</v>
      </c>
      <c r="Y2109">
        <v>9.5275201385193482E-3</v>
      </c>
    </row>
    <row r="2110" spans="1:25" x14ac:dyDescent="0.25">
      <c r="A2110" s="1083"/>
      <c r="B2110" s="1455">
        <v>1860</v>
      </c>
      <c r="C2110" s="1087">
        <v>0.97818597781768768</v>
      </c>
      <c r="D2110" s="1087">
        <v>0.97315428208378996</v>
      </c>
      <c r="E2110" s="1087">
        <v>1.0224480732868841</v>
      </c>
      <c r="F2110" s="1087">
        <v>1.0002615936261374</v>
      </c>
      <c r="G2110" s="1087">
        <v>1.0118921894046276</v>
      </c>
      <c r="H2110" s="1087">
        <v>0.97656666922117397</v>
      </c>
      <c r="I2110" s="1087">
        <v>0.99243917430411321</v>
      </c>
      <c r="K2110">
        <v>1.8865511452344981</v>
      </c>
      <c r="L2110">
        <v>0</v>
      </c>
      <c r="M2110">
        <v>3.5187732887548271E-3</v>
      </c>
      <c r="N2110">
        <v>0.35777160382951961</v>
      </c>
      <c r="O2110">
        <v>0.24447996824603316</v>
      </c>
      <c r="P2110">
        <v>1.3576736469742013E-2</v>
      </c>
      <c r="Q2110">
        <v>1.6761314812916135E-3</v>
      </c>
      <c r="R2110">
        <v>3.5126044262827239E-3</v>
      </c>
      <c r="S2110">
        <v>0.37199428456656169</v>
      </c>
      <c r="T2110">
        <v>0.40293619715246609</v>
      </c>
      <c r="U2110">
        <v>0</v>
      </c>
      <c r="V2110">
        <v>0.20375396834816611</v>
      </c>
      <c r="W2110">
        <v>0.22474467454252112</v>
      </c>
      <c r="X2110">
        <v>5.6063598142063582E-2</v>
      </c>
      <c r="Y2110">
        <v>9.560151318603648E-3</v>
      </c>
    </row>
    <row r="2111" spans="1:25" x14ac:dyDescent="0.25">
      <c r="A2111" s="1083"/>
      <c r="B2111" s="1455">
        <v>1861</v>
      </c>
      <c r="C2111" s="1087">
        <v>0.98378343046227223</v>
      </c>
      <c r="D2111" s="1087">
        <v>1.0138043065771531</v>
      </c>
      <c r="E2111" s="1087">
        <v>0.97980998604462111</v>
      </c>
      <c r="F2111" s="1087">
        <v>0.99683305360581576</v>
      </c>
      <c r="G2111" s="1087">
        <v>0.99182699593211343</v>
      </c>
      <c r="H2111" s="1087">
        <v>1.015594774008407</v>
      </c>
      <c r="I2111" s="1087">
        <v>0.97164508681602113</v>
      </c>
      <c r="K2111">
        <v>1.8474603937850185</v>
      </c>
      <c r="L2111">
        <v>0</v>
      </c>
      <c r="M2111">
        <v>3.8840056902632886E-3</v>
      </c>
      <c r="N2111">
        <v>0.34674848354010662</v>
      </c>
      <c r="O2111">
        <v>0.23869759976492375</v>
      </c>
      <c r="P2111">
        <v>1.2930776887257318E-2</v>
      </c>
      <c r="Q2111">
        <v>1.5667516299628652E-3</v>
      </c>
      <c r="R2111">
        <v>3.8774215003814258E-3</v>
      </c>
      <c r="S2111">
        <v>0.36049546120488962</v>
      </c>
      <c r="T2111">
        <v>0.40129735218069845</v>
      </c>
      <c r="U2111">
        <v>0</v>
      </c>
      <c r="V2111">
        <v>0.20040396468386315</v>
      </c>
      <c r="W2111">
        <v>0.22369644649873785</v>
      </c>
      <c r="X2111">
        <v>5.1077078452077547E-2</v>
      </c>
      <c r="Y2111">
        <v>1.0553063132384162E-2</v>
      </c>
    </row>
    <row r="2112" spans="1:25" x14ac:dyDescent="0.25">
      <c r="A2112" s="1083"/>
      <c r="B2112" s="1455">
        <v>1862</v>
      </c>
      <c r="C2112" s="1087">
        <v>1.019585820011685</v>
      </c>
      <c r="D2112" s="1087">
        <v>0.97817138883990107</v>
      </c>
      <c r="E2112" s="1087">
        <v>0.96694683867611297</v>
      </c>
      <c r="F2112" s="1087">
        <v>0.98600104298510516</v>
      </c>
      <c r="G2112" s="1087">
        <v>1.029030907267775</v>
      </c>
      <c r="H2112" s="1087">
        <v>0.98820837367651615</v>
      </c>
      <c r="I2112" s="1087">
        <v>0.98614458306949127</v>
      </c>
      <c r="K2112">
        <v>1.8002069544316135</v>
      </c>
      <c r="L2112">
        <v>0</v>
      </c>
      <c r="M2112">
        <v>3.8161093459578763E-3</v>
      </c>
      <c r="N2112">
        <v>0.3275349708519063</v>
      </c>
      <c r="O2112">
        <v>0.23645432620848536</v>
      </c>
      <c r="P2112">
        <v>1.2634026816416066E-2</v>
      </c>
      <c r="Q2112">
        <v>1.5123629011786534E-3</v>
      </c>
      <c r="R2112">
        <v>3.8094936971726809E-3</v>
      </c>
      <c r="S2112">
        <v>0.35507584886187271</v>
      </c>
      <c r="T2112">
        <v>0.39686131443948724</v>
      </c>
      <c r="U2112">
        <v>0</v>
      </c>
      <c r="V2112">
        <v>0.19745851999775743</v>
      </c>
      <c r="W2112">
        <v>0.21304117027696198</v>
      </c>
      <c r="X2112">
        <v>4.9272843681887585E-2</v>
      </c>
      <c r="Y2112">
        <v>1.0368186044444267E-2</v>
      </c>
    </row>
    <row r="2113" spans="1:25" x14ac:dyDescent="0.25">
      <c r="A2113" s="1083"/>
      <c r="B2113" s="1455">
        <v>1863</v>
      </c>
      <c r="C2113" s="1087">
        <v>0.96403963620242628</v>
      </c>
      <c r="D2113" s="1087">
        <v>1.0280000533467819</v>
      </c>
      <c r="E2113" s="1087">
        <v>0.98260670344451106</v>
      </c>
      <c r="F2113" s="1087">
        <v>0.98133803851643353</v>
      </c>
      <c r="G2113" s="1087">
        <v>0.97281688732379501</v>
      </c>
      <c r="H2113" s="1087">
        <v>1.0045021685156383</v>
      </c>
      <c r="I2113" s="1087">
        <v>1.0175783445263633</v>
      </c>
      <c r="K2113">
        <v>1.8630321436639297</v>
      </c>
      <c r="L2113">
        <v>0</v>
      </c>
      <c r="M2113">
        <v>3.8687535078905755E-3</v>
      </c>
      <c r="N2113">
        <v>0.3483436022426723</v>
      </c>
      <c r="O2113">
        <v>0.23795775112443227</v>
      </c>
      <c r="P2113">
        <v>1.3142462407162927E-2</v>
      </c>
      <c r="Q2113">
        <v>1.5947627392425164E-3</v>
      </c>
      <c r="R2113">
        <v>3.8621097430437522E-3</v>
      </c>
      <c r="S2113">
        <v>0.3802633540434171</v>
      </c>
      <c r="T2113">
        <v>0.39507589351264472</v>
      </c>
      <c r="U2113">
        <v>0</v>
      </c>
      <c r="V2113">
        <v>0.20053482129603412</v>
      </c>
      <c r="W2113">
        <v>0.22432755187926426</v>
      </c>
      <c r="X2113">
        <v>5.1287198607472828E-2</v>
      </c>
      <c r="Y2113">
        <v>1.0511389576430464E-2</v>
      </c>
    </row>
    <row r="2114" spans="1:25" x14ac:dyDescent="0.25">
      <c r="A2114" s="1083"/>
      <c r="B2114" s="1455">
        <v>1864</v>
      </c>
      <c r="C2114" s="1087">
        <v>1.0040533145573014</v>
      </c>
      <c r="D2114" s="1087">
        <v>0.97951341776112577</v>
      </c>
      <c r="E2114" s="1087">
        <v>0.97312375909189253</v>
      </c>
      <c r="F2114" s="1087">
        <v>1.0060304583679844</v>
      </c>
      <c r="G2114" s="1087">
        <v>1.0188174412998496</v>
      </c>
      <c r="H2114" s="1087">
        <v>0.98969126145429598</v>
      </c>
      <c r="I2114" s="1087">
        <v>1.0144320105645117</v>
      </c>
      <c r="K2114">
        <v>1.8451223130275027</v>
      </c>
      <c r="L2114">
        <v>0</v>
      </c>
      <c r="M2114">
        <v>3.8298386581731964E-3</v>
      </c>
      <c r="N2114">
        <v>0.33498301643061068</v>
      </c>
      <c r="O2114">
        <v>0.24063564569760806</v>
      </c>
      <c r="P2114">
        <v>1.3059515127835439E-2</v>
      </c>
      <c r="Q2114">
        <v>1.5452123713820961E-3</v>
      </c>
      <c r="R2114">
        <v>3.8232082515677838E-3</v>
      </c>
      <c r="S2114">
        <v>0.37098578575764801</v>
      </c>
      <c r="T2114">
        <v>0.40495990674333493</v>
      </c>
      <c r="U2114">
        <v>0</v>
      </c>
      <c r="V2114">
        <v>0.20079051602177686</v>
      </c>
      <c r="W2114">
        <v>0.21702719352918545</v>
      </c>
      <c r="X2114">
        <v>5.0736639214219489E-2</v>
      </c>
      <c r="Y2114">
        <v>1.0405512540506097E-2</v>
      </c>
    </row>
    <row r="2115" spans="1:25" x14ac:dyDescent="0.25">
      <c r="A2115" s="1083"/>
      <c r="B2115" s="1455">
        <v>1865</v>
      </c>
      <c r="C2115" s="1087">
        <v>0.95572642842784405</v>
      </c>
      <c r="D2115" s="1087">
        <v>1.0317236634403208</v>
      </c>
      <c r="E2115" s="1087">
        <v>0.9954046145934341</v>
      </c>
      <c r="F2115" s="1087">
        <v>1.0257551497235304</v>
      </c>
      <c r="G2115" s="1087">
        <v>1.011053740154723</v>
      </c>
      <c r="H2115" s="1087">
        <v>0.99087038474578448</v>
      </c>
      <c r="I2115" s="1087">
        <v>0.96399507761640724</v>
      </c>
      <c r="K2115">
        <v>1.8756710146284126</v>
      </c>
      <c r="L2115">
        <v>0</v>
      </c>
      <c r="M2115">
        <v>3.7432112095047224E-3</v>
      </c>
      <c r="N2115">
        <v>0.35046579858926113</v>
      </c>
      <c r="O2115">
        <v>0.24410894968187166</v>
      </c>
      <c r="P2115">
        <v>1.3306808375693324E-2</v>
      </c>
      <c r="Q2115">
        <v>1.6284920161806632E-3</v>
      </c>
      <c r="R2115">
        <v>3.7366919546072265E-3</v>
      </c>
      <c r="S2115">
        <v>0.36036045356781748</v>
      </c>
      <c r="T2115">
        <v>0.41303664915142513</v>
      </c>
      <c r="U2115">
        <v>0</v>
      </c>
      <c r="V2115">
        <v>0.20520975952875697</v>
      </c>
      <c r="W2115">
        <v>0.22388176572885474</v>
      </c>
      <c r="X2115">
        <v>5.3508813543179073E-2</v>
      </c>
      <c r="Y2115">
        <v>1.0170043700269084E-2</v>
      </c>
    </row>
    <row r="2116" spans="1:25" x14ac:dyDescent="0.25">
      <c r="A2116" s="1083"/>
      <c r="B2116" s="1455">
        <v>1866</v>
      </c>
      <c r="C2116" s="1087">
        <v>0.98723670885295278</v>
      </c>
      <c r="D2116" s="1087">
        <v>0.9878772659585161</v>
      </c>
      <c r="E2116" s="1087">
        <v>1.0162004720099318</v>
      </c>
      <c r="F2116" s="1087">
        <v>1.0245722380623419</v>
      </c>
      <c r="G2116" s="1087">
        <v>1.0108645888679282</v>
      </c>
      <c r="H2116" s="1087">
        <v>0.99376908697075272</v>
      </c>
      <c r="I2116" s="1087">
        <v>1.0086504358366923</v>
      </c>
      <c r="K2116">
        <v>1.8965864056433734</v>
      </c>
      <c r="L2116">
        <v>0</v>
      </c>
      <c r="M2116">
        <v>3.5652584578030862E-3</v>
      </c>
      <c r="N2116">
        <v>0.35567132473945817</v>
      </c>
      <c r="O2116">
        <v>0.24467685540767828</v>
      </c>
      <c r="P2116">
        <v>1.3689994712605831E-2</v>
      </c>
      <c r="Q2116">
        <v>1.6399746667145939E-3</v>
      </c>
      <c r="R2116">
        <v>3.5591043733383832E-3</v>
      </c>
      <c r="S2116">
        <v>0.37466298102273604</v>
      </c>
      <c r="T2116">
        <v>0.41268996172170136</v>
      </c>
      <c r="U2116">
        <v>0</v>
      </c>
      <c r="V2116">
        <v>0.20402479846732363</v>
      </c>
      <c r="W2116">
        <v>0.22428659489420752</v>
      </c>
      <c r="X2116">
        <v>5.5563365249625796E-2</v>
      </c>
      <c r="Y2116">
        <v>9.6867088457857266E-3</v>
      </c>
    </row>
    <row r="2117" spans="1:25" x14ac:dyDescent="0.25">
      <c r="A2117" s="1083"/>
      <c r="B2117" s="1455">
        <v>1867</v>
      </c>
      <c r="C2117" s="1087">
        <v>1.0079149828209568</v>
      </c>
      <c r="D2117" s="1087">
        <v>1.003912710539103</v>
      </c>
      <c r="E2117" s="1087">
        <v>0.97168600773395708</v>
      </c>
      <c r="F2117" s="1087">
        <v>0.97409430185042734</v>
      </c>
      <c r="G2117" s="1087">
        <v>0.98644965944144614</v>
      </c>
      <c r="H2117" s="1087">
        <v>1.0156764432888534</v>
      </c>
      <c r="I2117" s="1087">
        <v>0.97592392197933664</v>
      </c>
      <c r="K2117">
        <v>1.8078446016448526</v>
      </c>
      <c r="L2117">
        <v>0</v>
      </c>
      <c r="M2117">
        <v>3.8747547127627215E-3</v>
      </c>
      <c r="N2117">
        <v>0.33743791069736406</v>
      </c>
      <c r="O2117">
        <v>0.23394395019093531</v>
      </c>
      <c r="P2117">
        <v>1.2603357003710311E-2</v>
      </c>
      <c r="Q2117">
        <v>1.5218500949267884E-3</v>
      </c>
      <c r="R2117">
        <v>3.8681952172208282E-3</v>
      </c>
      <c r="S2117">
        <v>0.35524450547745484</v>
      </c>
      <c r="T2117">
        <v>0.39209625072753357</v>
      </c>
      <c r="U2117">
        <v>0</v>
      </c>
      <c r="V2117">
        <v>0.19631549993433783</v>
      </c>
      <c r="W2117">
        <v>0.21881827622238442</v>
      </c>
      <c r="X2117">
        <v>4.9341608560684279E-2</v>
      </c>
      <c r="Y2117">
        <v>1.0527952231064442E-2</v>
      </c>
    </row>
    <row r="2118" spans="1:25" x14ac:dyDescent="0.25">
      <c r="A2118" s="1083"/>
      <c r="B2118" s="1455">
        <v>1868</v>
      </c>
      <c r="C2118" s="1087">
        <v>1.0031307109780001</v>
      </c>
      <c r="D2118" s="1087">
        <v>0.9780097535708826</v>
      </c>
      <c r="E2118" s="1087">
        <v>0.98981608940779553</v>
      </c>
      <c r="F2118" s="1087">
        <v>1.0110267180524168</v>
      </c>
      <c r="G2118" s="1087">
        <v>0.99046260578999745</v>
      </c>
      <c r="H2118" s="1087">
        <v>0.96248166872788787</v>
      </c>
      <c r="I2118" s="1087">
        <v>0.96386556052978645</v>
      </c>
      <c r="K2118">
        <v>1.8200331133510359</v>
      </c>
      <c r="L2118">
        <v>0</v>
      </c>
      <c r="M2118">
        <v>3.6062214363391343E-3</v>
      </c>
      <c r="N2118">
        <v>0.33191466410668963</v>
      </c>
      <c r="O2118">
        <v>0.2417373655167657</v>
      </c>
      <c r="P2118">
        <v>1.2959665961964115E-2</v>
      </c>
      <c r="Q2118">
        <v>1.5756278638103247E-3</v>
      </c>
      <c r="R2118">
        <v>3.5998031219400439E-3</v>
      </c>
      <c r="S2118">
        <v>0.34850657818082126</v>
      </c>
      <c r="T2118">
        <v>0.40707195704960697</v>
      </c>
      <c r="U2118">
        <v>0</v>
      </c>
      <c r="V2118">
        <v>0.20150499209751244</v>
      </c>
      <c r="W2118">
        <v>0.21277689566622404</v>
      </c>
      <c r="X2118">
        <v>5.2194307798899553E-2</v>
      </c>
      <c r="Y2118">
        <v>9.7974774231405787E-3</v>
      </c>
    </row>
    <row r="2119" spans="1:25" x14ac:dyDescent="0.25">
      <c r="A2119" s="1083"/>
      <c r="B2119" s="1455">
        <v>1869</v>
      </c>
      <c r="C2119" s="1087">
        <v>0.98686212308318255</v>
      </c>
      <c r="D2119" s="1087">
        <v>0.98760198384213782</v>
      </c>
      <c r="E2119" s="1087">
        <v>1.0156851233204081</v>
      </c>
      <c r="F2119" s="1087">
        <v>0.97642415684087969</v>
      </c>
      <c r="G2119" s="1087">
        <v>0.99270686440975253</v>
      </c>
      <c r="H2119" s="1087">
        <v>0.99841035108208431</v>
      </c>
      <c r="I2119" s="1087">
        <v>0.99705604333794418</v>
      </c>
      <c r="K2119">
        <v>1.8652055113171919</v>
      </c>
      <c r="L2119">
        <v>0</v>
      </c>
      <c r="M2119">
        <v>3.5867871500681494E-3</v>
      </c>
      <c r="N2119">
        <v>0.35726014885915897</v>
      </c>
      <c r="O2119">
        <v>0.23894126074936273</v>
      </c>
      <c r="P2119">
        <v>1.3314227006626248E-2</v>
      </c>
      <c r="Q2119">
        <v>1.6398866591013448E-3</v>
      </c>
      <c r="R2119">
        <v>3.5806235332418125E-3</v>
      </c>
      <c r="S2119">
        <v>0.37136325949793531</v>
      </c>
      <c r="T2119">
        <v>0.39329319493024317</v>
      </c>
      <c r="U2119">
        <v>0</v>
      </c>
      <c r="V2119">
        <v>0.19987291848219499</v>
      </c>
      <c r="W2119">
        <v>0.22536020003630269</v>
      </c>
      <c r="X2119">
        <v>5.442130180783912E-2</v>
      </c>
      <c r="Y2119">
        <v>9.7452769052537094E-3</v>
      </c>
    </row>
    <row r="2120" spans="1:25" x14ac:dyDescent="0.25">
      <c r="A2120" s="1083"/>
      <c r="B2120" s="1455">
        <v>1870</v>
      </c>
      <c r="C2120" s="1087">
        <v>0.97543401765191362</v>
      </c>
      <c r="D2120" s="1087">
        <v>1.021473467434646</v>
      </c>
      <c r="E2120" s="1087">
        <v>0.98424101689928922</v>
      </c>
      <c r="F2120" s="1087">
        <v>1.0031415464478941</v>
      </c>
      <c r="G2120" s="1087">
        <v>1.0237310158228576</v>
      </c>
      <c r="H2120" s="1087">
        <v>1.0101905157721027</v>
      </c>
      <c r="I2120" s="1087">
        <v>1.013064315764314</v>
      </c>
      <c r="K2120">
        <v>1.8706296256244546</v>
      </c>
      <c r="L2120">
        <v>0</v>
      </c>
      <c r="M2120">
        <v>3.845779343202562E-3</v>
      </c>
      <c r="N2120">
        <v>0.34801236437300809</v>
      </c>
      <c r="O2120">
        <v>0.23978961753739145</v>
      </c>
      <c r="P2120">
        <v>1.3240192328953697E-2</v>
      </c>
      <c r="Q2120">
        <v>1.5829322684272336E-3</v>
      </c>
      <c r="R2120">
        <v>3.8392183497195365E-3</v>
      </c>
      <c r="S2120">
        <v>0.37655743316988921</v>
      </c>
      <c r="T2120">
        <v>0.40386356127892975</v>
      </c>
      <c r="U2120">
        <v>0</v>
      </c>
      <c r="V2120">
        <v>0.2014963997497991</v>
      </c>
      <c r="W2120">
        <v>0.22388262727787311</v>
      </c>
      <c r="X2120">
        <v>5.1761971883719081E-2</v>
      </c>
      <c r="Y2120">
        <v>1.044908674994773E-2</v>
      </c>
    </row>
    <row r="2121" spans="1:25" x14ac:dyDescent="0.25">
      <c r="A2121" s="1083"/>
      <c r="B2121" s="1455">
        <v>1871</v>
      </c>
      <c r="C2121" s="1087">
        <v>1.008541257228142</v>
      </c>
      <c r="D2121" s="1087">
        <v>0.98140955797894003</v>
      </c>
      <c r="E2121" s="1087">
        <v>1.0035633789591729</v>
      </c>
      <c r="F2121" s="1087">
        <v>0.99939078932567105</v>
      </c>
      <c r="G2121" s="1087">
        <v>0.99238047819221886</v>
      </c>
      <c r="H2121" s="1087">
        <v>0.96841190363103757</v>
      </c>
      <c r="I2121" s="1087">
        <v>0.98919374981786901</v>
      </c>
      <c r="K2121">
        <v>1.8251943770404113</v>
      </c>
      <c r="L2121">
        <v>0</v>
      </c>
      <c r="M2121">
        <v>3.5022836427263519E-3</v>
      </c>
      <c r="N2121">
        <v>0.33616605281546763</v>
      </c>
      <c r="O2121">
        <v>0.23955660915036053</v>
      </c>
      <c r="P2121">
        <v>1.3113842949196968E-2</v>
      </c>
      <c r="Q2121">
        <v>1.588135220963034E-3</v>
      </c>
      <c r="R2121">
        <v>3.496085297458258E-3</v>
      </c>
      <c r="S2121">
        <v>0.35627500936629719</v>
      </c>
      <c r="T2121">
        <v>0.4024700065019054</v>
      </c>
      <c r="U2121">
        <v>0</v>
      </c>
      <c r="V2121">
        <v>0.19981983623297531</v>
      </c>
      <c r="W2121">
        <v>0.21365454424928529</v>
      </c>
      <c r="X2121">
        <v>5.3041347203753635E-2</v>
      </c>
      <c r="Y2121">
        <v>9.5151916954728088E-3</v>
      </c>
    </row>
    <row r="2122" spans="1:25" x14ac:dyDescent="0.25">
      <c r="A2122" s="1083"/>
      <c r="B2122" s="1455">
        <v>1872</v>
      </c>
      <c r="C2122" s="1087">
        <v>1.0172487903373846</v>
      </c>
      <c r="D2122" s="1087">
        <v>0.98691800588534817</v>
      </c>
      <c r="E2122" s="1087">
        <v>0.96587838881729249</v>
      </c>
      <c r="F2122" s="1087">
        <v>1.0066362971426013</v>
      </c>
      <c r="G2122" s="1087">
        <v>0.99031191607090518</v>
      </c>
      <c r="H2122" s="1087">
        <v>1.0204473589580227</v>
      </c>
      <c r="I2122" s="1087">
        <v>0.98233813795855507</v>
      </c>
      <c r="K2122">
        <v>1.8319373631363489</v>
      </c>
      <c r="L2122">
        <v>0</v>
      </c>
      <c r="M2122">
        <v>3.9393083464135479E-3</v>
      </c>
      <c r="N2122">
        <v>0.33702353852350453</v>
      </c>
      <c r="O2122">
        <v>0.23827177668550276</v>
      </c>
      <c r="P2122">
        <v>1.2799294092578779E-2</v>
      </c>
      <c r="Q2122">
        <v>1.5087004633857575E-3</v>
      </c>
      <c r="R2122">
        <v>3.9326866895200274E-3</v>
      </c>
      <c r="S2122">
        <v>0.35844235285189341</v>
      </c>
      <c r="T2122">
        <v>0.4051605602105034</v>
      </c>
      <c r="U2122">
        <v>0</v>
      </c>
      <c r="V2122">
        <v>0.19900276319577484</v>
      </c>
      <c r="W2122">
        <v>0.21936305012230647</v>
      </c>
      <c r="X2122">
        <v>4.9668471888733821E-2</v>
      </c>
      <c r="Y2122">
        <v>1.070347675905473E-2</v>
      </c>
    </row>
    <row r="2123" spans="1:25" x14ac:dyDescent="0.25">
      <c r="A2123" s="1083"/>
      <c r="B2123" s="1455">
        <v>1873</v>
      </c>
      <c r="C2123" s="1087">
        <v>0.97286574796522007</v>
      </c>
      <c r="D2123" s="1087">
        <v>0.96239681310740444</v>
      </c>
      <c r="E2123" s="1087">
        <v>0.98580990225029064</v>
      </c>
      <c r="F2123" s="1087">
        <v>0.98845983480725108</v>
      </c>
      <c r="G2123" s="1087">
        <v>0.98718816532676257</v>
      </c>
      <c r="H2123" s="1087">
        <v>1.0136185592358065</v>
      </c>
      <c r="I2123" s="1087">
        <v>1.0209422779408117</v>
      </c>
      <c r="K2123">
        <v>1.913175218071673</v>
      </c>
      <c r="L2123">
        <v>0</v>
      </c>
      <c r="M2123">
        <v>3.9810379939186234E-3</v>
      </c>
      <c r="N2123">
        <v>0.36198997652879611</v>
      </c>
      <c r="O2123">
        <v>0.24422773656783692</v>
      </c>
      <c r="P2123">
        <v>1.3438993951275706E-2</v>
      </c>
      <c r="Q2123">
        <v>1.6281266104547047E-3</v>
      </c>
      <c r="R2123">
        <v>3.9743225718521964E-3</v>
      </c>
      <c r="S2123">
        <v>0.39385743082683089</v>
      </c>
      <c r="T2123">
        <v>0.39796201759920968</v>
      </c>
      <c r="U2123">
        <v>0</v>
      </c>
      <c r="V2123">
        <v>0.20365783371179069</v>
      </c>
      <c r="W2123">
        <v>0.23264391984958188</v>
      </c>
      <c r="X2123">
        <v>5.2959101942462332E-2</v>
      </c>
      <c r="Y2123">
        <v>1.0816795905497974E-2</v>
      </c>
    </row>
    <row r="2124" spans="1:25" x14ac:dyDescent="0.25">
      <c r="A2124" s="1083"/>
      <c r="B2124" s="1455">
        <v>1874</v>
      </c>
      <c r="C2124" s="1087">
        <v>1.0154479300343182</v>
      </c>
      <c r="D2124" s="1087">
        <v>0.97894647664447332</v>
      </c>
      <c r="E2124" s="1087">
        <v>1.0039463210910646</v>
      </c>
      <c r="F2124" s="1087">
        <v>0.99426086560897287</v>
      </c>
      <c r="G2124" s="1087">
        <v>0.96176736015956754</v>
      </c>
      <c r="H2124" s="1087">
        <v>0.98568026301420775</v>
      </c>
      <c r="I2124" s="1087">
        <v>1.0076832959097046</v>
      </c>
      <c r="K2124">
        <v>1.8357812439844852</v>
      </c>
      <c r="L2124">
        <v>0</v>
      </c>
      <c r="M2124">
        <v>3.5424670436358333E-3</v>
      </c>
      <c r="N2124">
        <v>0.34043130430541368</v>
      </c>
      <c r="O2124">
        <v>0.23837971252178536</v>
      </c>
      <c r="P2124">
        <v>1.3182488258395028E-2</v>
      </c>
      <c r="Q2124">
        <v>1.5795627887930867E-3</v>
      </c>
      <c r="R2124">
        <v>3.536309494062969E-3</v>
      </c>
      <c r="S2124">
        <v>0.36411550997894571</v>
      </c>
      <c r="T2124">
        <v>0.40040642064421966</v>
      </c>
      <c r="U2124">
        <v>0</v>
      </c>
      <c r="V2124">
        <v>0.19878551555539672</v>
      </c>
      <c r="W2124">
        <v>0.21631376041736472</v>
      </c>
      <c r="X2124">
        <v>5.2968458365015313E-2</v>
      </c>
      <c r="Y2124">
        <v>9.6246686987279829E-3</v>
      </c>
    </row>
    <row r="2125" spans="1:25" x14ac:dyDescent="0.25">
      <c r="A2125" s="1083"/>
      <c r="B2125" s="1455">
        <v>1875</v>
      </c>
      <c r="C2125" s="1087">
        <v>1.02517486650363</v>
      </c>
      <c r="D2125" s="1087">
        <v>1.0186124083127199</v>
      </c>
      <c r="E2125" s="1087">
        <v>0.99604891145219754</v>
      </c>
      <c r="F2125" s="1087">
        <v>0.95713334406362893</v>
      </c>
      <c r="G2125" s="1087">
        <v>0.98407518559031304</v>
      </c>
      <c r="H2125" s="1087">
        <v>0.988316356314903</v>
      </c>
      <c r="I2125" s="1087">
        <v>1.0310679006700951</v>
      </c>
      <c r="K2125">
        <v>1.7802059283582974</v>
      </c>
      <c r="L2125">
        <v>0</v>
      </c>
      <c r="M2125">
        <v>3.4994634047583249E-3</v>
      </c>
      <c r="N2125">
        <v>0.32828889534980826</v>
      </c>
      <c r="O2125">
        <v>0.2288942130866376</v>
      </c>
      <c r="P2125">
        <v>1.2778028802258423E-2</v>
      </c>
      <c r="Q2125">
        <v>1.527009975431159E-3</v>
      </c>
      <c r="R2125">
        <v>3.4933626524559832E-3</v>
      </c>
      <c r="S2125">
        <v>0.36137905158946354</v>
      </c>
      <c r="T2125">
        <v>0.38540871127723725</v>
      </c>
      <c r="U2125">
        <v>0</v>
      </c>
      <c r="V2125">
        <v>0.19247603958933879</v>
      </c>
      <c r="W2125">
        <v>0.20963021329032727</v>
      </c>
      <c r="X2125">
        <v>5.0322084596798024E-2</v>
      </c>
      <c r="Y2125">
        <v>9.5077815532962958E-3</v>
      </c>
    </row>
    <row r="2126" spans="1:25" x14ac:dyDescent="0.25">
      <c r="A2126" s="1083"/>
      <c r="B2126" s="1455">
        <v>1876</v>
      </c>
      <c r="C2126" s="1087">
        <v>1.0012203816422853</v>
      </c>
      <c r="D2126" s="1087">
        <v>0.98968030275152985</v>
      </c>
      <c r="E2126" s="1087">
        <v>0.99222044055895475</v>
      </c>
      <c r="F2126" s="1087">
        <v>1.0079162945697935</v>
      </c>
      <c r="G2126" s="1087">
        <v>0.99863288389169591</v>
      </c>
      <c r="H2126" s="1087">
        <v>0.99445107999492643</v>
      </c>
      <c r="I2126" s="1087">
        <v>0.97684556511174192</v>
      </c>
      <c r="K2126">
        <v>1.8427345868067997</v>
      </c>
      <c r="L2126">
        <v>0</v>
      </c>
      <c r="M2126">
        <v>3.691059636628042E-3</v>
      </c>
      <c r="N2126">
        <v>0.34224523140361279</v>
      </c>
      <c r="O2126">
        <v>0.24045109930834421</v>
      </c>
      <c r="P2126">
        <v>1.3075865585697987E-2</v>
      </c>
      <c r="Q2126">
        <v>1.5752107105298056E-3</v>
      </c>
      <c r="R2126">
        <v>3.6846908717363125E-3</v>
      </c>
      <c r="S2126">
        <v>0.3572645796618914</v>
      </c>
      <c r="T2126">
        <v>0.40583418967882767</v>
      </c>
      <c r="U2126">
        <v>0</v>
      </c>
      <c r="V2126">
        <v>0.2008219279820227</v>
      </c>
      <c r="W2126">
        <v>0.21906781110343099</v>
      </c>
      <c r="X2126">
        <v>5.2376526242484706E-2</v>
      </c>
      <c r="Y2126">
        <v>1.0028513894846817E-2</v>
      </c>
    </row>
    <row r="2127" spans="1:25" x14ac:dyDescent="0.25">
      <c r="A2127" s="1083"/>
      <c r="B2127" s="1455">
        <v>1877</v>
      </c>
      <c r="C2127" s="1087">
        <v>0.96990384041055999</v>
      </c>
      <c r="D2127" s="1087">
        <v>1.0017370863645341</v>
      </c>
      <c r="E2127" s="1087">
        <v>1.0075453509933081</v>
      </c>
      <c r="F2127" s="1087">
        <v>1.0342709564736607</v>
      </c>
      <c r="G2127" s="1087">
        <v>0.9946541232849595</v>
      </c>
      <c r="H2127" s="1087">
        <v>0.96638958244633855</v>
      </c>
      <c r="I2127" s="1087">
        <v>0.95874795974691041</v>
      </c>
      <c r="K2127">
        <v>1.8693386134432832</v>
      </c>
      <c r="L2127">
        <v>0</v>
      </c>
      <c r="M2127">
        <v>3.565326638976947E-3</v>
      </c>
      <c r="N2127">
        <v>0.34639642894010753</v>
      </c>
      <c r="O2127">
        <v>0.24647243322532988</v>
      </c>
      <c r="P2127">
        <v>1.3408881168089467E-2</v>
      </c>
      <c r="Q2127">
        <v>1.6448585354493543E-3</v>
      </c>
      <c r="R2127">
        <v>3.5589859148695544E-3</v>
      </c>
      <c r="S2127">
        <v>0.35470533594602682</v>
      </c>
      <c r="T2127">
        <v>0.41654183759277369</v>
      </c>
      <c r="U2127">
        <v>0</v>
      </c>
      <c r="V2127">
        <v>0.20599447969747003</v>
      </c>
      <c r="W2127">
        <v>0.2196117898141757</v>
      </c>
      <c r="X2127">
        <v>5.488252280708189E-2</v>
      </c>
      <c r="Y2127">
        <v>9.6863864408834009E-3</v>
      </c>
    </row>
    <row r="2128" spans="1:25" x14ac:dyDescent="0.25">
      <c r="A2128" s="1083"/>
      <c r="B2128" s="1455">
        <v>1878</v>
      </c>
      <c r="C2128" s="1087">
        <v>1.0231933264512563</v>
      </c>
      <c r="D2128" s="1087">
        <v>1.0171750072294616</v>
      </c>
      <c r="E2128" s="1087">
        <v>0.97816171459532364</v>
      </c>
      <c r="F2128" s="1087">
        <v>1.0055361614455438</v>
      </c>
      <c r="G2128" s="1087">
        <v>1.006933363697488</v>
      </c>
      <c r="H2128" s="1087">
        <v>1.0201716897393553</v>
      </c>
      <c r="I2128" s="1087">
        <v>0.99378423763072454</v>
      </c>
      <c r="K2128">
        <v>1.8143739493014786</v>
      </c>
      <c r="L2128">
        <v>0</v>
      </c>
      <c r="M2128">
        <v>3.7560646874827018E-3</v>
      </c>
      <c r="N2128">
        <v>0.33364350324560887</v>
      </c>
      <c r="O2128">
        <v>0.23459966778611036</v>
      </c>
      <c r="P2128">
        <v>1.2833209756673753E-2</v>
      </c>
      <c r="Q2128">
        <v>1.5017381322453525E-3</v>
      </c>
      <c r="R2128">
        <v>3.7497212171185034E-3</v>
      </c>
      <c r="S2128">
        <v>0.35458874284166975</v>
      </c>
      <c r="T2128">
        <v>0.40479109161854421</v>
      </c>
      <c r="U2128">
        <v>0</v>
      </c>
      <c r="V2128">
        <v>0.19675493926730542</v>
      </c>
      <c r="W2128">
        <v>0.21546741498325567</v>
      </c>
      <c r="X2128">
        <v>4.9994480082701499E-2</v>
      </c>
      <c r="Y2128">
        <v>1.020550505772955E-2</v>
      </c>
    </row>
    <row r="2129" spans="1:25" x14ac:dyDescent="0.25">
      <c r="A2129" s="1083"/>
      <c r="B2129" s="1455">
        <v>1879</v>
      </c>
      <c r="C2129" s="1087">
        <v>0.98778088123305618</v>
      </c>
      <c r="D2129" s="1087">
        <v>1.02756501075954</v>
      </c>
      <c r="E2129" s="1087">
        <v>1.0178123700715729</v>
      </c>
      <c r="F2129" s="1087">
        <v>1.0041401369733218</v>
      </c>
      <c r="G2129" s="1087">
        <v>0.9804307469048662</v>
      </c>
      <c r="H2129" s="1087">
        <v>1.0224577499252654</v>
      </c>
      <c r="I2129" s="1087">
        <v>0.99780808539349208</v>
      </c>
      <c r="K2129">
        <v>1.8743206065590661</v>
      </c>
      <c r="L2129">
        <v>0</v>
      </c>
      <c r="M2129">
        <v>3.5769771673695603E-3</v>
      </c>
      <c r="N2129">
        <v>0.35861186341867929</v>
      </c>
      <c r="O2129">
        <v>0.23826393352663031</v>
      </c>
      <c r="P2129">
        <v>1.3441283254106895E-2</v>
      </c>
      <c r="Q2129">
        <v>1.6161985847226402E-3</v>
      </c>
      <c r="R2129">
        <v>3.5709426036398869E-3</v>
      </c>
      <c r="S2129">
        <v>0.36764168931370983</v>
      </c>
      <c r="T2129">
        <v>0.40446999026839964</v>
      </c>
      <c r="U2129">
        <v>0</v>
      </c>
      <c r="V2129">
        <v>0.20010394803484458</v>
      </c>
      <c r="W2129">
        <v>0.22591614378701469</v>
      </c>
      <c r="X2129">
        <v>5.4542662328493384E-2</v>
      </c>
      <c r="Y2129">
        <v>9.7189286061948512E-3</v>
      </c>
    </row>
    <row r="2130" spans="1:25" x14ac:dyDescent="0.25">
      <c r="A2130" s="1083"/>
      <c r="B2130" s="1455">
        <v>1880</v>
      </c>
      <c r="C2130" s="1087">
        <v>1.0271575883636914</v>
      </c>
      <c r="D2130" s="1087">
        <v>1.0436064962713627</v>
      </c>
      <c r="E2130" s="1087">
        <v>1.0200930512788557</v>
      </c>
      <c r="F2130" s="1087">
        <v>1.0175664732199892</v>
      </c>
      <c r="G2130" s="1087">
        <v>0.95614630963051495</v>
      </c>
      <c r="H2130" s="1087">
        <v>1.0125982101813591</v>
      </c>
      <c r="I2130" s="1087">
        <v>0.96673734792115118</v>
      </c>
      <c r="K2130">
        <v>1.8070870277514159</v>
      </c>
      <c r="L2130">
        <v>0</v>
      </c>
      <c r="M2130">
        <v>3.3599846391504599E-3</v>
      </c>
      <c r="N2130">
        <v>0.33919929934927023</v>
      </c>
      <c r="O2130">
        <v>0.23345981675738886</v>
      </c>
      <c r="P2130">
        <v>1.3072692816915596E-2</v>
      </c>
      <c r="Q2130">
        <v>1.5483618002081908E-3</v>
      </c>
      <c r="R2130">
        <v>3.3542441829396571E-3</v>
      </c>
      <c r="S2130">
        <v>0.33787826936206533</v>
      </c>
      <c r="T2130">
        <v>0.40989239899551688</v>
      </c>
      <c r="U2130">
        <v>0</v>
      </c>
      <c r="V2130">
        <v>0.19620926430157426</v>
      </c>
      <c r="W2130">
        <v>0.21338673686753645</v>
      </c>
      <c r="X2130">
        <v>5.3316781017484466E-2</v>
      </c>
      <c r="Y2130">
        <v>9.129146939664011E-3</v>
      </c>
    </row>
    <row r="2131" spans="1:25" x14ac:dyDescent="0.25">
      <c r="A2131" s="1083"/>
      <c r="B2131" s="1455">
        <v>1881</v>
      </c>
      <c r="C2131" s="1087">
        <v>1.0187161949957169</v>
      </c>
      <c r="D2131" s="1087">
        <v>0.98900671523198436</v>
      </c>
      <c r="E2131" s="1087">
        <v>1.0275647169484112</v>
      </c>
      <c r="F2131" s="1087">
        <v>1.0023945639328622</v>
      </c>
      <c r="G2131" s="1087">
        <v>0.98795217569416982</v>
      </c>
      <c r="H2131" s="1087">
        <v>0.95898081199823826</v>
      </c>
      <c r="I2131" s="1087">
        <v>1.0106786365052944</v>
      </c>
      <c r="K2131">
        <v>1.823475109422749</v>
      </c>
      <c r="L2131">
        <v>0</v>
      </c>
      <c r="M2131">
        <v>3.2549506416034327E-3</v>
      </c>
      <c r="N2131">
        <v>0.33613381347796878</v>
      </c>
      <c r="O2131">
        <v>0.23827532488292133</v>
      </c>
      <c r="P2131">
        <v>1.3366761118511167E-2</v>
      </c>
      <c r="Q2131">
        <v>1.6077067244301508E-3</v>
      </c>
      <c r="R2131">
        <v>3.2491268835822939E-3</v>
      </c>
      <c r="S2131">
        <v>0.35739458192624335</v>
      </c>
      <c r="T2131">
        <v>0.40382704452372348</v>
      </c>
      <c r="U2131">
        <v>0</v>
      </c>
      <c r="V2131">
        <v>0.19874095061067862</v>
      </c>
      <c r="W2131">
        <v>0.21049079209963822</v>
      </c>
      <c r="X2131">
        <v>5.4800905513933032E-2</v>
      </c>
      <c r="Y2131">
        <v>8.8430523027216903E-3</v>
      </c>
    </row>
    <row r="2132" spans="1:25" x14ac:dyDescent="0.25">
      <c r="A2132" s="1083"/>
      <c r="B2132" s="1455">
        <v>1882</v>
      </c>
      <c r="C2132" s="1087">
        <v>0.99584952447728969</v>
      </c>
      <c r="D2132" s="1087">
        <v>1.0204541678825447</v>
      </c>
      <c r="E2132" s="1087">
        <v>0.99596350486942675</v>
      </c>
      <c r="F2132" s="1087">
        <v>1.0077688114969245</v>
      </c>
      <c r="G2132" s="1087">
        <v>1.0018487197020589</v>
      </c>
      <c r="H2132" s="1087">
        <v>1.0198515588863561</v>
      </c>
      <c r="I2132" s="1087">
        <v>1.0009278821535852</v>
      </c>
      <c r="K2132">
        <v>1.8583146719633423</v>
      </c>
      <c r="L2132">
        <v>0</v>
      </c>
      <c r="M2132">
        <v>3.7146254585379082E-3</v>
      </c>
      <c r="N2132">
        <v>0.34840135471618022</v>
      </c>
      <c r="O2132">
        <v>0.23807439589839502</v>
      </c>
      <c r="P2132">
        <v>1.3223169952166261E-2</v>
      </c>
      <c r="Q2132">
        <v>1.5706979680419452E-3</v>
      </c>
      <c r="R2132">
        <v>3.7083484946444974E-3</v>
      </c>
      <c r="S2132">
        <v>0.36647759941267249</v>
      </c>
      <c r="T2132">
        <v>0.40579756580037346</v>
      </c>
      <c r="U2132">
        <v>0</v>
      </c>
      <c r="V2132">
        <v>0.19977304769059337</v>
      </c>
      <c r="W2132">
        <v>0.22248501436174067</v>
      </c>
      <c r="X2132">
        <v>5.2425200981402846E-2</v>
      </c>
      <c r="Y2132">
        <v>1.0092902145669604E-2</v>
      </c>
    </row>
    <row r="2133" spans="1:25" x14ac:dyDescent="0.25">
      <c r="A2133" s="1083"/>
      <c r="B2133" s="1455">
        <v>1883</v>
      </c>
      <c r="C2133" s="1087">
        <v>0.99214668017892738</v>
      </c>
      <c r="D2133" s="1087">
        <v>0.99978169228982816</v>
      </c>
      <c r="E2133" s="1087">
        <v>0.99194960924401465</v>
      </c>
      <c r="F2133" s="1087">
        <v>0.96975444146333023</v>
      </c>
      <c r="G2133" s="1087">
        <v>1.0081080735813437</v>
      </c>
      <c r="H2133" s="1087">
        <v>1.0052880796935886</v>
      </c>
      <c r="I2133" s="1087">
        <v>1.0170242217723049</v>
      </c>
      <c r="K2133">
        <v>1.8454117979893858</v>
      </c>
      <c r="L2133">
        <v>0</v>
      </c>
      <c r="M2133">
        <v>3.7463956073264318E-3</v>
      </c>
      <c r="N2133">
        <v>0.3470945285317647</v>
      </c>
      <c r="O2133">
        <v>0.23597118549735838</v>
      </c>
      <c r="P2133">
        <v>1.3069580358342924E-2</v>
      </c>
      <c r="Q2133">
        <v>1.5827142230423409E-3</v>
      </c>
      <c r="R2133">
        <v>3.7399911076040882E-3</v>
      </c>
      <c r="S2133">
        <v>0.37524250955311128</v>
      </c>
      <c r="T2133">
        <v>0.39046686232887445</v>
      </c>
      <c r="U2133">
        <v>0</v>
      </c>
      <c r="V2133">
        <v>0.1979401794920129</v>
      </c>
      <c r="W2133">
        <v>0.22220962274575831</v>
      </c>
      <c r="X2133">
        <v>5.16619968516819E-2</v>
      </c>
      <c r="Y2133">
        <v>1.0179022907161052E-2</v>
      </c>
    </row>
    <row r="2134" spans="1:25" x14ac:dyDescent="0.25">
      <c r="A2134" s="1083"/>
      <c r="B2134" s="1455">
        <v>1884</v>
      </c>
      <c r="C2134" s="1087">
        <v>0.96879676163460049</v>
      </c>
      <c r="D2134" s="1087">
        <v>1.025124787886889</v>
      </c>
      <c r="E2134" s="1087">
        <v>0.99551793689900614</v>
      </c>
      <c r="F2134" s="1087">
        <v>0.99708567028722439</v>
      </c>
      <c r="G2134" s="1087">
        <v>1.007878361402599</v>
      </c>
      <c r="H2134" s="1087">
        <v>1.0129321693627531</v>
      </c>
      <c r="I2134" s="1087">
        <v>1.0367440445967986</v>
      </c>
      <c r="K2134">
        <v>1.890218927605573</v>
      </c>
      <c r="L2134">
        <v>0</v>
      </c>
      <c r="M2134">
        <v>3.7869659151449071E-3</v>
      </c>
      <c r="N2134">
        <v>0.35469909179177822</v>
      </c>
      <c r="O2134">
        <v>0.2397097034136331</v>
      </c>
      <c r="P2134">
        <v>1.3476351886805403E-2</v>
      </c>
      <c r="Q2134">
        <v>1.6108450962941823E-3</v>
      </c>
      <c r="R2134">
        <v>3.780519579091431E-3</v>
      </c>
      <c r="S2134">
        <v>0.38789962253772831</v>
      </c>
      <c r="T2134">
        <v>0.40149310903477881</v>
      </c>
      <c r="U2134">
        <v>0</v>
      </c>
      <c r="V2134">
        <v>0.20159452350098458</v>
      </c>
      <c r="W2134">
        <v>0.2265699462715183</v>
      </c>
      <c r="X2134">
        <v>5.2882852361763502E-2</v>
      </c>
      <c r="Y2134">
        <v>1.0289328046342566E-2</v>
      </c>
    </row>
    <row r="2135" spans="1:25" x14ac:dyDescent="0.25">
      <c r="A2135" s="1083"/>
      <c r="B2135" s="1455">
        <v>1885</v>
      </c>
      <c r="C2135" s="1087">
        <v>0.96528669989296623</v>
      </c>
      <c r="D2135" s="1087">
        <v>0.98381625950492158</v>
      </c>
      <c r="E2135" s="1087">
        <v>0.99755328533076582</v>
      </c>
      <c r="F2135" s="1087">
        <v>1.0377985461766555</v>
      </c>
      <c r="G2135" s="1087">
        <v>1.0146714523769824</v>
      </c>
      <c r="H2135" s="1087">
        <v>0.98977640915859577</v>
      </c>
      <c r="I2135" s="1087">
        <v>1.0101386469235183</v>
      </c>
      <c r="K2135">
        <v>1.9227520648421823</v>
      </c>
      <c r="L2135">
        <v>0</v>
      </c>
      <c r="M2135">
        <v>3.7816201235302939E-3</v>
      </c>
      <c r="N2135">
        <v>0.35639518635455525</v>
      </c>
      <c r="O2135">
        <v>0.24919586534650576</v>
      </c>
      <c r="P2135">
        <v>1.3746324147351958E-2</v>
      </c>
      <c r="Q2135">
        <v>1.6470956728494471E-3</v>
      </c>
      <c r="R2135">
        <v>3.7750703354955889E-3</v>
      </c>
      <c r="S2135">
        <v>0.3836450746803774</v>
      </c>
      <c r="T2135">
        <v>0.41789959192891135</v>
      </c>
      <c r="U2135">
        <v>0</v>
      </c>
      <c r="V2135">
        <v>0.20775995583802037</v>
      </c>
      <c r="W2135">
        <v>0.22736327013325128</v>
      </c>
      <c r="X2135">
        <v>5.4831753526776897E-2</v>
      </c>
      <c r="Y2135">
        <v>1.0274497001617349E-2</v>
      </c>
    </row>
    <row r="2136" spans="1:25" x14ac:dyDescent="0.25">
      <c r="A2136" s="1083"/>
      <c r="B2136" s="1455">
        <v>1886</v>
      </c>
      <c r="C2136" s="1087">
        <v>0.99671515846840042</v>
      </c>
      <c r="D2136" s="1087">
        <v>1.0284978293122322</v>
      </c>
      <c r="E2136" s="1087">
        <v>0.98968066394419762</v>
      </c>
      <c r="F2136" s="1087">
        <v>1.0237429944982286</v>
      </c>
      <c r="G2136" s="1087">
        <v>0.97959014368855779</v>
      </c>
      <c r="H2136" s="1087">
        <v>1.0226379356133051</v>
      </c>
      <c r="I2136" s="1087">
        <v>0.99852609036522555</v>
      </c>
      <c r="K2136">
        <v>1.8594453866739258</v>
      </c>
      <c r="L2136">
        <v>0</v>
      </c>
      <c r="M2136">
        <v>3.7530963583570442E-3</v>
      </c>
      <c r="N2136">
        <v>0.34532210606056613</v>
      </c>
      <c r="O2136">
        <v>0.23890641003954066</v>
      </c>
      <c r="P2136">
        <v>1.3226069023581229E-2</v>
      </c>
      <c r="Q2136">
        <v>1.5539356616108369E-3</v>
      </c>
      <c r="R2136">
        <v>3.746763737517277E-3</v>
      </c>
      <c r="S2136">
        <v>0.36410068120586109</v>
      </c>
      <c r="T2136">
        <v>0.41219110609289655</v>
      </c>
      <c r="U2136">
        <v>0</v>
      </c>
      <c r="V2136">
        <v>0.20056457357488644</v>
      </c>
      <c r="W2136">
        <v>0.22139073530558978</v>
      </c>
      <c r="X2136">
        <v>5.1998646557042665E-2</v>
      </c>
      <c r="Y2136">
        <v>1.0197455773187902E-2</v>
      </c>
    </row>
    <row r="2137" spans="1:25" x14ac:dyDescent="0.25">
      <c r="A2137" s="1083"/>
      <c r="B2137" s="1455">
        <v>1887</v>
      </c>
      <c r="C2137" s="1087">
        <v>1.0100517965097064</v>
      </c>
      <c r="D2137" s="1087">
        <v>1.0085181296388823</v>
      </c>
      <c r="E2137" s="1087">
        <v>0.99028711513227363</v>
      </c>
      <c r="F2137" s="1087">
        <v>0.9744771045177234</v>
      </c>
      <c r="G2137" s="1087">
        <v>1.0434927776835772</v>
      </c>
      <c r="H2137" s="1087">
        <v>1.0386345988796457</v>
      </c>
      <c r="I2137" s="1087">
        <v>0.96853492495430904</v>
      </c>
      <c r="K2137">
        <v>1.8270976586102323</v>
      </c>
      <c r="L2137">
        <v>0</v>
      </c>
      <c r="M2137">
        <v>3.7974035111523873E-3</v>
      </c>
      <c r="N2137">
        <v>0.35005730766738807</v>
      </c>
      <c r="O2137">
        <v>0.23355939975352788</v>
      </c>
      <c r="P2137">
        <v>1.2779702026210593E-2</v>
      </c>
      <c r="Q2137">
        <v>1.5465017928845042E-3</v>
      </c>
      <c r="R2137">
        <v>3.7911130733548144E-3</v>
      </c>
      <c r="S2137">
        <v>0.35509897918795602</v>
      </c>
      <c r="T2137">
        <v>0.39235866549694881</v>
      </c>
      <c r="U2137">
        <v>0</v>
      </c>
      <c r="V2137">
        <v>0.19599887011162614</v>
      </c>
      <c r="W2137">
        <v>0.22434086973474865</v>
      </c>
      <c r="X2137">
        <v>5.104549323115383E-2</v>
      </c>
      <c r="Y2137">
        <v>1.0318160045583048E-2</v>
      </c>
    </row>
    <row r="2138" spans="1:25" x14ac:dyDescent="0.25">
      <c r="A2138" s="1083"/>
      <c r="B2138" s="1455">
        <v>1888</v>
      </c>
      <c r="C2138" s="1087">
        <v>0.95841921515396789</v>
      </c>
      <c r="D2138" s="1087">
        <v>1.0030712381818725</v>
      </c>
      <c r="E2138" s="1087">
        <v>1.0466777336289823</v>
      </c>
      <c r="F2138" s="1087">
        <v>1.0137346578463773</v>
      </c>
      <c r="G2138" s="1087">
        <v>0.99503020456482905</v>
      </c>
      <c r="H2138" s="1087">
        <v>1.0007869907548368</v>
      </c>
      <c r="I2138" s="1087">
        <v>1.0088986091915066</v>
      </c>
      <c r="K2138">
        <v>1.9394252104714234</v>
      </c>
      <c r="L2138">
        <v>0</v>
      </c>
      <c r="M2138">
        <v>3.4452877724626156E-3</v>
      </c>
      <c r="N2138">
        <v>0.37712654350012231</v>
      </c>
      <c r="O2138">
        <v>0.24595515042101079</v>
      </c>
      <c r="P2138">
        <v>1.4099250314992848E-2</v>
      </c>
      <c r="Q2138">
        <v>1.7335217430547816E-3</v>
      </c>
      <c r="R2138">
        <v>3.439369809173809E-3</v>
      </c>
      <c r="S2138">
        <v>0.38447965102657461</v>
      </c>
      <c r="T2138">
        <v>0.4085159701679314</v>
      </c>
      <c r="U2138">
        <v>0</v>
      </c>
      <c r="V2138">
        <v>0.20570444478852251</v>
      </c>
      <c r="W2138">
        <v>0.23343377081995134</v>
      </c>
      <c r="X2138">
        <v>5.9021994819933754E-2</v>
      </c>
      <c r="Y2138">
        <v>9.3608308326182266E-3</v>
      </c>
    </row>
    <row r="2139" spans="1:25" x14ac:dyDescent="0.25">
      <c r="A2139" s="1083"/>
      <c r="B2139" s="1455">
        <v>1889</v>
      </c>
      <c r="C2139" s="1087">
        <v>1.0299797329141553</v>
      </c>
      <c r="D2139" s="1087">
        <v>1.02725421975958</v>
      </c>
      <c r="E2139" s="1087">
        <v>0.98119286142974127</v>
      </c>
      <c r="F2139" s="1087">
        <v>0.99697130057928418</v>
      </c>
      <c r="G2139" s="1087">
        <v>0.98052153197738834</v>
      </c>
      <c r="H2139" s="1087">
        <v>1.0142102169095499</v>
      </c>
      <c r="I2139" s="1087">
        <v>0.98235664462907291</v>
      </c>
      <c r="K2139">
        <v>1.7877877986969168</v>
      </c>
      <c r="L2139">
        <v>0</v>
      </c>
      <c r="M2139">
        <v>3.6667630366395529E-3</v>
      </c>
      <c r="N2139">
        <v>0.32873829386537806</v>
      </c>
      <c r="O2139">
        <v>0.23189601454300801</v>
      </c>
      <c r="P2139">
        <v>1.2666042840464846E-2</v>
      </c>
      <c r="Q2139">
        <v>1.490829293115079E-3</v>
      </c>
      <c r="R2139">
        <v>3.6605248415744261E-3</v>
      </c>
      <c r="S2139">
        <v>0.34531455526832661</v>
      </c>
      <c r="T2139">
        <v>0.4013612431062768</v>
      </c>
      <c r="U2139">
        <v>0</v>
      </c>
      <c r="V2139">
        <v>0.1948355920217115</v>
      </c>
      <c r="W2139">
        <v>0.21189172743960824</v>
      </c>
      <c r="X2139">
        <v>4.9636996587018201E-2</v>
      </c>
      <c r="Y2139">
        <v>9.9627419270758664E-3</v>
      </c>
    </row>
    <row r="2140" spans="1:25" x14ac:dyDescent="0.25">
      <c r="A2140" s="1083"/>
      <c r="B2140" s="1455">
        <v>1890</v>
      </c>
      <c r="C2140" s="1087">
        <v>0.96313519586499519</v>
      </c>
      <c r="D2140" s="1087">
        <v>1.0200746660248194</v>
      </c>
      <c r="E2140" s="1087">
        <v>1.000668770233301</v>
      </c>
      <c r="F2140" s="1087">
        <v>0.99578049132294222</v>
      </c>
      <c r="G2140" s="1087">
        <v>0.99150256955844696</v>
      </c>
      <c r="H2140" s="1087">
        <v>1.0474220027127796</v>
      </c>
      <c r="I2140" s="1087">
        <v>1.003311162297934</v>
      </c>
      <c r="K2140">
        <v>1.9175747726937304</v>
      </c>
      <c r="L2140">
        <v>0</v>
      </c>
      <c r="M2140">
        <v>3.9079755656381129E-3</v>
      </c>
      <c r="N2140">
        <v>0.37185438144652172</v>
      </c>
      <c r="O2140">
        <v>0.24083527147916015</v>
      </c>
      <c r="P2140">
        <v>1.3494990677152496E-2</v>
      </c>
      <c r="Q2140">
        <v>1.6324622092821291E-3</v>
      </c>
      <c r="R2140">
        <v>3.9015465893028531E-3</v>
      </c>
      <c r="S2140">
        <v>0.38513276757318443</v>
      </c>
      <c r="T2140">
        <v>0.40099859292764761</v>
      </c>
      <c r="U2140">
        <v>0</v>
      </c>
      <c r="V2140">
        <v>0.20241709710126832</v>
      </c>
      <c r="W2140">
        <v>0.23676385690567978</v>
      </c>
      <c r="X2140">
        <v>5.3833057678573708E-2</v>
      </c>
      <c r="Y2140">
        <v>1.0618723671594858E-2</v>
      </c>
    </row>
    <row r="2141" spans="1:25" x14ac:dyDescent="0.25">
      <c r="A2141" s="1083"/>
      <c r="B2141" s="1455">
        <v>1891</v>
      </c>
      <c r="C2141" s="1087">
        <v>1.0133094651562609</v>
      </c>
      <c r="D2141" s="1087">
        <v>0.98011073381978164</v>
      </c>
      <c r="E2141" s="1087">
        <v>1.0090980133450729</v>
      </c>
      <c r="F2141" s="1087">
        <v>0.99074825171607772</v>
      </c>
      <c r="G2141" s="1087">
        <v>0.95249896414511115</v>
      </c>
      <c r="H2141" s="1087">
        <v>1.0166345417587572</v>
      </c>
      <c r="I2141" s="1087">
        <v>0.96880707070804295</v>
      </c>
      <c r="K2141">
        <v>1.8473768655087952</v>
      </c>
      <c r="L2141">
        <v>0</v>
      </c>
      <c r="M2141">
        <v>3.6206461851872435E-3</v>
      </c>
      <c r="N2141">
        <v>0.3534737065990266</v>
      </c>
      <c r="O2141">
        <v>0.23816746370423905</v>
      </c>
      <c r="P2141">
        <v>1.3101646234588534E-2</v>
      </c>
      <c r="Q2141">
        <v>1.5908236020288444E-3</v>
      </c>
      <c r="R2141">
        <v>3.6145432921196228E-3</v>
      </c>
      <c r="S2141">
        <v>0.35605882257980637</v>
      </c>
      <c r="T2141">
        <v>0.39902289799609586</v>
      </c>
      <c r="U2141">
        <v>0</v>
      </c>
      <c r="V2141">
        <v>0.19867045272316333</v>
      </c>
      <c r="W2141">
        <v>0.2238827640284807</v>
      </c>
      <c r="X2141">
        <v>5.3576795627158065E-2</v>
      </c>
      <c r="Y2141">
        <v>9.8375953072735965E-3</v>
      </c>
    </row>
    <row r="2142" spans="1:25" x14ac:dyDescent="0.25">
      <c r="A2142" s="1083"/>
      <c r="B2142" s="1455">
        <v>1892</v>
      </c>
      <c r="C2142" s="1087">
        <v>0.99240999844455957</v>
      </c>
      <c r="D2142" s="1087">
        <v>0.97621167859146429</v>
      </c>
      <c r="E2142" s="1087">
        <v>0.98318745694785536</v>
      </c>
      <c r="F2142" s="1087">
        <v>0.99003210425163135</v>
      </c>
      <c r="G2142" s="1087">
        <v>0.97318683037806797</v>
      </c>
      <c r="H2142" s="1087">
        <v>1.0047607912252279</v>
      </c>
      <c r="I2142" s="1087">
        <v>1.0379044312092554</v>
      </c>
      <c r="K2142">
        <v>1.877393819685045</v>
      </c>
      <c r="L2142">
        <v>0</v>
      </c>
      <c r="M2142">
        <v>3.8605027713465843E-3</v>
      </c>
      <c r="N2142">
        <v>0.34822247015015739</v>
      </c>
      <c r="O2142">
        <v>0.2405972937675348</v>
      </c>
      <c r="P2142">
        <v>1.3300882389429312E-2</v>
      </c>
      <c r="Q2142">
        <v>1.582525235416229E-3</v>
      </c>
      <c r="R2142">
        <v>3.8539219039071234E-3</v>
      </c>
      <c r="S2142">
        <v>0.38773834168414922</v>
      </c>
      <c r="T2142">
        <v>0.39857946969687952</v>
      </c>
      <c r="U2142">
        <v>0</v>
      </c>
      <c r="V2142">
        <v>0.20088510446938229</v>
      </c>
      <c r="W2142">
        <v>0.2241671312384135</v>
      </c>
      <c r="X2142">
        <v>5.183807694369879E-2</v>
      </c>
      <c r="Y2142">
        <v>1.0489104977421006E-2</v>
      </c>
    </row>
    <row r="2143" spans="1:25" x14ac:dyDescent="0.25">
      <c r="A2143" s="1083"/>
      <c r="B2143" s="1455">
        <v>1893</v>
      </c>
      <c r="C2143" s="1087">
        <v>0.99887889504825633</v>
      </c>
      <c r="D2143" s="1087">
        <v>1.0233954097148124</v>
      </c>
      <c r="E2143" s="1087">
        <v>1.0317210457054651</v>
      </c>
      <c r="F2143" s="1087">
        <v>1.0030160989425192</v>
      </c>
      <c r="G2143" s="1087">
        <v>0.99891939136830188</v>
      </c>
      <c r="H2143" s="1087">
        <v>0.98001660887232489</v>
      </c>
      <c r="I2143" s="1087">
        <v>0.95901304698463252</v>
      </c>
      <c r="K2143">
        <v>1.8236412413713721</v>
      </c>
      <c r="L2143">
        <v>0</v>
      </c>
      <c r="M2143">
        <v>3.302008678919297E-3</v>
      </c>
      <c r="N2143">
        <v>0.34534699695465265</v>
      </c>
      <c r="O2143">
        <v>0.23738404044278344</v>
      </c>
      <c r="P2143">
        <v>1.3215670795320898E-2</v>
      </c>
      <c r="Q2143">
        <v>1.6244405391585381E-3</v>
      </c>
      <c r="R2143">
        <v>3.296199739584072E-3</v>
      </c>
      <c r="S2143">
        <v>0.34304327332423667</v>
      </c>
      <c r="T2143">
        <v>0.40410322047998593</v>
      </c>
      <c r="U2143">
        <v>0</v>
      </c>
      <c r="V2143">
        <v>0.19910656058849177</v>
      </c>
      <c r="W2143">
        <v>0.21571160849451768</v>
      </c>
      <c r="X2143">
        <v>5.5140069592362305E-2</v>
      </c>
      <c r="Y2143">
        <v>8.9711690991957187E-3</v>
      </c>
    </row>
    <row r="2144" spans="1:25" x14ac:dyDescent="0.25">
      <c r="A2144" s="1083"/>
      <c r="B2144" s="1455">
        <v>1894</v>
      </c>
      <c r="C2144" s="1087">
        <v>0.96195491787381116</v>
      </c>
      <c r="D2144" s="1087">
        <v>0.97406184364895254</v>
      </c>
      <c r="E2144" s="1087">
        <v>0.98786352174296066</v>
      </c>
      <c r="F2144" s="1087">
        <v>1.0264440313190926</v>
      </c>
      <c r="G2144" s="1087">
        <v>1.0308048715375355</v>
      </c>
      <c r="H2144" s="1087">
        <v>0.99131735073934779</v>
      </c>
      <c r="I2144" s="1087">
        <v>1.010611177206955</v>
      </c>
      <c r="K2144">
        <v>1.9227641530712907</v>
      </c>
      <c r="L2144">
        <v>0</v>
      </c>
      <c r="M2144">
        <v>3.8971901525498968E-3</v>
      </c>
      <c r="N2144">
        <v>0.35658139204297096</v>
      </c>
      <c r="O2144">
        <v>0.24913053498552382</v>
      </c>
      <c r="P2144">
        <v>1.3633947734638963E-2</v>
      </c>
      <c r="Q2144">
        <v>1.6422916637145349E-3</v>
      </c>
      <c r="R2144">
        <v>3.8904594872452426E-3</v>
      </c>
      <c r="S2144">
        <v>0.38745342204574151</v>
      </c>
      <c r="T2144">
        <v>0.41326741771237296</v>
      </c>
      <c r="U2144">
        <v>0</v>
      </c>
      <c r="V2144">
        <v>0.20763663501651361</v>
      </c>
      <c r="W2144">
        <v>0.22887113314273014</v>
      </c>
      <c r="X2144">
        <v>5.3965561157732295E-2</v>
      </c>
      <c r="Y2144">
        <v>1.0588548234656258E-2</v>
      </c>
    </row>
    <row r="2145" spans="1:25" x14ac:dyDescent="0.25">
      <c r="A2145" s="1083"/>
      <c r="B2145" s="1455">
        <v>1895</v>
      </c>
      <c r="C2145" s="1087">
        <v>0.97955061623265072</v>
      </c>
      <c r="D2145" s="1087">
        <v>1.0303491616010352</v>
      </c>
      <c r="E2145" s="1087">
        <v>0.98446945096586502</v>
      </c>
      <c r="F2145" s="1087">
        <v>1.0045000370388448</v>
      </c>
      <c r="G2145" s="1087">
        <v>0.96176524716192047</v>
      </c>
      <c r="H2145" s="1087">
        <v>0.96434953116079247</v>
      </c>
      <c r="I2145" s="1087">
        <v>1.0135611753335232</v>
      </c>
      <c r="K2145">
        <v>1.8254975808037786</v>
      </c>
      <c r="L2145">
        <v>0</v>
      </c>
      <c r="M2145">
        <v>3.6370326922904152E-3</v>
      </c>
      <c r="N2145">
        <v>0.32932475362016839</v>
      </c>
      <c r="O2145">
        <v>0.23857388193716453</v>
      </c>
      <c r="P2145">
        <v>1.3081960097400848E-2</v>
      </c>
      <c r="Q2145">
        <v>1.5712199629218991E-3</v>
      </c>
      <c r="R2145">
        <v>3.6305248763969897E-3</v>
      </c>
      <c r="S2145">
        <v>0.36490930164274382</v>
      </c>
      <c r="T2145">
        <v>0.40441186266955587</v>
      </c>
      <c r="U2145">
        <v>0</v>
      </c>
      <c r="V2145">
        <v>0.20069524188952287</v>
      </c>
      <c r="W2145">
        <v>0.21182995498975815</v>
      </c>
      <c r="X2145">
        <v>5.1224819899086796E-2</v>
      </c>
      <c r="Y2145">
        <v>9.8810919113487515E-3</v>
      </c>
    </row>
    <row r="2146" spans="1:25" x14ac:dyDescent="0.25">
      <c r="A2146" s="1083"/>
      <c r="B2146" s="1455">
        <v>1896</v>
      </c>
      <c r="C2146" s="1087">
        <v>0.99631596230170627</v>
      </c>
      <c r="D2146" s="1087">
        <v>0.99329106728692174</v>
      </c>
      <c r="E2146" s="1087">
        <v>0.98174315153565339</v>
      </c>
      <c r="F2146" s="1087">
        <v>0.99400636057535618</v>
      </c>
      <c r="G2146" s="1087">
        <v>0.96590268943362179</v>
      </c>
      <c r="H2146" s="1087">
        <v>1.0348193084639821</v>
      </c>
      <c r="I2146" s="1087">
        <v>0.96349254996427858</v>
      </c>
      <c r="K2146">
        <v>1.8570245648485582</v>
      </c>
      <c r="L2146">
        <v>0</v>
      </c>
      <c r="M2146">
        <v>3.935409804988842E-3</v>
      </c>
      <c r="N2146">
        <v>0.35343219019942079</v>
      </c>
      <c r="O2146">
        <v>0.23887926710788926</v>
      </c>
      <c r="P2146">
        <v>1.2926163699536967E-2</v>
      </c>
      <c r="Q2146">
        <v>1.5629935552591775E-3</v>
      </c>
      <c r="R2146">
        <v>3.9288808499125475E-3</v>
      </c>
      <c r="S2146">
        <v>0.36038500459488787</v>
      </c>
      <c r="T2146">
        <v>0.40017088612139978</v>
      </c>
      <c r="U2146">
        <v>0</v>
      </c>
      <c r="V2146">
        <v>0.19988815994362144</v>
      </c>
      <c r="W2146">
        <v>0.22772902192516389</v>
      </c>
      <c r="X2146">
        <v>5.1364288138217383E-2</v>
      </c>
      <c r="Y2146">
        <v>1.0693118518237859E-2</v>
      </c>
    </row>
    <row r="2147" spans="1:25" x14ac:dyDescent="0.25">
      <c r="A2147" s="1083"/>
      <c r="B2147" s="1455">
        <v>1897</v>
      </c>
      <c r="C2147" s="1087">
        <v>1.0428039938660341</v>
      </c>
      <c r="D2147" s="1087">
        <v>1.0369898232407351</v>
      </c>
      <c r="E2147" s="1087">
        <v>0.96686159409538608</v>
      </c>
      <c r="F2147" s="1087">
        <v>0.96464462011179397</v>
      </c>
      <c r="G2147" s="1087">
        <v>0.95991631089148854</v>
      </c>
      <c r="H2147" s="1087">
        <v>1.0229073865452118</v>
      </c>
      <c r="I2147" s="1087">
        <v>0.99686724326549681</v>
      </c>
      <c r="K2147">
        <v>1.7509539637311065</v>
      </c>
      <c r="L2147">
        <v>0</v>
      </c>
      <c r="M2147">
        <v>3.7421021126459271E-3</v>
      </c>
      <c r="N2147">
        <v>0.32111359361989272</v>
      </c>
      <c r="O2147">
        <v>0.22566832816065188</v>
      </c>
      <c r="P2147">
        <v>1.229774049915297E-2</v>
      </c>
      <c r="Q2147">
        <v>1.4444189193252332E-3</v>
      </c>
      <c r="R2147">
        <v>3.7357819965757213E-3</v>
      </c>
      <c r="S2147">
        <v>0.34564639357776344</v>
      </c>
      <c r="T2147">
        <v>0.3882649568615314</v>
      </c>
      <c r="U2147">
        <v>0</v>
      </c>
      <c r="V2147">
        <v>0.1902748004583259</v>
      </c>
      <c r="W2147">
        <v>0.20887586945697784</v>
      </c>
      <c r="X2147">
        <v>4.7206615199079344E-2</v>
      </c>
      <c r="Y2147">
        <v>1.0167567094474915E-2</v>
      </c>
    </row>
    <row r="2148" spans="1:25" x14ac:dyDescent="0.25">
      <c r="A2148" s="1083"/>
      <c r="B2148" s="1455">
        <v>1898</v>
      </c>
      <c r="C2148" s="1087">
        <v>0.98127961021092092</v>
      </c>
      <c r="D2148" s="1087">
        <v>0.96828643966699157</v>
      </c>
      <c r="E2148" s="1087">
        <v>1.0082305327688585</v>
      </c>
      <c r="F2148" s="1087">
        <v>0.98590675339657741</v>
      </c>
      <c r="G2148" s="1087">
        <v>1.0169469095142698</v>
      </c>
      <c r="H2148" s="1087">
        <v>0.99158429001500714</v>
      </c>
      <c r="I2148" s="1087">
        <v>0.99418018611223447</v>
      </c>
      <c r="K2148">
        <v>1.8813875913912586</v>
      </c>
      <c r="L2148">
        <v>0</v>
      </c>
      <c r="M2148">
        <v>3.6763500488727762E-3</v>
      </c>
      <c r="N2148">
        <v>0.35794927340190075</v>
      </c>
      <c r="O2148">
        <v>0.24260437769072721</v>
      </c>
      <c r="P2148">
        <v>1.3378140717231368E-2</v>
      </c>
      <c r="Q2148">
        <v>1.6492261532914112E-3</v>
      </c>
      <c r="R2148">
        <v>3.6700060180767853E-3</v>
      </c>
      <c r="S2148">
        <v>0.37512255046251369</v>
      </c>
      <c r="T2148">
        <v>0.39706777534195326</v>
      </c>
      <c r="U2148">
        <v>0</v>
      </c>
      <c r="V2148">
        <v>0.20231222222701242</v>
      </c>
      <c r="W2148">
        <v>0.2268396144605537</v>
      </c>
      <c r="X2148">
        <v>5.4482208402824833E-2</v>
      </c>
      <c r="Y2148">
        <v>9.9885465640462967E-3</v>
      </c>
    </row>
    <row r="2149" spans="1:25" x14ac:dyDescent="0.25">
      <c r="A2149" s="1083"/>
      <c r="B2149" s="1455">
        <v>1899</v>
      </c>
      <c r="C2149" s="1087">
        <v>1.0171566054915824</v>
      </c>
      <c r="D2149" s="1087">
        <v>1.0327788649882632</v>
      </c>
      <c r="E2149" s="1087">
        <v>0.99701530678841288</v>
      </c>
      <c r="F2149" s="1087">
        <v>1.021745358047758</v>
      </c>
      <c r="G2149" s="1087">
        <v>1.0017395746395779</v>
      </c>
      <c r="H2149" s="1087">
        <v>1.0162134103083442</v>
      </c>
      <c r="I2149" s="1087">
        <v>0.99960623031196605</v>
      </c>
      <c r="K2149">
        <v>1.8304000041214301</v>
      </c>
      <c r="L2149">
        <v>0</v>
      </c>
      <c r="M2149">
        <v>3.5910447931679149E-3</v>
      </c>
      <c r="N2149">
        <v>0.33789032828458487</v>
      </c>
      <c r="O2149">
        <v>0.23585535577148387</v>
      </c>
      <c r="P2149">
        <v>1.3133640268233493E-2</v>
      </c>
      <c r="Q2149">
        <v>1.5321478431705637E-3</v>
      </c>
      <c r="R2149">
        <v>3.5849418950042113E-3</v>
      </c>
      <c r="S2149">
        <v>0.35525518910850168</v>
      </c>
      <c r="T2149">
        <v>0.41143198741462722</v>
      </c>
      <c r="U2149">
        <v>0</v>
      </c>
      <c r="V2149">
        <v>0.1980226515052966</v>
      </c>
      <c r="W2149">
        <v>0.21563066439419662</v>
      </c>
      <c r="X2149">
        <v>5.1897112367073388E-2</v>
      </c>
      <c r="Y2149">
        <v>9.7570300624233823E-3</v>
      </c>
    </row>
    <row r="2150" spans="1:25" x14ac:dyDescent="0.25">
      <c r="A2150" s="1083"/>
      <c r="B2150" s="1455">
        <v>1900</v>
      </c>
      <c r="C2150" s="1087">
        <v>1.0147366079484146</v>
      </c>
      <c r="D2150" s="1087">
        <v>0.99362773577207353</v>
      </c>
      <c r="E2150" s="1087">
        <v>0.96851893585335791</v>
      </c>
      <c r="F2150" s="1087">
        <v>0.97727790740644049</v>
      </c>
      <c r="G2150" s="1087">
        <v>0.99495378012243341</v>
      </c>
      <c r="H2150" s="1087">
        <v>1.0181086544931643</v>
      </c>
      <c r="I2150" s="1087">
        <v>1.0129822791380225</v>
      </c>
      <c r="K2150">
        <v>1.8226666793795319</v>
      </c>
      <c r="L2150">
        <v>0</v>
      </c>
      <c r="M2150">
        <v>3.9045007227738568E-3</v>
      </c>
      <c r="N2150">
        <v>0.33675292408235974</v>
      </c>
      <c r="O2150">
        <v>0.23447928593103751</v>
      </c>
      <c r="P2150">
        <v>1.2770727811536289E-2</v>
      </c>
      <c r="Q2150">
        <v>1.5126651084608092E-3</v>
      </c>
      <c r="R2150">
        <v>3.8979161135630968E-3</v>
      </c>
      <c r="S2150">
        <v>0.3687525263948111</v>
      </c>
      <c r="T2150">
        <v>0.39335938013381722</v>
      </c>
      <c r="U2150">
        <v>0</v>
      </c>
      <c r="V2150">
        <v>0.19639704424441956</v>
      </c>
      <c r="W2150">
        <v>0.21881652539687538</v>
      </c>
      <c r="X2150">
        <v>4.9223342172008341E-2</v>
      </c>
      <c r="Y2150">
        <v>1.0608842713417249E-2</v>
      </c>
    </row>
    <row r="2151" spans="1:25" x14ac:dyDescent="0.25">
      <c r="A2151" s="1083"/>
      <c r="B2151" s="1455">
        <v>1901</v>
      </c>
      <c r="C2151" s="1087">
        <v>1.0157171438850869</v>
      </c>
      <c r="D2151" s="1087">
        <v>1.0375586477951377</v>
      </c>
      <c r="E2151" s="1087">
        <v>0.98529958221047886</v>
      </c>
      <c r="F2151" s="1087">
        <v>1.0108923370826579</v>
      </c>
      <c r="G2151" s="1087">
        <v>1.0080546738164935</v>
      </c>
      <c r="H2151" s="1087">
        <v>0.99819609998525138</v>
      </c>
      <c r="I2151" s="1087">
        <v>1.0124099497776111</v>
      </c>
      <c r="K2151">
        <v>1.8072679128833065</v>
      </c>
      <c r="L2151">
        <v>0</v>
      </c>
      <c r="M2151">
        <v>3.609298380212378E-3</v>
      </c>
      <c r="N2151">
        <v>0.3276624743266679</v>
      </c>
      <c r="O2151">
        <v>0.23419319307399192</v>
      </c>
      <c r="P2151">
        <v>1.295562607520641E-2</v>
      </c>
      <c r="Q2151">
        <v>1.5124010751866232E-3</v>
      </c>
      <c r="R2151">
        <v>3.603050360833734E-3</v>
      </c>
      <c r="S2151">
        <v>0.35609621424359328</v>
      </c>
      <c r="T2151">
        <v>0.40699043315722511</v>
      </c>
      <c r="U2151">
        <v>0</v>
      </c>
      <c r="V2151">
        <v>0.19696142496213329</v>
      </c>
      <c r="W2151">
        <v>0.21065019353652645</v>
      </c>
      <c r="X2151">
        <v>5.0445885115196577E-2</v>
      </c>
      <c r="Y2151">
        <v>9.8063153369571891E-3</v>
      </c>
    </row>
    <row r="2152" spans="1:25" x14ac:dyDescent="0.25">
      <c r="A2152" s="1083"/>
      <c r="B2152" s="1455">
        <v>1902</v>
      </c>
      <c r="C2152" s="1087">
        <v>1.0351712621511255</v>
      </c>
      <c r="D2152" s="1087">
        <v>1.0058260876258382</v>
      </c>
      <c r="E2152" s="1087">
        <v>1.0226752168781466</v>
      </c>
      <c r="F2152" s="1087">
        <v>1.0062295112753603</v>
      </c>
      <c r="G2152" s="1087">
        <v>0.9847310186817565</v>
      </c>
      <c r="H2152" s="1087">
        <v>1.0210728568433285</v>
      </c>
      <c r="I2152" s="1087">
        <v>1.0209394945540142</v>
      </c>
      <c r="K2152">
        <v>1.8434626433468881</v>
      </c>
      <c r="L2152">
        <v>0</v>
      </c>
      <c r="M2152">
        <v>3.4129512048823407E-3</v>
      </c>
      <c r="N2152">
        <v>0.34727613369986116</v>
      </c>
      <c r="O2152">
        <v>0.2350201661409298</v>
      </c>
      <c r="P2152">
        <v>1.3385528259482908E-2</v>
      </c>
      <c r="Q2152">
        <v>1.5634526435574642E-3</v>
      </c>
      <c r="R2152">
        <v>3.4072011055666265E-3</v>
      </c>
      <c r="S2152">
        <v>0.36296216394605296</v>
      </c>
      <c r="T2152">
        <v>0.40534166510271658</v>
      </c>
      <c r="U2152">
        <v>0</v>
      </c>
      <c r="V2152">
        <v>0.19643906937671995</v>
      </c>
      <c r="W2152">
        <v>0.21812119936455271</v>
      </c>
      <c r="X2152">
        <v>5.408573668651822E-2</v>
      </c>
      <c r="Y2152">
        <v>9.2732782258097696E-3</v>
      </c>
    </row>
    <row r="2153" spans="1:25" x14ac:dyDescent="0.25">
      <c r="A2153" s="1083"/>
      <c r="B2153" s="1455">
        <v>1903</v>
      </c>
      <c r="C2153" s="1087">
        <v>1.0375304483644401</v>
      </c>
      <c r="D2153" s="1087">
        <v>1.0039307581060861</v>
      </c>
      <c r="E2153" s="1087">
        <v>0.98772511632734683</v>
      </c>
      <c r="F2153" s="1087">
        <v>1.0214035544741027</v>
      </c>
      <c r="G2153" s="1087">
        <v>0.99685036702440333</v>
      </c>
      <c r="H2153" s="1087">
        <v>1.0083362766130772</v>
      </c>
      <c r="I2153" s="1087">
        <v>1.0354332973382963</v>
      </c>
      <c r="K2153">
        <v>1.8281294181142309</v>
      </c>
      <c r="L2153">
        <v>0</v>
      </c>
      <c r="M2153">
        <v>3.6152250860890531E-3</v>
      </c>
      <c r="N2153">
        <v>0.33064962191309039</v>
      </c>
      <c r="O2153">
        <v>0.23614105821252637</v>
      </c>
      <c r="P2153">
        <v>1.3161542142776348E-2</v>
      </c>
      <c r="Q2153">
        <v>1.5041557520426745E-3</v>
      </c>
      <c r="R2153">
        <v>3.609057890962393E-3</v>
      </c>
      <c r="S2153">
        <v>0.36492932805317868</v>
      </c>
      <c r="T2153">
        <v>0.41123716927942022</v>
      </c>
      <c r="U2153">
        <v>0</v>
      </c>
      <c r="V2153">
        <v>0.19735675368633407</v>
      </c>
      <c r="W2153">
        <v>0.21224539600585121</v>
      </c>
      <c r="X2153">
        <v>5.1087894410550692E-2</v>
      </c>
      <c r="Y2153">
        <v>9.8226658535856253E-3</v>
      </c>
    </row>
    <row r="2154" spans="1:25" x14ac:dyDescent="0.25">
      <c r="A2154" s="1083"/>
      <c r="B2154" s="1455">
        <v>1904</v>
      </c>
      <c r="C2154" s="1087">
        <v>0.99481964365852404</v>
      </c>
      <c r="D2154" s="1087">
        <v>0.99411329132130666</v>
      </c>
      <c r="E2154" s="1087">
        <v>1.0164131522387456</v>
      </c>
      <c r="F2154" s="1087">
        <v>0.98866965785070926</v>
      </c>
      <c r="G2154" s="1087">
        <v>0.96608019446667559</v>
      </c>
      <c r="H2154" s="1087">
        <v>1.0048894249172604</v>
      </c>
      <c r="I2154" s="1087">
        <v>0.99116078679829622</v>
      </c>
      <c r="K2154">
        <v>1.8620132253893138</v>
      </c>
      <c r="L2154">
        <v>0</v>
      </c>
      <c r="M2154">
        <v>3.5636826097029221E-3</v>
      </c>
      <c r="N2154">
        <v>0.35575087879307471</v>
      </c>
      <c r="O2154">
        <v>0.23884004589776697</v>
      </c>
      <c r="P2154">
        <v>1.331503477874629E-2</v>
      </c>
      <c r="Q2154">
        <v>1.6237476122717186E-3</v>
      </c>
      <c r="R2154">
        <v>3.5575934435457769E-3</v>
      </c>
      <c r="S2154">
        <v>0.36609258350126728</v>
      </c>
      <c r="T2154">
        <v>0.39822996218048862</v>
      </c>
      <c r="U2154">
        <v>0</v>
      </c>
      <c r="V2154">
        <v>0.19975063425878123</v>
      </c>
      <c r="W2154">
        <v>0.22430731487948427</v>
      </c>
      <c r="X2154">
        <v>5.4426516060621447E-2</v>
      </c>
      <c r="Y2154">
        <v>9.6825965929681224E-3</v>
      </c>
    </row>
    <row r="2155" spans="1:25" x14ac:dyDescent="0.25">
      <c r="A2155" s="1083"/>
      <c r="B2155" s="1455">
        <v>1905</v>
      </c>
      <c r="C2155" s="1087">
        <v>0.98026726604390946</v>
      </c>
      <c r="D2155" s="1087">
        <v>1.0117789062302078</v>
      </c>
      <c r="E2155" s="1087">
        <v>1.0007084445083563</v>
      </c>
      <c r="F2155" s="1087">
        <v>1.0180972312831997</v>
      </c>
      <c r="G2155" s="1087">
        <v>1.0408820934374492</v>
      </c>
      <c r="H2155" s="1087">
        <v>0.96173987307365938</v>
      </c>
      <c r="I2155" s="1087">
        <v>1.0256316524267499</v>
      </c>
      <c r="K2155">
        <v>1.8568813059088936</v>
      </c>
      <c r="L2155">
        <v>0</v>
      </c>
      <c r="M2155">
        <v>3.5408628534514667E-3</v>
      </c>
      <c r="N2155">
        <v>0.33691463451839154</v>
      </c>
      <c r="O2155">
        <v>0.24213646141042872</v>
      </c>
      <c r="P2155">
        <v>1.3450263361358763E-2</v>
      </c>
      <c r="Q2155">
        <v>1.6092472640727553E-3</v>
      </c>
      <c r="R2155">
        <v>3.5345260845703122E-3</v>
      </c>
      <c r="S2155">
        <v>0.37240764400440513</v>
      </c>
      <c r="T2155">
        <v>0.40998573942337507</v>
      </c>
      <c r="U2155">
        <v>0</v>
      </c>
      <c r="V2155">
        <v>0.20285203512222522</v>
      </c>
      <c r="W2155">
        <v>0.21451201307724499</v>
      </c>
      <c r="X2155">
        <v>5.3399789650280388E-2</v>
      </c>
      <c r="Y2155">
        <v>9.619814845989753E-3</v>
      </c>
    </row>
    <row r="2156" spans="1:25" x14ac:dyDescent="0.25">
      <c r="A2156" s="1083"/>
      <c r="B2156" s="1455">
        <v>1906</v>
      </c>
      <c r="C2156" s="1087">
        <v>0.99694897614401523</v>
      </c>
      <c r="D2156" s="1087">
        <v>1.0370313743950808</v>
      </c>
      <c r="E2156" s="1087">
        <v>0.96003672150580865</v>
      </c>
      <c r="F2156" s="1087">
        <v>1.0021702834883359</v>
      </c>
      <c r="G2156" s="1087">
        <v>0.9693698289734195</v>
      </c>
      <c r="H2156" s="1087">
        <v>1.0114248188510504</v>
      </c>
      <c r="I2156" s="1087">
        <v>0.96906588498299373</v>
      </c>
      <c r="K2156">
        <v>1.8046199630840982</v>
      </c>
      <c r="L2156">
        <v>0</v>
      </c>
      <c r="M2156">
        <v>3.9249653251703306E-3</v>
      </c>
      <c r="N2156">
        <v>0.32983842214041209</v>
      </c>
      <c r="O2156">
        <v>0.23517201896236051</v>
      </c>
      <c r="P2156">
        <v>1.2586330358322005E-2</v>
      </c>
      <c r="Q2156">
        <v>1.4996746395679733E-3</v>
      </c>
      <c r="R2156">
        <v>3.9182622310860189E-3</v>
      </c>
      <c r="S2156">
        <v>0.34942676885355756</v>
      </c>
      <c r="T2156">
        <v>0.40332851915231549</v>
      </c>
      <c r="U2156">
        <v>0</v>
      </c>
      <c r="V2156">
        <v>0.19810762776479379</v>
      </c>
      <c r="W2156">
        <v>0.21549373682791753</v>
      </c>
      <c r="X2156">
        <v>4.8509349340715824E-2</v>
      </c>
      <c r="Y2156">
        <v>1.0664218138218804E-2</v>
      </c>
    </row>
    <row r="2157" spans="1:25" x14ac:dyDescent="0.25">
      <c r="A2157" s="1083"/>
      <c r="B2157" s="1455">
        <v>1907</v>
      </c>
      <c r="C2157" s="1087">
        <v>1.0102440245352327</v>
      </c>
      <c r="D2157" s="1087">
        <v>1.016752277606471</v>
      </c>
      <c r="E2157" s="1087">
        <v>1.020679207326664</v>
      </c>
      <c r="F2157" s="1087">
        <v>1.0039908781508364</v>
      </c>
      <c r="G2157" s="1087">
        <v>0.96816849935003912</v>
      </c>
      <c r="H2157" s="1087">
        <v>0.96468894471841249</v>
      </c>
      <c r="I2157" s="1087">
        <v>1.037495133708431</v>
      </c>
      <c r="K2157">
        <v>1.8258672842562316</v>
      </c>
      <c r="L2157">
        <v>0</v>
      </c>
      <c r="M2157">
        <v>3.2988924289318717E-3</v>
      </c>
      <c r="N2157">
        <v>0.33360145362114463</v>
      </c>
      <c r="O2157">
        <v>0.23661431464828622</v>
      </c>
      <c r="P2157">
        <v>1.3410822600139245E-2</v>
      </c>
      <c r="Q2157">
        <v>1.5917699681010965E-3</v>
      </c>
      <c r="R2157">
        <v>3.2930017753562846E-3</v>
      </c>
      <c r="S2157">
        <v>0.36529331095907597</v>
      </c>
      <c r="T2157">
        <v>0.40442754437921752</v>
      </c>
      <c r="U2157">
        <v>0</v>
      </c>
      <c r="V2157">
        <v>0.19825630498572541</v>
      </c>
      <c r="W2157">
        <v>0.20978950930160298</v>
      </c>
      <c r="X2157">
        <v>5.3925679151736058E-2</v>
      </c>
      <c r="Y2157">
        <v>8.9624652947763051E-3</v>
      </c>
    </row>
    <row r="2158" spans="1:25" x14ac:dyDescent="0.25">
      <c r="A2158" s="1083"/>
      <c r="B2158" s="1455">
        <v>1908</v>
      </c>
      <c r="C2158" s="1087">
        <v>0.97258988066066032</v>
      </c>
      <c r="D2158" s="1087">
        <v>0.98062714316749666</v>
      </c>
      <c r="E2158" s="1087">
        <v>1.0072669464622304</v>
      </c>
      <c r="F2158" s="1087">
        <v>0.9879805424292043</v>
      </c>
      <c r="G2158" s="1087">
        <v>0.98814603565524273</v>
      </c>
      <c r="H2158" s="1087">
        <v>1.0193781575717134</v>
      </c>
      <c r="I2158" s="1087">
        <v>1.0262556596657439</v>
      </c>
      <c r="K2158">
        <v>1.9190327378361385</v>
      </c>
      <c r="L2158">
        <v>0</v>
      </c>
      <c r="M2158">
        <v>3.7948601882333509E-3</v>
      </c>
      <c r="N2158">
        <v>0.36842006002860878</v>
      </c>
      <c r="O2158">
        <v>0.24268390868235934</v>
      </c>
      <c r="P2158">
        <v>1.3636216398676756E-2</v>
      </c>
      <c r="Q2158">
        <v>1.6538612646410577E-3</v>
      </c>
      <c r="R2158">
        <v>3.7884792383071561E-3</v>
      </c>
      <c r="S2158">
        <v>0.39332149229349095</v>
      </c>
      <c r="T2158">
        <v>0.39789718090172033</v>
      </c>
      <c r="U2158">
        <v>0</v>
      </c>
      <c r="V2158">
        <v>0.20278997415258426</v>
      </c>
      <c r="W2158">
        <v>0.23361495552324743</v>
      </c>
      <c r="X2158">
        <v>5.4710477925907726E-2</v>
      </c>
      <c r="Y2158">
        <v>1.0310991614826811E-2</v>
      </c>
    </row>
    <row r="2159" spans="1:25" x14ac:dyDescent="0.25">
      <c r="A2159" s="1083"/>
      <c r="B2159" s="1455">
        <v>1909</v>
      </c>
      <c r="C2159" s="1087">
        <v>0.99278775261259666</v>
      </c>
      <c r="D2159" s="1087">
        <v>1.0225136344724521</v>
      </c>
      <c r="E2159" s="1087">
        <v>0.9911773732475786</v>
      </c>
      <c r="F2159" s="1087">
        <v>0.99034453933462785</v>
      </c>
      <c r="G2159" s="1087">
        <v>0.98271636224093417</v>
      </c>
      <c r="H2159" s="1087">
        <v>0.97684216020168491</v>
      </c>
      <c r="I2159" s="1087">
        <v>0.97298807525479447</v>
      </c>
      <c r="K2159">
        <v>1.8040995847558843</v>
      </c>
      <c r="L2159">
        <v>0</v>
      </c>
      <c r="M2159">
        <v>3.6002834136883793E-3</v>
      </c>
      <c r="N2159">
        <v>0.33275359181054937</v>
      </c>
      <c r="O2159">
        <v>0.23615137234790354</v>
      </c>
      <c r="P2159">
        <v>1.2830672473457443E-2</v>
      </c>
      <c r="Q2159">
        <v>1.5662369746640952E-3</v>
      </c>
      <c r="R2159">
        <v>3.5939303350884153E-3</v>
      </c>
      <c r="S2159">
        <v>0.34935187004939533</v>
      </c>
      <c r="T2159">
        <v>0.39875275810355121</v>
      </c>
      <c r="U2159">
        <v>0</v>
      </c>
      <c r="V2159">
        <v>0.19848234085504285</v>
      </c>
      <c r="W2159">
        <v>0.21313203587420518</v>
      </c>
      <c r="X2159">
        <v>5.130356571241939E-2</v>
      </c>
      <c r="Y2159">
        <v>9.7814936332941086E-3</v>
      </c>
    </row>
    <row r="2160" spans="1:25" x14ac:dyDescent="0.25">
      <c r="A2160" s="1083"/>
      <c r="B2160" s="1455">
        <v>1910</v>
      </c>
      <c r="C2160" s="1087">
        <v>0.97779796980829836</v>
      </c>
      <c r="D2160" s="1087">
        <v>0.99484241086556113</v>
      </c>
      <c r="E2160" s="1087">
        <v>1.0052061195943378</v>
      </c>
      <c r="F2160" s="1087">
        <v>0.99699985452332252</v>
      </c>
      <c r="G2160" s="1087">
        <v>0.99571115423550327</v>
      </c>
      <c r="H2160" s="1087">
        <v>0.97557084576378328</v>
      </c>
      <c r="I2160" s="1087">
        <v>0.98539852702836206</v>
      </c>
      <c r="K2160">
        <v>1.8564054760664079</v>
      </c>
      <c r="L2160">
        <v>0</v>
      </c>
      <c r="M2160">
        <v>3.6002968356004176E-3</v>
      </c>
      <c r="N2160">
        <v>0.34731337703486709</v>
      </c>
      <c r="O2160">
        <v>0.24169064388125838</v>
      </c>
      <c r="P2160">
        <v>1.3264486551180031E-2</v>
      </c>
      <c r="Q2160">
        <v>1.6320328987427576E-3</v>
      </c>
      <c r="R2160">
        <v>3.5939596219857297E-3</v>
      </c>
      <c r="S2160">
        <v>0.36464539456415218</v>
      </c>
      <c r="T2160">
        <v>0.40151709501388871</v>
      </c>
      <c r="U2160">
        <v>0</v>
      </c>
      <c r="V2160">
        <v>0.20223058394887197</v>
      </c>
      <c r="W2160">
        <v>0.22051365527064273</v>
      </c>
      <c r="X2160">
        <v>5.3822970773843647E-2</v>
      </c>
      <c r="Y2160">
        <v>9.7815733425741791E-3</v>
      </c>
    </row>
    <row r="2161" spans="1:25" x14ac:dyDescent="0.25">
      <c r="A2161" s="1083"/>
      <c r="B2161" s="1455">
        <v>1911</v>
      </c>
      <c r="C2161" s="1087">
        <v>1.0298082553494683</v>
      </c>
      <c r="D2161" s="1087">
        <v>0.95821629825556165</v>
      </c>
      <c r="E2161" s="1087">
        <v>1.0251350488816078</v>
      </c>
      <c r="F2161" s="1087">
        <v>1.0013430397021523</v>
      </c>
      <c r="G2161" s="1087">
        <v>1.047274151837956</v>
      </c>
      <c r="H2161" s="1087">
        <v>1.0389660250283848</v>
      </c>
      <c r="I2161" s="1087">
        <v>0.99011513576512233</v>
      </c>
      <c r="K2161">
        <v>1.8846002178881529</v>
      </c>
      <c r="L2161">
        <v>0</v>
      </c>
      <c r="M2161">
        <v>3.5664690268269661E-3</v>
      </c>
      <c r="N2161">
        <v>0.36564146832797806</v>
      </c>
      <c r="O2161">
        <v>0.2399546296018244</v>
      </c>
      <c r="P2161">
        <v>1.3473223418525831E-2</v>
      </c>
      <c r="Q2161">
        <v>1.6065295409931294E-3</v>
      </c>
      <c r="R2161">
        <v>3.5606054633383422E-3</v>
      </c>
      <c r="S2161">
        <v>0.36676125119550379</v>
      </c>
      <c r="T2161">
        <v>0.40338841156491229</v>
      </c>
      <c r="U2161">
        <v>0</v>
      </c>
      <c r="V2161">
        <v>0.19917122697533352</v>
      </c>
      <c r="W2161">
        <v>0.22930987237564682</v>
      </c>
      <c r="X2161">
        <v>5.5608674132989928E-2</v>
      </c>
      <c r="Y2161">
        <v>9.690794317931432E-3</v>
      </c>
    </row>
    <row r="2162" spans="1:25" x14ac:dyDescent="0.25">
      <c r="A2162" s="1083"/>
      <c r="B2162" s="1455">
        <v>1912</v>
      </c>
      <c r="C2162" s="1087">
        <v>1.0080423995910972</v>
      </c>
      <c r="D2162" s="1087">
        <v>0.98163862197178797</v>
      </c>
      <c r="E2162" s="1087">
        <v>1.0015025920772835</v>
      </c>
      <c r="F2162" s="1087">
        <v>1.0247345825450336</v>
      </c>
      <c r="G2162" s="1087">
        <v>0.98793905502875623</v>
      </c>
      <c r="H2162" s="1087">
        <v>1.0215099520609328</v>
      </c>
      <c r="I2162" s="1087">
        <v>0.98612458560361183</v>
      </c>
      <c r="K2162">
        <v>1.8802154615332756</v>
      </c>
      <c r="L2162">
        <v>0</v>
      </c>
      <c r="M2162">
        <v>3.7113010582296036E-3</v>
      </c>
      <c r="N2162">
        <v>0.35402831555558451</v>
      </c>
      <c r="O2162">
        <v>0.242546915022052</v>
      </c>
      <c r="P2162">
        <v>1.3379506552430219E-2</v>
      </c>
      <c r="Q2162">
        <v>1.5852923895660969E-3</v>
      </c>
      <c r="R2162">
        <v>3.7050740197787646E-3</v>
      </c>
      <c r="S2162">
        <v>0.36479424269827881</v>
      </c>
      <c r="T2162">
        <v>0.41266352240632104</v>
      </c>
      <c r="U2162">
        <v>0</v>
      </c>
      <c r="V2162">
        <v>0.20202641981137007</v>
      </c>
      <c r="W2162">
        <v>0.2252964886471997</v>
      </c>
      <c r="X2162">
        <v>5.3816995384409497E-2</v>
      </c>
      <c r="Y2162">
        <v>1.008399010451543E-2</v>
      </c>
    </row>
    <row r="2163" spans="1:25" x14ac:dyDescent="0.25">
      <c r="A2163" s="1083"/>
      <c r="B2163" s="1455">
        <v>1913</v>
      </c>
      <c r="C2163" s="1087">
        <v>1.0164764385090952</v>
      </c>
      <c r="D2163" s="1087">
        <v>0.99339542798261082</v>
      </c>
      <c r="E2163" s="1087">
        <v>1.0309978253517145</v>
      </c>
      <c r="F2163" s="1087">
        <v>0.98338981451187335</v>
      </c>
      <c r="G2163" s="1087">
        <v>1.018957080961582</v>
      </c>
      <c r="H2163" s="1087">
        <v>1.0387445324939266</v>
      </c>
      <c r="I2163" s="1087">
        <v>1.0147433514858282</v>
      </c>
      <c r="K2163">
        <v>1.8761110318767873</v>
      </c>
      <c r="L2163">
        <v>0</v>
      </c>
      <c r="M2163">
        <v>3.5002279041303859E-3</v>
      </c>
      <c r="N2163">
        <v>0.36531184487562413</v>
      </c>
      <c r="O2163">
        <v>0.23591057190902912</v>
      </c>
      <c r="P2163">
        <v>1.3492912285365226E-2</v>
      </c>
      <c r="Q2163">
        <v>1.6142044301840092E-3</v>
      </c>
      <c r="R2163">
        <v>3.4944425964241231E-3</v>
      </c>
      <c r="S2163">
        <v>0.37328876058662713</v>
      </c>
      <c r="T2163">
        <v>0.39619162099223798</v>
      </c>
      <c r="U2163">
        <v>0</v>
      </c>
      <c r="V2163">
        <v>0.19712630341387638</v>
      </c>
      <c r="W2163">
        <v>0.22828284695254605</v>
      </c>
      <c r="X2163">
        <v>5.5387030934228122E-2</v>
      </c>
      <c r="Y2163">
        <v>9.5107208047741452E-3</v>
      </c>
    </row>
    <row r="2164" spans="1:25" x14ac:dyDescent="0.25">
      <c r="A2164" s="1083"/>
      <c r="B2164" s="1455">
        <v>1914</v>
      </c>
      <c r="C2164" s="1087">
        <v>0.97886094307578031</v>
      </c>
      <c r="D2164" s="1087">
        <v>0.98804932834238379</v>
      </c>
      <c r="E2164" s="1087">
        <v>1.0110442885988833</v>
      </c>
      <c r="F2164" s="1087">
        <v>0.96862261656096371</v>
      </c>
      <c r="G2164" s="1087">
        <v>0.99399314143389628</v>
      </c>
      <c r="H2164" s="1087">
        <v>0.99081050709621732</v>
      </c>
      <c r="I2164" s="1087">
        <v>1.0132374631661296</v>
      </c>
      <c r="K2164">
        <v>1.8672524370199468</v>
      </c>
      <c r="L2164">
        <v>0</v>
      </c>
      <c r="M2164">
        <v>3.6215127738663147E-3</v>
      </c>
      <c r="N2164">
        <v>0.35564642563924065</v>
      </c>
      <c r="O2164">
        <v>0.2388320624364639</v>
      </c>
      <c r="P2164">
        <v>1.3330096182036396E-2</v>
      </c>
      <c r="Q2164">
        <v>1.6448933561588814E-3</v>
      </c>
      <c r="R2164">
        <v>3.6152405181735896E-3</v>
      </c>
      <c r="S2164">
        <v>0.3788625598935082</v>
      </c>
      <c r="T2164">
        <v>0.39012332398428773</v>
      </c>
      <c r="U2164">
        <v>0</v>
      </c>
      <c r="V2164">
        <v>0.19999872945753364</v>
      </c>
      <c r="W2164">
        <v>0.22498721503400579</v>
      </c>
      <c r="X2164">
        <v>5.3993910365650176E-2</v>
      </c>
      <c r="Y2164">
        <v>9.8394929267519859E-3</v>
      </c>
    </row>
    <row r="2165" spans="1:25" x14ac:dyDescent="0.25">
      <c r="A2165" s="1083"/>
      <c r="B2165" s="1455">
        <v>1915</v>
      </c>
      <c r="C2165" s="1087">
        <v>1.0280853027956844</v>
      </c>
      <c r="D2165" s="1087">
        <v>0.97305465558769155</v>
      </c>
      <c r="E2165" s="1087">
        <v>1.0131684908946987</v>
      </c>
      <c r="F2165" s="1087">
        <v>0.98773135681648017</v>
      </c>
      <c r="G2165" s="1087">
        <v>1.0117539879739854</v>
      </c>
      <c r="H2165" s="1087">
        <v>1.0198063707512213</v>
      </c>
      <c r="I2165" s="1087">
        <v>0.97892192955352764</v>
      </c>
      <c r="K2165">
        <v>1.8414577308553135</v>
      </c>
      <c r="L2165">
        <v>0</v>
      </c>
      <c r="M2165">
        <v>3.563855927540883E-3</v>
      </c>
      <c r="N2165">
        <v>0.35227720311102356</v>
      </c>
      <c r="O2165">
        <v>0.23684514056708728</v>
      </c>
      <c r="P2165">
        <v>1.3113444468053521E-2</v>
      </c>
      <c r="Q2165">
        <v>1.5792942541051501E-3</v>
      </c>
      <c r="R2165">
        <v>3.5578734435734736E-3</v>
      </c>
      <c r="S2165">
        <v>0.35663064779125853</v>
      </c>
      <c r="T2165">
        <v>0.3978323991970758</v>
      </c>
      <c r="U2165">
        <v>0</v>
      </c>
      <c r="V2165">
        <v>0.19728425851963213</v>
      </c>
      <c r="W2165">
        <v>0.22256287968888042</v>
      </c>
      <c r="X2165">
        <v>5.3655087081419396E-2</v>
      </c>
      <c r="Y2165">
        <v>9.6833586607415322E-3</v>
      </c>
    </row>
    <row r="2166" spans="1:25" x14ac:dyDescent="0.25">
      <c r="A2166" s="1083"/>
      <c r="B2166" s="1455">
        <v>1916</v>
      </c>
      <c r="C2166" s="1087">
        <v>0.96650084777362466</v>
      </c>
      <c r="D2166" s="1087">
        <v>1.0044380781232878</v>
      </c>
      <c r="E2166" s="1087">
        <v>1.0187524030070989</v>
      </c>
      <c r="F2166" s="1087">
        <v>1.0188238318365523</v>
      </c>
      <c r="G2166" s="1087">
        <v>1.0203560015914712</v>
      </c>
      <c r="H2166" s="1087">
        <v>0.9901166600489214</v>
      </c>
      <c r="I2166" s="1087">
        <v>0.95944012180936078</v>
      </c>
      <c r="K2166">
        <v>1.8872305225875503</v>
      </c>
      <c r="L2166">
        <v>0</v>
      </c>
      <c r="M2166">
        <v>3.5772453873045965E-3</v>
      </c>
      <c r="N2166">
        <v>0.35964987058488079</v>
      </c>
      <c r="O2166">
        <v>0.24497622688051937</v>
      </c>
      <c r="P2166">
        <v>1.3495076526621082E-2</v>
      </c>
      <c r="Q2166">
        <v>1.6685471948884273E-3</v>
      </c>
      <c r="R2166">
        <v>3.5710335330959415E-3</v>
      </c>
      <c r="S2166">
        <v>0.36006978431126324</v>
      </c>
      <c r="T2166">
        <v>0.41039049447980919</v>
      </c>
      <c r="U2166">
        <v>0</v>
      </c>
      <c r="V2166">
        <v>0.20497459519592129</v>
      </c>
      <c r="W2166">
        <v>0.22643883616983906</v>
      </c>
      <c r="X2166">
        <v>5.5854127011818175E-2</v>
      </c>
      <c r="Y2166">
        <v>9.7191760861993423E-3</v>
      </c>
    </row>
    <row r="2167" spans="1:25" x14ac:dyDescent="0.25">
      <c r="A2167" s="1083"/>
      <c r="B2167" s="1455">
        <v>1917</v>
      </c>
      <c r="C2167" s="1087">
        <v>0.99635595634342911</v>
      </c>
      <c r="D2167" s="1087">
        <v>1.0028331720624577</v>
      </c>
      <c r="E2167" s="1087">
        <v>0.96447907810799216</v>
      </c>
      <c r="F2167" s="1087">
        <v>0.97708902114635154</v>
      </c>
      <c r="G2167" s="1087">
        <v>0.96695997942581113</v>
      </c>
      <c r="H2167" s="1087">
        <v>0.99363938264108165</v>
      </c>
      <c r="I2167" s="1087">
        <v>0.95598540612241345</v>
      </c>
      <c r="K2167">
        <v>1.7963359981868907</v>
      </c>
      <c r="L2167">
        <v>0</v>
      </c>
      <c r="M2167">
        <v>3.8935705051228856E-3</v>
      </c>
      <c r="N2167">
        <v>0.33167107508323607</v>
      </c>
      <c r="O2167">
        <v>0.23567142696047794</v>
      </c>
      <c r="P2167">
        <v>1.247730147924709E-2</v>
      </c>
      <c r="Q2167">
        <v>1.5281896549441585E-3</v>
      </c>
      <c r="R2167">
        <v>3.8868339718826552E-3</v>
      </c>
      <c r="S2167">
        <v>0.34832850176688268</v>
      </c>
      <c r="T2167">
        <v>0.39326001626823553</v>
      </c>
      <c r="U2167">
        <v>0</v>
      </c>
      <c r="V2167">
        <v>0.19781114326964333</v>
      </c>
      <c r="W2167">
        <v>0.21607308473234257</v>
      </c>
      <c r="X2167">
        <v>4.8943314728129898E-2</v>
      </c>
      <c r="Y2167">
        <v>1.0578680776990111E-2</v>
      </c>
    </row>
    <row r="2168" spans="1:25" x14ac:dyDescent="0.25">
      <c r="A2168" s="1083"/>
      <c r="B2168" s="1455">
        <v>1918</v>
      </c>
      <c r="C2168" s="1087">
        <v>0.99035657917745745</v>
      </c>
      <c r="D2168" s="1087">
        <v>0.9743310237766184</v>
      </c>
      <c r="E2168" s="1087">
        <v>0.97872138774661144</v>
      </c>
      <c r="F2168" s="1087">
        <v>0.98346095662338262</v>
      </c>
      <c r="G2168" s="1087">
        <v>0.99791728167369853</v>
      </c>
      <c r="H2168" s="1087">
        <v>0.98944570815015653</v>
      </c>
      <c r="I2168" s="1087">
        <v>0.99708162480166218</v>
      </c>
      <c r="K2168">
        <v>1.8470835596227444</v>
      </c>
      <c r="L2168">
        <v>0</v>
      </c>
      <c r="M2168">
        <v>3.8481060968388169E-3</v>
      </c>
      <c r="N2168">
        <v>0.342390227020688</v>
      </c>
      <c r="O2168">
        <v>0.24016773962081922</v>
      </c>
      <c r="P2168">
        <v>1.2988243850908411E-2</v>
      </c>
      <c r="Q2168">
        <v>1.5794209315668556E-3</v>
      </c>
      <c r="R2168">
        <v>3.8414461127656923E-3</v>
      </c>
      <c r="S2168">
        <v>0.37075936371236573</v>
      </c>
      <c r="T2168">
        <v>0.39590772656509099</v>
      </c>
      <c r="U2168">
        <v>0</v>
      </c>
      <c r="V2168">
        <v>0.20060345652179296</v>
      </c>
      <c r="W2168">
        <v>0.22103748385795227</v>
      </c>
      <c r="X2168">
        <v>5.1201407539056228E-2</v>
      </c>
      <c r="Y2168">
        <v>1.0455149986577475E-2</v>
      </c>
    </row>
    <row r="2169" spans="1:25" x14ac:dyDescent="0.25">
      <c r="A2169" s="1083"/>
      <c r="B2169" s="1455">
        <v>1919</v>
      </c>
      <c r="C2169" s="1087">
        <v>0.9647081224822085</v>
      </c>
      <c r="D2169" s="1087">
        <v>1.0060350593299681</v>
      </c>
      <c r="E2169" s="1087">
        <v>1.0075981857606808</v>
      </c>
      <c r="F2169" s="1087">
        <v>1.0192300034184461</v>
      </c>
      <c r="G2169" s="1087">
        <v>0.99069257876102246</v>
      </c>
      <c r="H2169" s="1087">
        <v>0.99170526512708068</v>
      </c>
      <c r="I2169" s="1087">
        <v>1.0125054880270759</v>
      </c>
      <c r="K2169">
        <v>1.9038463027696495</v>
      </c>
      <c r="L2169">
        <v>0</v>
      </c>
      <c r="M2169">
        <v>3.6695250493903372E-3</v>
      </c>
      <c r="N2169">
        <v>0.35659333387511438</v>
      </c>
      <c r="O2169">
        <v>0.24492558354870189</v>
      </c>
      <c r="P2169">
        <v>1.3667777195613158E-2</v>
      </c>
      <c r="Q2169">
        <v>1.6509803581959428E-3</v>
      </c>
      <c r="R2169">
        <v>3.6631617718834802E-3</v>
      </c>
      <c r="S2169">
        <v>0.3805255472719129</v>
      </c>
      <c r="T2169">
        <v>0.41048457870592725</v>
      </c>
      <c r="U2169">
        <v>0</v>
      </c>
      <c r="V2169">
        <v>0.20505759256723027</v>
      </c>
      <c r="W2169">
        <v>0.22606910230781743</v>
      </c>
      <c r="X2169">
        <v>5.490825143452812E-2</v>
      </c>
      <c r="Y2169">
        <v>9.9699187821132695E-3</v>
      </c>
    </row>
    <row r="2170" spans="1:25" x14ac:dyDescent="0.25">
      <c r="A2170" s="1083"/>
      <c r="B2170" s="1455">
        <v>1920</v>
      </c>
      <c r="C2170" s="1087">
        <v>1.0387744413095428</v>
      </c>
      <c r="D2170" s="1087">
        <v>1.0147744604702853</v>
      </c>
      <c r="E2170" s="1087">
        <v>0.98867458918422468</v>
      </c>
      <c r="F2170" s="1087">
        <v>1.0240096899572046</v>
      </c>
      <c r="G2170" s="1087">
        <v>1.0079381534278695</v>
      </c>
      <c r="H2170" s="1087">
        <v>1.033559221718809</v>
      </c>
      <c r="I2170" s="1087">
        <v>0.99126523825480639</v>
      </c>
      <c r="K2170">
        <v>1.8239396041250602</v>
      </c>
      <c r="L2170">
        <v>0</v>
      </c>
      <c r="M2170">
        <v>3.6719525443086628E-3</v>
      </c>
      <c r="N2170">
        <v>0.33682636400483501</v>
      </c>
      <c r="O2170">
        <v>0.2351949797707393</v>
      </c>
      <c r="P2170">
        <v>1.2992551486267911E-2</v>
      </c>
      <c r="Q2170">
        <v>1.4974356930828117E-3</v>
      </c>
      <c r="R2170">
        <v>3.6658310271673934E-3</v>
      </c>
      <c r="S2170">
        <v>0.35118120855301527</v>
      </c>
      <c r="T2170">
        <v>0.41229229207338824</v>
      </c>
      <c r="U2170">
        <v>0</v>
      </c>
      <c r="V2170">
        <v>0.19686438324337599</v>
      </c>
      <c r="W2170">
        <v>0.21608089932738203</v>
      </c>
      <c r="X2170">
        <v>5.1038427875037297E-2</v>
      </c>
      <c r="Y2170">
        <v>9.9771836150763134E-3</v>
      </c>
    </row>
    <row r="2171" spans="1:25" x14ac:dyDescent="0.25">
      <c r="A2171" s="1083"/>
      <c r="B2171" s="1455">
        <v>1921</v>
      </c>
      <c r="C2171" s="1087">
        <v>0.97978192642104778</v>
      </c>
      <c r="D2171" s="1087">
        <v>0.99905799822638219</v>
      </c>
      <c r="E2171" s="1087">
        <v>0.99566632952787026</v>
      </c>
      <c r="F2171" s="1087">
        <v>0.9745954116661103</v>
      </c>
      <c r="G2171" s="1087">
        <v>0.98393764566004882</v>
      </c>
      <c r="H2171" s="1087">
        <v>1.0058872060711763</v>
      </c>
      <c r="I2171" s="1087">
        <v>1.0069973492555189</v>
      </c>
      <c r="K2171">
        <v>1.8631075423768508</v>
      </c>
      <c r="L2171">
        <v>0</v>
      </c>
      <c r="M2171">
        <v>3.7685831149046924E-3</v>
      </c>
      <c r="N2171">
        <v>0.35313506832797076</v>
      </c>
      <c r="O2171">
        <v>0.2381720545686502</v>
      </c>
      <c r="P2171">
        <v>1.3175220889093585E-2</v>
      </c>
      <c r="Q2171">
        <v>1.609534449181144E-3</v>
      </c>
      <c r="R2171">
        <v>3.7621449977614614E-3</v>
      </c>
      <c r="S2171">
        <v>0.37653306003493164</v>
      </c>
      <c r="T2171">
        <v>0.39243790632637909</v>
      </c>
      <c r="U2171">
        <v>0</v>
      </c>
      <c r="V2171">
        <v>0.1997649365981162</v>
      </c>
      <c r="W2171">
        <v>0.22554991702055924</v>
      </c>
      <c r="X2171">
        <v>5.249696378597124E-2</v>
      </c>
      <c r="Y2171">
        <v>1.0239318493141495E-2</v>
      </c>
    </row>
    <row r="2172" spans="1:25" x14ac:dyDescent="0.25">
      <c r="A2172" s="1083"/>
      <c r="B2172" s="1455">
        <v>1922</v>
      </c>
      <c r="C2172" s="1087">
        <v>1.0168284331449673</v>
      </c>
      <c r="D2172" s="1087">
        <v>0.99642544519989507</v>
      </c>
      <c r="E2172" s="1087">
        <v>0.98225302863837427</v>
      </c>
      <c r="F2172" s="1087">
        <v>0.97772565167335901</v>
      </c>
      <c r="G2172" s="1087">
        <v>0.98606569769159069</v>
      </c>
      <c r="H2172" s="1087">
        <v>0.9973292572389314</v>
      </c>
      <c r="I2172" s="1087">
        <v>1.0139380277119372</v>
      </c>
      <c r="K2172">
        <v>1.8108830885700096</v>
      </c>
      <c r="L2172">
        <v>0</v>
      </c>
      <c r="M2172">
        <v>3.7059926975076757E-3</v>
      </c>
      <c r="N2172">
        <v>0.33332650743004577</v>
      </c>
      <c r="O2172">
        <v>0.23421325649281505</v>
      </c>
      <c r="P2172">
        <v>1.2843588028513491E-2</v>
      </c>
      <c r="Q2172">
        <v>1.5303735510236599E-3</v>
      </c>
      <c r="R2172">
        <v>3.6996101492080768E-3</v>
      </c>
      <c r="S2172">
        <v>0.36416310557742138</v>
      </c>
      <c r="T2172">
        <v>0.39361951753760877</v>
      </c>
      <c r="U2172">
        <v>0</v>
      </c>
      <c r="V2172">
        <v>0.1961563110002309</v>
      </c>
      <c r="W2172">
        <v>0.21470486325211108</v>
      </c>
      <c r="X2172">
        <v>5.0262828998550779E-2</v>
      </c>
      <c r="Y2172">
        <v>1.0069119249986469E-2</v>
      </c>
    </row>
    <row r="2173" spans="1:25" x14ac:dyDescent="0.25">
      <c r="A2173" s="1083"/>
      <c r="B2173" s="1455">
        <v>1923</v>
      </c>
      <c r="C2173" s="1087">
        <v>1.0102076842570291</v>
      </c>
      <c r="D2173" s="1087">
        <v>0.98500364328158518</v>
      </c>
      <c r="E2173" s="1087">
        <v>0.97071882979507507</v>
      </c>
      <c r="F2173" s="1087">
        <v>1.0225683394678406</v>
      </c>
      <c r="G2173" s="1087">
        <v>1.0093287474746881</v>
      </c>
      <c r="H2173" s="1087">
        <v>0.99761364362797422</v>
      </c>
      <c r="I2173" s="1087">
        <v>0.99069501929536652</v>
      </c>
      <c r="K2173">
        <v>1.8403342514776146</v>
      </c>
      <c r="L2173">
        <v>0</v>
      </c>
      <c r="M2173">
        <v>3.844048428599995E-3</v>
      </c>
      <c r="N2173">
        <v>0.33376642891581126</v>
      </c>
      <c r="O2173">
        <v>0.24123481602003152</v>
      </c>
      <c r="P2173">
        <v>1.298841938760497E-2</v>
      </c>
      <c r="Q2173">
        <v>1.5283894527426908E-3</v>
      </c>
      <c r="R2173">
        <v>3.8374408523681315E-3</v>
      </c>
      <c r="S2173">
        <v>0.3603685165402154</v>
      </c>
      <c r="T2173">
        <v>0.41160234233606247</v>
      </c>
      <c r="U2173">
        <v>0</v>
      </c>
      <c r="V2173">
        <v>0.20123812799118768</v>
      </c>
      <c r="W2173">
        <v>0.21657114292544918</v>
      </c>
      <c r="X2173">
        <v>5.0598426496631335E-2</v>
      </c>
      <c r="Y2173">
        <v>1.0444248988109047E-2</v>
      </c>
    </row>
    <row r="2174" spans="1:25" x14ac:dyDescent="0.25">
      <c r="A2174" s="1083"/>
      <c r="B2174" s="1455">
        <v>1924</v>
      </c>
      <c r="C2174" s="1087">
        <v>1.008366942033601</v>
      </c>
      <c r="D2174" s="1087">
        <v>1.0255416155985013</v>
      </c>
      <c r="E2174" s="1087">
        <v>1.00406430069675</v>
      </c>
      <c r="F2174" s="1087">
        <v>0.97972745757424784</v>
      </c>
      <c r="G2174" s="1087">
        <v>1.0029120603017092</v>
      </c>
      <c r="H2174" s="1087">
        <v>0.97411535141837335</v>
      </c>
      <c r="I2174" s="1087">
        <v>1.0114124860066773</v>
      </c>
      <c r="K2174">
        <v>1.795908187318747</v>
      </c>
      <c r="L2174">
        <v>0</v>
      </c>
      <c r="M2174">
        <v>3.4371651548262029E-3</v>
      </c>
      <c r="N2174">
        <v>0.33042005224659027</v>
      </c>
      <c r="O2174">
        <v>0.23294219238206398</v>
      </c>
      <c r="P2174">
        <v>1.2960380914527643E-2</v>
      </c>
      <c r="Q2174">
        <v>1.5615385204237812E-3</v>
      </c>
      <c r="R2174">
        <v>3.4310801018252591E-3</v>
      </c>
      <c r="S2174">
        <v>0.35660018076173688</v>
      </c>
      <c r="T2174">
        <v>0.39455426275847355</v>
      </c>
      <c r="U2174">
        <v>0</v>
      </c>
      <c r="V2174">
        <v>0.19583978814828712</v>
      </c>
      <c r="W2174">
        <v>0.20993707194648284</v>
      </c>
      <c r="X2174">
        <v>5.176053571124313E-2</v>
      </c>
      <c r="Y2174">
        <v>9.3382689819167669E-3</v>
      </c>
    </row>
    <row r="2175" spans="1:25" x14ac:dyDescent="0.25">
      <c r="A2175" s="1083"/>
      <c r="B2175" s="1455">
        <v>1925</v>
      </c>
      <c r="C2175" s="1087">
        <v>1.0037223505454231</v>
      </c>
      <c r="D2175" s="1087">
        <v>1.0275275243312341</v>
      </c>
      <c r="E2175" s="1087">
        <v>0.96462577779853464</v>
      </c>
      <c r="F2175" s="1087">
        <v>0.98658789694482429</v>
      </c>
      <c r="G2175" s="1087">
        <v>0.9738044155779304</v>
      </c>
      <c r="H2175" s="1087">
        <v>0.99636283011289073</v>
      </c>
      <c r="I2175" s="1087">
        <v>1.0061055050430252</v>
      </c>
      <c r="K2175">
        <v>1.7980382721277302</v>
      </c>
      <c r="L2175">
        <v>0</v>
      </c>
      <c r="M2175">
        <v>3.8239219663590133E-3</v>
      </c>
      <c r="N2175">
        <v>0.32588398124536433</v>
      </c>
      <c r="O2175">
        <v>0.23354633703792838</v>
      </c>
      <c r="P2175">
        <v>1.2662012688806637E-2</v>
      </c>
      <c r="Q2175">
        <v>1.502524017889839E-3</v>
      </c>
      <c r="R2175">
        <v>3.8173016020117681E-3</v>
      </c>
      <c r="S2175">
        <v>0.3595333755227168</v>
      </c>
      <c r="T2175">
        <v>0.39708399011149492</v>
      </c>
      <c r="U2175">
        <v>0</v>
      </c>
      <c r="V2175">
        <v>0.19658079950747365</v>
      </c>
      <c r="W2175">
        <v>0.21228299131619605</v>
      </c>
      <c r="X2175">
        <v>4.8579444456663588E-2</v>
      </c>
      <c r="Y2175">
        <v>1.0389436587541125E-2</v>
      </c>
    </row>
    <row r="2176" spans="1:25" x14ac:dyDescent="0.25">
      <c r="A2176" s="1083"/>
      <c r="B2176" s="1455">
        <v>1926</v>
      </c>
      <c r="C2176" s="1087">
        <v>0.99840938839164195</v>
      </c>
      <c r="D2176" s="1087">
        <v>1.0264885001752408</v>
      </c>
      <c r="E2176" s="1087">
        <v>0.97021318749629326</v>
      </c>
      <c r="F2176" s="1087">
        <v>0.98113664591003724</v>
      </c>
      <c r="G2176" s="1087">
        <v>1.0153746060232298</v>
      </c>
      <c r="H2176" s="1087">
        <v>0.99601649113647417</v>
      </c>
      <c r="I2176" s="1087">
        <v>0.97444510149870611</v>
      </c>
      <c r="K2176">
        <v>1.7926620504240947</v>
      </c>
      <c r="L2176">
        <v>0</v>
      </c>
      <c r="M2176">
        <v>3.8016956330019888E-3</v>
      </c>
      <c r="N2176">
        <v>0.3295748276162262</v>
      </c>
      <c r="O2176">
        <v>0.23372359509466131</v>
      </c>
      <c r="P2176">
        <v>1.2566559123270449E-2</v>
      </c>
      <c r="Q2176">
        <v>1.5203092247661313E-3</v>
      </c>
      <c r="R2176">
        <v>3.7951126191096878E-3</v>
      </c>
      <c r="S2176">
        <v>0.35027465353824599</v>
      </c>
      <c r="T2176">
        <v>0.39492239090090353</v>
      </c>
      <c r="U2176">
        <v>0</v>
      </c>
      <c r="V2176">
        <v>0.1967661258193692</v>
      </c>
      <c r="W2176">
        <v>0.21392043481615761</v>
      </c>
      <c r="X2176">
        <v>4.9070691813708087E-2</v>
      </c>
      <c r="Y2176">
        <v>1.0329045490677908E-2</v>
      </c>
    </row>
    <row r="2177" spans="1:25" x14ac:dyDescent="0.25">
      <c r="A2177" s="1083"/>
      <c r="B2177" s="1455">
        <v>1927</v>
      </c>
      <c r="C2177" s="1087">
        <v>1.0131935553429048</v>
      </c>
      <c r="D2177" s="1087">
        <v>1.0152593644172945</v>
      </c>
      <c r="E2177" s="1087">
        <v>1.0329477004723322</v>
      </c>
      <c r="F2177" s="1087">
        <v>0.9742706645800272</v>
      </c>
      <c r="G2177" s="1087">
        <v>1.0011411135192247</v>
      </c>
      <c r="H2177" s="1087">
        <v>0.96761009609818993</v>
      </c>
      <c r="I2177" s="1087">
        <v>0.99861320205310566</v>
      </c>
      <c r="K2177">
        <v>1.7995018949583235</v>
      </c>
      <c r="L2177">
        <v>0</v>
      </c>
      <c r="M2177">
        <v>3.2199246408513905E-3</v>
      </c>
      <c r="N2177">
        <v>0.33801512908235176</v>
      </c>
      <c r="O2177">
        <v>0.23312591305254018</v>
      </c>
      <c r="P2177">
        <v>1.3134766807307182E-2</v>
      </c>
      <c r="Q2177">
        <v>1.6086779785736732E-3</v>
      </c>
      <c r="R2177">
        <v>3.2141939270678337E-3</v>
      </c>
      <c r="S2177">
        <v>0.35153032891482339</v>
      </c>
      <c r="T2177">
        <v>0.39252943246949146</v>
      </c>
      <c r="U2177">
        <v>0</v>
      </c>
      <c r="V2177">
        <v>0.19556320601662</v>
      </c>
      <c r="W2177">
        <v>0.21097406891339082</v>
      </c>
      <c r="X2177">
        <v>5.4278126126271073E-2</v>
      </c>
      <c r="Y2177">
        <v>8.7479763107353465E-3</v>
      </c>
    </row>
    <row r="2178" spans="1:25" x14ac:dyDescent="0.25">
      <c r="A2178" s="1083"/>
      <c r="B2178" s="1455">
        <v>1928</v>
      </c>
      <c r="C2178" s="1087">
        <v>0.99893662661212934</v>
      </c>
      <c r="D2178" s="1087">
        <v>0.97790823389837533</v>
      </c>
      <c r="E2178" s="1087">
        <v>0.97875312637722445</v>
      </c>
      <c r="F2178" s="1087">
        <v>1.0317203513093101</v>
      </c>
      <c r="G2178" s="1087">
        <v>0.9928324247455742</v>
      </c>
      <c r="H2178" s="1087">
        <v>0.98484469067179969</v>
      </c>
      <c r="I2178" s="1087">
        <v>0.98516914575808157</v>
      </c>
      <c r="K2178">
        <v>1.8571847846210228</v>
      </c>
      <c r="L2178">
        <v>0</v>
      </c>
      <c r="M2178">
        <v>3.7903814465325108E-3</v>
      </c>
      <c r="N2178">
        <v>0.33728391287626175</v>
      </c>
      <c r="O2178">
        <v>0.24453859035802011</v>
      </c>
      <c r="P2178">
        <v>1.3168359988852216E-2</v>
      </c>
      <c r="Q2178">
        <v>1.5636147736917995E-3</v>
      </c>
      <c r="R2178">
        <v>3.7837887647203363E-3</v>
      </c>
      <c r="S2178">
        <v>0.36165147635563533</v>
      </c>
      <c r="T2178">
        <v>0.41533550277473069</v>
      </c>
      <c r="U2178">
        <v>0</v>
      </c>
      <c r="V2178">
        <v>0.20367716275080242</v>
      </c>
      <c r="W2178">
        <v>0.21773660354153157</v>
      </c>
      <c r="X2178">
        <v>5.1937928191370573E-2</v>
      </c>
      <c r="Y2178">
        <v>1.0298225691937689E-2</v>
      </c>
    </row>
    <row r="2179" spans="1:25" x14ac:dyDescent="0.25">
      <c r="A2179" s="1083"/>
      <c r="B2179" s="1455">
        <v>1929</v>
      </c>
      <c r="C2179" s="1087">
        <v>1.0070091641661709</v>
      </c>
      <c r="D2179" s="1087">
        <v>1.0119708679705133</v>
      </c>
      <c r="E2179" s="1087">
        <v>1.0310019651789739</v>
      </c>
      <c r="F2179" s="1087">
        <v>1.0321622722732391</v>
      </c>
      <c r="G2179" s="1087">
        <v>1.0239859543371106</v>
      </c>
      <c r="H2179" s="1087">
        <v>0.98286139379363657</v>
      </c>
      <c r="I2179" s="1087">
        <v>0.97244013837986831</v>
      </c>
      <c r="K2179">
        <v>1.8465776146833006</v>
      </c>
      <c r="L2179">
        <v>0</v>
      </c>
      <c r="M2179">
        <v>3.3090707695613282E-3</v>
      </c>
      <c r="N2179">
        <v>0.34533130334364553</v>
      </c>
      <c r="O2179">
        <v>0.2408410503391494</v>
      </c>
      <c r="P2179">
        <v>1.3467162166250797E-2</v>
      </c>
      <c r="Q2179">
        <v>1.6173572976288975E-3</v>
      </c>
      <c r="R2179">
        <v>3.3032742364657122E-3</v>
      </c>
      <c r="S2179">
        <v>0.34763838010940967</v>
      </c>
      <c r="T2179">
        <v>0.41584127042586977</v>
      </c>
      <c r="U2179">
        <v>0</v>
      </c>
      <c r="V2179">
        <v>0.20128411121286835</v>
      </c>
      <c r="W2179">
        <v>0.2157964898851043</v>
      </c>
      <c r="X2179">
        <v>5.5775862888866434E-2</v>
      </c>
      <c r="Y2179">
        <v>8.9904235476002698E-3</v>
      </c>
    </row>
    <row r="2180" spans="1:25" x14ac:dyDescent="0.25">
      <c r="A2180" s="1083"/>
      <c r="B2180" s="1455">
        <v>1930</v>
      </c>
      <c r="C2180" s="1087">
        <v>1.0413156152401162</v>
      </c>
      <c r="D2180" s="1087">
        <v>1.0202940041684569</v>
      </c>
      <c r="E2180" s="1087">
        <v>1.0008214788107277</v>
      </c>
      <c r="F2180" s="1087">
        <v>0.96657433285292527</v>
      </c>
      <c r="G2180" s="1087">
        <v>1.0146227531444361</v>
      </c>
      <c r="H2180" s="1087">
        <v>0.99905299992534136</v>
      </c>
      <c r="I2180" s="1087">
        <v>0.98924416095637302</v>
      </c>
      <c r="K2180">
        <v>1.7625462886642349</v>
      </c>
      <c r="L2180">
        <v>0</v>
      </c>
      <c r="M2180">
        <v>3.4454111187275454E-3</v>
      </c>
      <c r="N2180">
        <v>0.32796662848346492</v>
      </c>
      <c r="O2180">
        <v>0.22807771110939909</v>
      </c>
      <c r="P2180">
        <v>1.2611721775604198E-2</v>
      </c>
      <c r="Q2180">
        <v>1.5100151416327411E-3</v>
      </c>
      <c r="R2180">
        <v>3.4394671888954439E-3</v>
      </c>
      <c r="S2180">
        <v>0.3428995309489053</v>
      </c>
      <c r="T2180">
        <v>0.38923823259100432</v>
      </c>
      <c r="U2180">
        <v>0</v>
      </c>
      <c r="V2180">
        <v>0.19160701703146868</v>
      </c>
      <c r="W2180">
        <v>0.20880011956098266</v>
      </c>
      <c r="X2180">
        <v>5.0480160083483043E-2</v>
      </c>
      <c r="Y2180">
        <v>9.3610958681193002E-3</v>
      </c>
    </row>
    <row r="2181" spans="1:25" x14ac:dyDescent="0.25">
      <c r="A2181" s="1083"/>
      <c r="B2181" s="1455">
        <v>1931</v>
      </c>
      <c r="C2181" s="1087">
        <v>1.0048951226586889</v>
      </c>
      <c r="D2181" s="1087">
        <v>1.0220271443295579</v>
      </c>
      <c r="E2181" s="1087">
        <v>1.0328468165159088</v>
      </c>
      <c r="F2181" s="1087">
        <v>0.97925366181118689</v>
      </c>
      <c r="G2181" s="1087">
        <v>0.98825410196668961</v>
      </c>
      <c r="H2181" s="1087">
        <v>1.0016194646490175</v>
      </c>
      <c r="I2181" s="1087">
        <v>0.96692684531349615</v>
      </c>
      <c r="K2181">
        <v>1.8224075547965664</v>
      </c>
      <c r="L2181">
        <v>0</v>
      </c>
      <c r="M2181">
        <v>3.3493555309424394E-3</v>
      </c>
      <c r="N2181">
        <v>0.35151503709610354</v>
      </c>
      <c r="O2181">
        <v>0.23403747980959391</v>
      </c>
      <c r="P2181">
        <v>1.3123046703849773E-2</v>
      </c>
      <c r="Q2181">
        <v>1.6174867203651944E-3</v>
      </c>
      <c r="R2181">
        <v>3.3435916327358688E-3</v>
      </c>
      <c r="S2181">
        <v>0.34780488764004203</v>
      </c>
      <c r="T2181">
        <v>0.39453644815917871</v>
      </c>
      <c r="U2181">
        <v>0</v>
      </c>
      <c r="V2181">
        <v>0.19651231413537334</v>
      </c>
      <c r="W2181">
        <v>0.21941360691799147</v>
      </c>
      <c r="X2181">
        <v>5.4752857302653703E-2</v>
      </c>
      <c r="Y2181">
        <v>9.1001542096215294E-3</v>
      </c>
    </row>
    <row r="2182" spans="1:25" x14ac:dyDescent="0.25">
      <c r="A2182" s="1083"/>
      <c r="B2182" s="1455">
        <v>1932</v>
      </c>
      <c r="C2182" s="1087">
        <v>1.0098365849312063</v>
      </c>
      <c r="D2182" s="1087">
        <v>0.97595917264139964</v>
      </c>
      <c r="E2182" s="1087">
        <v>0.99070221114762458</v>
      </c>
      <c r="F2182" s="1087">
        <v>1.0095973387737427</v>
      </c>
      <c r="G2182" s="1087">
        <v>1.0071237817538785</v>
      </c>
      <c r="H2182" s="1087">
        <v>0.96820651597272189</v>
      </c>
      <c r="I2182" s="1087">
        <v>0.98317581590173331</v>
      </c>
      <c r="K2182">
        <v>1.8246608953749897</v>
      </c>
      <c r="L2182">
        <v>0</v>
      </c>
      <c r="M2182">
        <v>3.6011147306970869E-3</v>
      </c>
      <c r="N2182">
        <v>0.33234645275780045</v>
      </c>
      <c r="O2182">
        <v>0.24097950701104714</v>
      </c>
      <c r="P2182">
        <v>1.3033006226610461E-2</v>
      </c>
      <c r="Q2182">
        <v>1.567966716339563E-3</v>
      </c>
      <c r="R2182">
        <v>3.5947452205087288E-3</v>
      </c>
      <c r="S2182">
        <v>0.35457243236786162</v>
      </c>
      <c r="T2182">
        <v>0.40650182579069744</v>
      </c>
      <c r="U2182">
        <v>0</v>
      </c>
      <c r="V2182">
        <v>0.20078369999276971</v>
      </c>
      <c r="W2182">
        <v>0.21293490113184366</v>
      </c>
      <c r="X2182">
        <v>5.2163761407427928E-2</v>
      </c>
      <c r="Y2182">
        <v>9.7837114827812981E-3</v>
      </c>
    </row>
    <row r="2183" spans="1:25" x14ac:dyDescent="0.25">
      <c r="A2183" s="1083"/>
      <c r="B2183" s="1455">
        <v>1933</v>
      </c>
      <c r="C2183" s="1087">
        <v>0.96266469420927658</v>
      </c>
      <c r="D2183" s="1087">
        <v>0.99444892130589058</v>
      </c>
      <c r="E2183" s="1087">
        <v>1.0067866782290076</v>
      </c>
      <c r="F2183" s="1087">
        <v>0.98695356102363008</v>
      </c>
      <c r="G2183" s="1087">
        <v>0.9779352856893162</v>
      </c>
      <c r="H2183" s="1087">
        <v>0.995455421813081</v>
      </c>
      <c r="I2183" s="1087">
        <v>1.0032069854624428</v>
      </c>
      <c r="K2183">
        <v>1.8927829466388022</v>
      </c>
      <c r="L2183">
        <v>0</v>
      </c>
      <c r="M2183">
        <v>3.7195844353503879E-3</v>
      </c>
      <c r="N2183">
        <v>0.36056759634580243</v>
      </c>
      <c r="O2183">
        <v>0.24241327340586225</v>
      </c>
      <c r="P2183">
        <v>1.345935900965064E-2</v>
      </c>
      <c r="Q2183">
        <v>1.6607371438214721E-3</v>
      </c>
      <c r="R2183">
        <v>3.7131673807977413E-3</v>
      </c>
      <c r="S2183">
        <v>0.38091389762018779</v>
      </c>
      <c r="T2183">
        <v>0.39748069024329519</v>
      </c>
      <c r="U2183">
        <v>0</v>
      </c>
      <c r="V2183">
        <v>0.20307229582197861</v>
      </c>
      <c r="W2183">
        <v>0.22870397101785195</v>
      </c>
      <c r="X2183">
        <v>5.4411525519671197E-2</v>
      </c>
      <c r="Y2183">
        <v>1.0106017565233339E-2</v>
      </c>
    </row>
    <row r="2184" spans="1:25" x14ac:dyDescent="0.25">
      <c r="A2184" s="1083"/>
      <c r="B2184" s="1455">
        <v>1934</v>
      </c>
      <c r="C2184" s="1087">
        <v>1.0367778234010223</v>
      </c>
      <c r="D2184" s="1087">
        <v>1.0059878605287831</v>
      </c>
      <c r="E2184" s="1087">
        <v>1.0001392770450681</v>
      </c>
      <c r="F2184" s="1087">
        <v>1.0055008349471581</v>
      </c>
      <c r="G2184" s="1087">
        <v>1.0058335231422455</v>
      </c>
      <c r="H2184" s="1087">
        <v>1.0296708056753212</v>
      </c>
      <c r="I2184" s="1087">
        <v>1.0236623262206344</v>
      </c>
      <c r="K2184">
        <v>1.8360143323569669</v>
      </c>
      <c r="L2184">
        <v>0</v>
      </c>
      <c r="M2184">
        <v>3.5984085638026036E-3</v>
      </c>
      <c r="N2184">
        <v>0.34183665190888229</v>
      </c>
      <c r="O2184">
        <v>0.23441296672534251</v>
      </c>
      <c r="P2184">
        <v>1.317633779995255E-2</v>
      </c>
      <c r="Q2184">
        <v>1.5241067803974742E-3</v>
      </c>
      <c r="R2184">
        <v>3.5923964182927666E-3</v>
      </c>
      <c r="S2184">
        <v>0.36460894143555472</v>
      </c>
      <c r="T2184">
        <v>0.40490972685776888</v>
      </c>
      <c r="U2184">
        <v>0</v>
      </c>
      <c r="V2184">
        <v>0.19607161862410438</v>
      </c>
      <c r="W2184">
        <v>0.21772322930815011</v>
      </c>
      <c r="X2184">
        <v>5.1979446244889073E-2</v>
      </c>
      <c r="Y2184">
        <v>9.7773188174318879E-3</v>
      </c>
    </row>
    <row r="2185" spans="1:25" x14ac:dyDescent="0.25">
      <c r="A2185" s="1083"/>
      <c r="B2185" s="1455">
        <v>1935</v>
      </c>
      <c r="C2185" s="1087">
        <v>0.96089628317571241</v>
      </c>
      <c r="D2185" s="1087">
        <v>0.98783242212197686</v>
      </c>
      <c r="E2185" s="1087">
        <v>1.0216457610066163</v>
      </c>
      <c r="F2185" s="1087">
        <v>0.98805840868921146</v>
      </c>
      <c r="G2185" s="1087">
        <v>0.98384740224431144</v>
      </c>
      <c r="H2185" s="1087">
        <v>1.0064452767994514</v>
      </c>
      <c r="I2185" s="1087">
        <v>0.96005706789722967</v>
      </c>
      <c r="K2185">
        <v>1.901234641563692</v>
      </c>
      <c r="L2185">
        <v>0</v>
      </c>
      <c r="M2185">
        <v>3.6675089334208062E-3</v>
      </c>
      <c r="N2185">
        <v>0.37200187556966507</v>
      </c>
      <c r="O2185">
        <v>0.24364568414151769</v>
      </c>
      <c r="P2185">
        <v>1.3456010504027019E-2</v>
      </c>
      <c r="Q2185">
        <v>1.6946705304584052E-3</v>
      </c>
      <c r="R2185">
        <v>3.6612562772192605E-3</v>
      </c>
      <c r="S2185">
        <v>0.36872057842716821</v>
      </c>
      <c r="T2185">
        <v>0.39801550055942575</v>
      </c>
      <c r="U2185">
        <v>0</v>
      </c>
      <c r="V2185">
        <v>0.20381445415675983</v>
      </c>
      <c r="W2185">
        <v>0.23379908812023215</v>
      </c>
      <c r="X2185">
        <v>5.6128299556856671E-2</v>
      </c>
      <c r="Y2185">
        <v>9.9647326537834115E-3</v>
      </c>
    </row>
    <row r="2186" spans="1:25" x14ac:dyDescent="0.25">
      <c r="A2186" s="1083"/>
      <c r="B2186" s="1455">
        <v>1936</v>
      </c>
      <c r="C2186" s="1087">
        <v>0.96528584507331483</v>
      </c>
      <c r="D2186" s="1087">
        <v>0.9667924181336266</v>
      </c>
      <c r="E2186" s="1087">
        <v>1.0010927620665633</v>
      </c>
      <c r="F2186" s="1087">
        <v>0.99760454369128049</v>
      </c>
      <c r="G2186" s="1087">
        <v>0.9685472640661239</v>
      </c>
      <c r="H2186" s="1087">
        <v>1.0130593113866362</v>
      </c>
      <c r="I2186" s="1087">
        <v>1.0315003584532885</v>
      </c>
      <c r="K2186">
        <v>1.9385058351138673</v>
      </c>
      <c r="L2186">
        <v>0</v>
      </c>
      <c r="M2186">
        <v>3.8775468997057669E-3</v>
      </c>
      <c r="N2186">
        <v>0.36942053736337344</v>
      </c>
      <c r="O2186">
        <v>0.24609498429310483</v>
      </c>
      <c r="P2186">
        <v>1.3751985706156017E-2</v>
      </c>
      <c r="Q2186">
        <v>1.6649073307250723E-3</v>
      </c>
      <c r="R2186">
        <v>3.8709987903741828E-3</v>
      </c>
      <c r="S2186">
        <v>0.40013786535289525</v>
      </c>
      <c r="T2186">
        <v>0.401735699256279</v>
      </c>
      <c r="U2186">
        <v>0</v>
      </c>
      <c r="V2186">
        <v>0.20518082342504609</v>
      </c>
      <c r="W2186">
        <v>0.23515193771485279</v>
      </c>
      <c r="X2186">
        <v>5.4838060147777694E-2</v>
      </c>
      <c r="Y2186">
        <v>1.0535582632990233E-2</v>
      </c>
    </row>
    <row r="2187" spans="1:25" x14ac:dyDescent="0.25">
      <c r="A2187" s="1083"/>
      <c r="B2187" s="1455">
        <v>1937</v>
      </c>
      <c r="C2187" s="1087">
        <v>1.0076826635930318</v>
      </c>
      <c r="D2187" s="1087">
        <v>1.0058441369570668</v>
      </c>
      <c r="E2187" s="1087">
        <v>0.99198483704977991</v>
      </c>
      <c r="F2187" s="1087">
        <v>0.95968647030167775</v>
      </c>
      <c r="G2187" s="1087">
        <v>1.0013751449840655</v>
      </c>
      <c r="H2187" s="1087">
        <v>1.0116459385141114</v>
      </c>
      <c r="I2187" s="1087">
        <v>1.0188549855679483</v>
      </c>
      <c r="K2187">
        <v>1.8215974758707771</v>
      </c>
      <c r="L2187">
        <v>0</v>
      </c>
      <c r="M2187">
        <v>3.699670537678904E-3</v>
      </c>
      <c r="N2187">
        <v>0.34280564235489447</v>
      </c>
      <c r="O2187">
        <v>0.232349802426082</v>
      </c>
      <c r="P2187">
        <v>1.2906162900037679E-2</v>
      </c>
      <c r="Q2187">
        <v>1.554607535899561E-3</v>
      </c>
      <c r="R2187">
        <v>3.6933804623195026E-3</v>
      </c>
      <c r="S2187">
        <v>0.3700522349957866</v>
      </c>
      <c r="T2187">
        <v>0.38641324686615197</v>
      </c>
      <c r="U2187">
        <v>0</v>
      </c>
      <c r="V2187">
        <v>0.19510996807219994</v>
      </c>
      <c r="W2187">
        <v>0.21945902155545982</v>
      </c>
      <c r="X2187">
        <v>5.0900915143732961E-2</v>
      </c>
      <c r="Y2187">
        <v>1.0052164095891497E-2</v>
      </c>
    </row>
    <row r="2188" spans="1:25" x14ac:dyDescent="0.25">
      <c r="A2188" s="1083"/>
      <c r="B2188" s="1455">
        <v>1938</v>
      </c>
      <c r="C2188" s="1087">
        <v>1.024008172175521</v>
      </c>
      <c r="D2188" s="1087">
        <v>0.97424231866376665</v>
      </c>
      <c r="E2188" s="1087">
        <v>0.98031533732651932</v>
      </c>
      <c r="F2188" s="1087">
        <v>1.0200346308462847</v>
      </c>
      <c r="G2188" s="1087">
        <v>1.0082943914018518</v>
      </c>
      <c r="H2188" s="1087">
        <v>0.99025995584175353</v>
      </c>
      <c r="I2188" s="1087">
        <v>0.96216816421605522</v>
      </c>
      <c r="K2188">
        <v>1.8193989241758348</v>
      </c>
      <c r="L2188">
        <v>0</v>
      </c>
      <c r="M2188">
        <v>3.713316243966027E-3</v>
      </c>
      <c r="N2188">
        <v>0.33201114925869724</v>
      </c>
      <c r="O2188">
        <v>0.24052804220923271</v>
      </c>
      <c r="P2188">
        <v>1.2866874062984264E-2</v>
      </c>
      <c r="Q2188">
        <v>1.5301971382203729E-3</v>
      </c>
      <c r="R2188">
        <v>3.7068957895360494E-3</v>
      </c>
      <c r="S2188">
        <v>0.3462183434271518</v>
      </c>
      <c r="T2188">
        <v>0.41064074250912869</v>
      </c>
      <c r="U2188">
        <v>0</v>
      </c>
      <c r="V2188">
        <v>0.20021829943810088</v>
      </c>
      <c r="W2188">
        <v>0.21412036510406884</v>
      </c>
      <c r="X2188">
        <v>5.1182383121431495E-2</v>
      </c>
      <c r="Y2188">
        <v>1.0088948361248519E-2</v>
      </c>
    </row>
    <row r="2189" spans="1:25" x14ac:dyDescent="0.25">
      <c r="A2189" s="1083"/>
      <c r="B2189" s="1455">
        <v>1939</v>
      </c>
      <c r="C2189" s="1087">
        <v>1.0046051911872969</v>
      </c>
      <c r="D2189" s="1087">
        <v>1.0080817545735234</v>
      </c>
      <c r="E2189" s="1087">
        <v>1.0034412837327791</v>
      </c>
      <c r="F2189" s="1087">
        <v>0.98840566606471614</v>
      </c>
      <c r="G2189" s="1087">
        <v>1.0040343930256883</v>
      </c>
      <c r="H2189" s="1087">
        <v>1.0139823309423572</v>
      </c>
      <c r="I2189" s="1087">
        <v>0.98241801092179393</v>
      </c>
      <c r="K2189">
        <v>1.8367500851166993</v>
      </c>
      <c r="L2189">
        <v>0</v>
      </c>
      <c r="M2189">
        <v>3.6293924186919868E-3</v>
      </c>
      <c r="N2189">
        <v>0.34826234386517768</v>
      </c>
      <c r="O2189">
        <v>0.23607533160377897</v>
      </c>
      <c r="P2189">
        <v>1.3049446948428233E-2</v>
      </c>
      <c r="Q2189">
        <v>1.577143242970296E-3</v>
      </c>
      <c r="R2189">
        <v>3.6232346361057617E-3</v>
      </c>
      <c r="S2189">
        <v>0.35802754304596934</v>
      </c>
      <c r="T2189">
        <v>0.39804539576230019</v>
      </c>
      <c r="U2189">
        <v>0</v>
      </c>
      <c r="V2189">
        <v>0.19787079770309712</v>
      </c>
      <c r="W2189">
        <v>0.22135933546730033</v>
      </c>
      <c r="X2189">
        <v>5.2627654979760165E-2</v>
      </c>
      <c r="Y2189">
        <v>9.8612502805030932E-3</v>
      </c>
    </row>
    <row r="2190" spans="1:25" x14ac:dyDescent="0.25">
      <c r="A2190" s="1083"/>
      <c r="B2190" s="1455">
        <v>1940</v>
      </c>
      <c r="C2190" s="1087">
        <v>0.98443671009920963</v>
      </c>
      <c r="D2190" s="1087">
        <v>1.0110088177515077</v>
      </c>
      <c r="E2190" s="1087">
        <v>1.0018065072962898</v>
      </c>
      <c r="F2190" s="1087">
        <v>0.98471109531196366</v>
      </c>
      <c r="G2190" s="1087">
        <v>0.95844762503544589</v>
      </c>
      <c r="H2190" s="1087">
        <v>1.041598688008718</v>
      </c>
      <c r="I2190" s="1087">
        <v>0.99528112662715473</v>
      </c>
      <c r="K2190">
        <v>1.8823018100527527</v>
      </c>
      <c r="L2190">
        <v>0</v>
      </c>
      <c r="M2190">
        <v>3.8114458021974618E-3</v>
      </c>
      <c r="N2190">
        <v>0.3639279545685381</v>
      </c>
      <c r="O2190">
        <v>0.23776319293042475</v>
      </c>
      <c r="P2190">
        <v>1.3262288641990746E-2</v>
      </c>
      <c r="Q2190">
        <v>1.60479504633469E-3</v>
      </c>
      <c r="R2190">
        <v>3.8051481138266677E-3</v>
      </c>
      <c r="S2190">
        <v>0.37457200148475972</v>
      </c>
      <c r="T2190">
        <v>0.39654776604795838</v>
      </c>
      <c r="U2190">
        <v>0</v>
      </c>
      <c r="V2190">
        <v>0.19956055324002486</v>
      </c>
      <c r="W2190">
        <v>0.23155249980016318</v>
      </c>
      <c r="X2190">
        <v>5.3160697181827449E-2</v>
      </c>
      <c r="Y2190">
        <v>1.0356358799097586E-2</v>
      </c>
    </row>
    <row r="2191" spans="1:25" x14ac:dyDescent="0.25">
      <c r="A2191" s="1083"/>
      <c r="B2191" s="1455">
        <v>1941</v>
      </c>
      <c r="C2191" s="1087">
        <v>1.0121311255293315</v>
      </c>
      <c r="D2191" s="1087">
        <v>1.0091919368319828</v>
      </c>
      <c r="E2191" s="1087">
        <v>1.0238760781685723</v>
      </c>
      <c r="F2191" s="1087">
        <v>0.96817121988199073</v>
      </c>
      <c r="G2191" s="1087">
        <v>0.98802372962763163</v>
      </c>
      <c r="H2191" s="1087">
        <v>1.0392692941954427</v>
      </c>
      <c r="I2191" s="1087">
        <v>1.0012402908302371</v>
      </c>
      <c r="K2191">
        <v>1.8518211129935545</v>
      </c>
      <c r="L2191">
        <v>0</v>
      </c>
      <c r="M2191">
        <v>3.5385442566009126E-3</v>
      </c>
      <c r="N2191">
        <v>0.3613857286345909</v>
      </c>
      <c r="O2191">
        <v>0.2329775510013174</v>
      </c>
      <c r="P2191">
        <v>1.3221974828890188E-2</v>
      </c>
      <c r="Q2191">
        <v>1.5989280007138239E-3</v>
      </c>
      <c r="R2191">
        <v>3.5326855764925913E-3</v>
      </c>
      <c r="S2191">
        <v>0.36669792435056153</v>
      </c>
      <c r="T2191">
        <v>0.3900177188044624</v>
      </c>
      <c r="U2191">
        <v>0</v>
      </c>
      <c r="V2191">
        <v>0.19540182710751772</v>
      </c>
      <c r="W2191">
        <v>0.22681601461615167</v>
      </c>
      <c r="X2191">
        <v>5.4094498739731794E-2</v>
      </c>
      <c r="Y2191">
        <v>9.6148055897255242E-3</v>
      </c>
    </row>
    <row r="2192" spans="1:25" x14ac:dyDescent="0.25">
      <c r="A2192" s="1083"/>
      <c r="B2192" s="1455">
        <v>1942</v>
      </c>
      <c r="C2192" s="1087">
        <v>0.98601461739106966</v>
      </c>
      <c r="D2192" s="1087">
        <v>0.98946534426954391</v>
      </c>
      <c r="E2192" s="1087">
        <v>0.99806970992397304</v>
      </c>
      <c r="F2192" s="1087">
        <v>0.99224136021094544</v>
      </c>
      <c r="G2192" s="1087">
        <v>1.0077027671495997</v>
      </c>
      <c r="H2192" s="1087">
        <v>0.98687736916191016</v>
      </c>
      <c r="I2192" s="1087">
        <v>1.000908360730894</v>
      </c>
      <c r="K2192">
        <v>1.857676639509126</v>
      </c>
      <c r="L2192">
        <v>0</v>
      </c>
      <c r="M2192">
        <v>3.6754449363733226E-3</v>
      </c>
      <c r="N2192">
        <v>0.34693287904930292</v>
      </c>
      <c r="O2192">
        <v>0.24053398943125279</v>
      </c>
      <c r="P2192">
        <v>1.3231376420715726E-2</v>
      </c>
      <c r="Q2192">
        <v>1.6096683946815404E-3</v>
      </c>
      <c r="R2192">
        <v>3.669054257988288E-3</v>
      </c>
      <c r="S2192">
        <v>0.37040992104524356</v>
      </c>
      <c r="T2192">
        <v>0.39955777373156481</v>
      </c>
      <c r="U2192">
        <v>0</v>
      </c>
      <c r="V2192">
        <v>0.20115233901167914</v>
      </c>
      <c r="W2192">
        <v>0.22125524320878917</v>
      </c>
      <c r="X2192">
        <v>5.3013883707446807E-2</v>
      </c>
      <c r="Y2192">
        <v>9.9859561868330358E-3</v>
      </c>
    </row>
    <row r="2193" spans="1:25" x14ac:dyDescent="0.25">
      <c r="A2193" s="1083"/>
      <c r="B2193" s="1455">
        <v>1943</v>
      </c>
      <c r="C2193" s="1087">
        <v>1.0435866775324483</v>
      </c>
      <c r="D2193" s="1087">
        <v>0.98379673736274853</v>
      </c>
      <c r="E2193" s="1087">
        <v>0.99291796933097987</v>
      </c>
      <c r="F2193" s="1087">
        <v>1.0287776661389325</v>
      </c>
      <c r="G2193" s="1087">
        <v>0.97814806546511157</v>
      </c>
      <c r="H2193" s="1087">
        <v>0.99265868468499074</v>
      </c>
      <c r="I2193" s="1087">
        <v>0.9643827095413372</v>
      </c>
      <c r="K2193">
        <v>1.8054499089948572</v>
      </c>
      <c r="L2193">
        <v>0</v>
      </c>
      <c r="M2193">
        <v>3.53986493567515E-3</v>
      </c>
      <c r="N2193">
        <v>0.32892507891843886</v>
      </c>
      <c r="O2193">
        <v>0.23838649358004751</v>
      </c>
      <c r="P2193">
        <v>1.2919057831132093E-2</v>
      </c>
      <c r="Q2193">
        <v>1.5160016461564583E-3</v>
      </c>
      <c r="R2193">
        <v>3.533748854277991E-3</v>
      </c>
      <c r="S2193">
        <v>0.33915040836534083</v>
      </c>
      <c r="T2193">
        <v>0.41423827750581294</v>
      </c>
      <c r="U2193">
        <v>0</v>
      </c>
      <c r="V2193">
        <v>0.19847743298308471</v>
      </c>
      <c r="W2193">
        <v>0.21044945701055628</v>
      </c>
      <c r="X2193">
        <v>5.1776117754334085E-2</v>
      </c>
      <c r="Y2193">
        <v>9.6176994813479497E-3</v>
      </c>
    </row>
    <row r="2194" spans="1:25" x14ac:dyDescent="0.25">
      <c r="A2194" s="1083"/>
      <c r="B2194" s="1455">
        <v>1944</v>
      </c>
      <c r="C2194" s="1087">
        <v>1.0134110100793927</v>
      </c>
      <c r="D2194" s="1087">
        <v>0.97951385829856508</v>
      </c>
      <c r="E2194" s="1087">
        <v>0.98813569203224294</v>
      </c>
      <c r="F2194" s="1087">
        <v>0.99971015656747853</v>
      </c>
      <c r="G2194" s="1087">
        <v>0.98310817702527387</v>
      </c>
      <c r="H2194" s="1087">
        <v>1.0193131045393784</v>
      </c>
      <c r="I2194" s="1087">
        <v>1.0237700553329858</v>
      </c>
      <c r="K2194">
        <v>1.8642643691498746</v>
      </c>
      <c r="L2194">
        <v>0</v>
      </c>
      <c r="M2194">
        <v>3.7901437737988247E-3</v>
      </c>
      <c r="N2194">
        <v>0.34709139338320566</v>
      </c>
      <c r="O2194">
        <v>0.23898308463081841</v>
      </c>
      <c r="P2194">
        <v>1.323229597220486E-2</v>
      </c>
      <c r="Q2194">
        <v>1.5558814618677498E-3</v>
      </c>
      <c r="R2194">
        <v>3.7837726485055578E-3</v>
      </c>
      <c r="S2194">
        <v>0.37660136029122637</v>
      </c>
      <c r="T2194">
        <v>0.40250544594840304</v>
      </c>
      <c r="U2194">
        <v>0</v>
      </c>
      <c r="V2194">
        <v>0.19934445195179404</v>
      </c>
      <c r="W2194">
        <v>0.22274176806898094</v>
      </c>
      <c r="X2194">
        <v>5.1916876737750563E-2</v>
      </c>
      <c r="Y2194">
        <v>1.0298181828913773E-2</v>
      </c>
    </row>
    <row r="2195" spans="1:25" x14ac:dyDescent="0.25">
      <c r="A2195" s="1083"/>
      <c r="B2195" s="1455">
        <v>1945</v>
      </c>
      <c r="C2195" s="1087">
        <v>1.0033512375954288</v>
      </c>
      <c r="D2195" s="1087">
        <v>0.96760167923932794</v>
      </c>
      <c r="E2195" s="1087">
        <v>1.0000957481839479</v>
      </c>
      <c r="F2195" s="1087">
        <v>0.97673166856445304</v>
      </c>
      <c r="G2195" s="1087">
        <v>0.99043864575560303</v>
      </c>
      <c r="H2195" s="1087">
        <v>0.97889792116169616</v>
      </c>
      <c r="I2195" s="1087">
        <v>1.0097124378368167</v>
      </c>
      <c r="K2195">
        <v>1.8401658095006754</v>
      </c>
      <c r="L2195">
        <v>0</v>
      </c>
      <c r="M2195">
        <v>3.6106910469488394E-3</v>
      </c>
      <c r="N2195">
        <v>0.34293145855668605</v>
      </c>
      <c r="O2195">
        <v>0.23876521806590598</v>
      </c>
      <c r="P2195">
        <v>1.3137038457726777E-2</v>
      </c>
      <c r="Q2195">
        <v>1.5995079810809353E-3</v>
      </c>
      <c r="R2195">
        <v>3.604380611735247E-3</v>
      </c>
      <c r="S2195">
        <v>0.37030892551243655</v>
      </c>
      <c r="T2195">
        <v>0.39332428212448939</v>
      </c>
      <c r="U2195">
        <v>0</v>
      </c>
      <c r="V2195">
        <v>0.19910586535267849</v>
      </c>
      <c r="W2195">
        <v>0.21842647568917689</v>
      </c>
      <c r="X2195">
        <v>5.2763412354311715E-2</v>
      </c>
      <c r="Y2195">
        <v>9.8099358413940175E-3</v>
      </c>
    </row>
    <row r="2196" spans="1:25" x14ac:dyDescent="0.25">
      <c r="A2196" s="1083"/>
      <c r="B2196" s="1455">
        <v>1946</v>
      </c>
      <c r="C2196" s="1087">
        <v>1.0312037264395346</v>
      </c>
      <c r="D2196" s="1087">
        <v>1.0174745298759995</v>
      </c>
      <c r="E2196" s="1087">
        <v>0.98476950717625666</v>
      </c>
      <c r="F2196" s="1087">
        <v>1.0439576061386178</v>
      </c>
      <c r="G2196" s="1087">
        <v>1.0189399029574933</v>
      </c>
      <c r="H2196" s="1087">
        <v>0.99033769255705317</v>
      </c>
      <c r="I2196" s="1087">
        <v>1.0135209139098023</v>
      </c>
      <c r="K2196">
        <v>1.8173207004725711</v>
      </c>
      <c r="L2196">
        <v>0</v>
      </c>
      <c r="M2196">
        <v>3.5666876086781697E-3</v>
      </c>
      <c r="N2196">
        <v>0.32326704673502155</v>
      </c>
      <c r="O2196">
        <v>0.23794468546520481</v>
      </c>
      <c r="P2196">
        <v>1.3123376054331328E-2</v>
      </c>
      <c r="Q2196">
        <v>1.5005266596977635E-3</v>
      </c>
      <c r="R2196">
        <v>3.5604784021433847E-3</v>
      </c>
      <c r="S2196">
        <v>0.35346364845521011</v>
      </c>
      <c r="T2196">
        <v>0.42029936285540193</v>
      </c>
      <c r="U2196">
        <v>0</v>
      </c>
      <c r="V2196">
        <v>0.19910732897155048</v>
      </c>
      <c r="W2196">
        <v>0.20789405125345209</v>
      </c>
      <c r="X2196">
        <v>5.1036434729988811E-2</v>
      </c>
      <c r="Y2196">
        <v>9.6904484992444678E-3</v>
      </c>
    </row>
    <row r="2197" spans="1:25" x14ac:dyDescent="0.25">
      <c r="A2197" s="1083"/>
      <c r="B2197" s="1455">
        <v>1947</v>
      </c>
      <c r="C2197" s="1087">
        <v>1.0134689177250129</v>
      </c>
      <c r="D2197" s="1087">
        <v>1.0070515726757285</v>
      </c>
      <c r="E2197" s="1087">
        <v>0.99730582906307075</v>
      </c>
      <c r="F2197" s="1087">
        <v>1.0036721307094281</v>
      </c>
      <c r="G2197" s="1087">
        <v>0.98789146418351415</v>
      </c>
      <c r="H2197" s="1087">
        <v>0.97454845471056561</v>
      </c>
      <c r="I2197" s="1087">
        <v>1.0372280307254012</v>
      </c>
      <c r="K2197">
        <v>1.8233825790395679</v>
      </c>
      <c r="L2197">
        <v>0</v>
      </c>
      <c r="M2197">
        <v>3.5031007844955192E-3</v>
      </c>
      <c r="N2197">
        <v>0.32988617251778907</v>
      </c>
      <c r="O2197">
        <v>0.23681453986361753</v>
      </c>
      <c r="P2197">
        <v>1.3207831085282437E-2</v>
      </c>
      <c r="Q2197">
        <v>1.5537994370266228E-3</v>
      </c>
      <c r="R2197">
        <v>3.4969172357266196E-3</v>
      </c>
      <c r="S2197">
        <v>0.3675311613016492</v>
      </c>
      <c r="T2197">
        <v>0.4041561018653228</v>
      </c>
      <c r="U2197">
        <v>0</v>
      </c>
      <c r="V2197">
        <v>0.19825919810350059</v>
      </c>
      <c r="W2197">
        <v>0.21048437805998915</v>
      </c>
      <c r="X2197">
        <v>5.1978124396966544E-2</v>
      </c>
      <c r="Y2197">
        <v>9.5174559571909127E-3</v>
      </c>
    </row>
    <row r="2198" spans="1:25" x14ac:dyDescent="0.25">
      <c r="A2198" s="1083"/>
      <c r="B2198" s="1455">
        <v>1948</v>
      </c>
      <c r="C2198" s="1087">
        <v>0.98055062183888475</v>
      </c>
      <c r="D2198" s="1087">
        <v>1.025750753150698</v>
      </c>
      <c r="E2198" s="1087">
        <v>0.98870239992840125</v>
      </c>
      <c r="F2198" s="1087">
        <v>1.0123393830539245</v>
      </c>
      <c r="G2198" s="1087">
        <v>0.98117016984827243</v>
      </c>
      <c r="H2198" s="1087">
        <v>0.9782205516205289</v>
      </c>
      <c r="I2198" s="1087">
        <v>0.96388562090443874</v>
      </c>
      <c r="K2198">
        <v>1.8268510973363994</v>
      </c>
      <c r="L2198">
        <v>0</v>
      </c>
      <c r="M2198">
        <v>3.6626527304713693E-3</v>
      </c>
      <c r="N2198">
        <v>0.33596960241073792</v>
      </c>
      <c r="O2198">
        <v>0.239873481956657</v>
      </c>
      <c r="P2198">
        <v>1.2976403358915501E-2</v>
      </c>
      <c r="Q2198">
        <v>1.5795865825757882E-3</v>
      </c>
      <c r="R2198">
        <v>3.6561959396415049E-3</v>
      </c>
      <c r="S2198">
        <v>0.35000963863261392</v>
      </c>
      <c r="T2198">
        <v>0.40759369951230268</v>
      </c>
      <c r="U2198">
        <v>0</v>
      </c>
      <c r="V2198">
        <v>0.20151984729522418</v>
      </c>
      <c r="W2198">
        <v>0.21552749224986306</v>
      </c>
      <c r="X2198">
        <v>5.1856842045302318E-2</v>
      </c>
      <c r="Y2198">
        <v>9.9509600830365967E-3</v>
      </c>
    </row>
    <row r="2199" spans="1:25" x14ac:dyDescent="0.25">
      <c r="A2199" s="1083"/>
      <c r="B2199" s="1455">
        <v>1949</v>
      </c>
      <c r="C2199" s="1087">
        <v>1.0248550343460998</v>
      </c>
      <c r="D2199" s="1087">
        <v>1.0213033664076849</v>
      </c>
      <c r="E2199" s="1087">
        <v>0.95630567224897445</v>
      </c>
      <c r="F2199" s="1087">
        <v>0.97360277999123523</v>
      </c>
      <c r="G2199" s="1087">
        <v>0.96821453228879795</v>
      </c>
      <c r="H2199" s="1087">
        <v>0.99356883138931662</v>
      </c>
      <c r="I2199" s="1087">
        <v>1.0145280673794022</v>
      </c>
      <c r="K2199">
        <v>1.7663270937177644</v>
      </c>
      <c r="L2199">
        <v>0</v>
      </c>
      <c r="M2199">
        <v>3.8104971198637777E-3</v>
      </c>
      <c r="N2199">
        <v>0.31657403354208813</v>
      </c>
      <c r="O2199">
        <v>0.23004703988694963</v>
      </c>
      <c r="P2199">
        <v>1.2420118476552935E-2</v>
      </c>
      <c r="Q2199">
        <v>1.4618331536052484E-3</v>
      </c>
      <c r="R2199">
        <v>3.8038866412093376E-3</v>
      </c>
      <c r="S2199">
        <v>0.35566066820156578</v>
      </c>
      <c r="T2199">
        <v>0.3918100430935561</v>
      </c>
      <c r="U2199">
        <v>0</v>
      </c>
      <c r="V2199">
        <v>0.19354846347095586</v>
      </c>
      <c r="W2199">
        <v>0.20732595155979963</v>
      </c>
      <c r="X2199">
        <v>4.7132627324867588E-2</v>
      </c>
      <c r="Y2199">
        <v>1.035292548647755E-2</v>
      </c>
    </row>
    <row r="2200" spans="1:25" x14ac:dyDescent="0.25">
      <c r="A2200" s="1083"/>
      <c r="B2200" s="1455">
        <v>1950</v>
      </c>
      <c r="C2200" s="1087">
        <v>1.0273182637206584</v>
      </c>
      <c r="D2200" s="1087">
        <v>0.98521226425217612</v>
      </c>
      <c r="E2200" s="1087">
        <v>1.0007722453916377</v>
      </c>
      <c r="F2200" s="1087">
        <v>0.98290335615223889</v>
      </c>
      <c r="G2200" s="1087">
        <v>1.0100311552573478</v>
      </c>
      <c r="H2200" s="1087">
        <v>0.98492849780535996</v>
      </c>
      <c r="I2200" s="1087">
        <v>1.024199170715852</v>
      </c>
      <c r="K2200">
        <v>1.8140816259193653</v>
      </c>
      <c r="L2200">
        <v>0</v>
      </c>
      <c r="M2200">
        <v>3.5094303628921139E-3</v>
      </c>
      <c r="N2200">
        <v>0.33400505181209827</v>
      </c>
      <c r="O2200">
        <v>0.23496808896453367</v>
      </c>
      <c r="P2200">
        <v>1.3056672677440097E-2</v>
      </c>
      <c r="Q2200">
        <v>1.5520800246210957E-3</v>
      </c>
      <c r="R2200">
        <v>3.5033199156526431E-3</v>
      </c>
      <c r="S2200">
        <v>0.36433476878830279</v>
      </c>
      <c r="T2200">
        <v>0.39581361575573326</v>
      </c>
      <c r="U2200">
        <v>0</v>
      </c>
      <c r="V2200">
        <v>0.19622014132861756</v>
      </c>
      <c r="W2200">
        <v>0.21265102240335687</v>
      </c>
      <c r="X2200">
        <v>5.1951412670592806E-2</v>
      </c>
      <c r="Y2200">
        <v>9.5348819413066804E-3</v>
      </c>
    </row>
    <row r="2201" spans="1:25" x14ac:dyDescent="0.25">
      <c r="A2201" s="1083"/>
      <c r="B2201" s="1455">
        <v>1951</v>
      </c>
      <c r="C2201" s="1087">
        <v>0.98759771029735788</v>
      </c>
      <c r="D2201" s="1087">
        <v>0.98773793105077035</v>
      </c>
      <c r="E2201" s="1087">
        <v>0.98673275832974405</v>
      </c>
      <c r="F2201" s="1087">
        <v>0.9960926382213231</v>
      </c>
      <c r="G2201" s="1087">
        <v>0.99523016484895144</v>
      </c>
      <c r="H2201" s="1087">
        <v>0.99301395849512286</v>
      </c>
      <c r="I2201" s="1087">
        <v>1.0164389838948529</v>
      </c>
      <c r="K2201">
        <v>1.8637444651818247</v>
      </c>
      <c r="L2201">
        <v>0</v>
      </c>
      <c r="M2201">
        <v>3.782535122760972E-3</v>
      </c>
      <c r="N2201">
        <v>0.34489730926932677</v>
      </c>
      <c r="O2201">
        <v>0.24081312972251695</v>
      </c>
      <c r="P2201">
        <v>1.323007454100599E-2</v>
      </c>
      <c r="Q2201">
        <v>1.5888251734443963E-3</v>
      </c>
      <c r="R2201">
        <v>3.7760006120307276E-3</v>
      </c>
      <c r="S2201">
        <v>0.37694133742396108</v>
      </c>
      <c r="T2201">
        <v>0.40104056178366693</v>
      </c>
      <c r="U2201">
        <v>0</v>
      </c>
      <c r="V2201">
        <v>0.20133995106786193</v>
      </c>
      <c r="W2201">
        <v>0.22152969046644605</v>
      </c>
      <c r="X2201">
        <v>5.2093091336643541E-2</v>
      </c>
      <c r="Y2201">
        <v>1.0277028907680421E-2</v>
      </c>
    </row>
    <row r="2202" spans="1:25" x14ac:dyDescent="0.25">
      <c r="A2202" s="1083"/>
      <c r="B2202" s="1455">
        <v>1952</v>
      </c>
      <c r="C2202" s="1087">
        <v>0.97020232779881566</v>
      </c>
      <c r="D2202" s="1087">
        <v>1.0326304549143648</v>
      </c>
      <c r="E2202" s="1087">
        <v>1.0136605821970897</v>
      </c>
      <c r="F2202" s="1087">
        <v>0.99921077516465751</v>
      </c>
      <c r="G2202" s="1087">
        <v>1.0014400081405981</v>
      </c>
      <c r="H2202" s="1087">
        <v>1.0090438663470944</v>
      </c>
      <c r="I2202" s="1087">
        <v>0.97474680950094394</v>
      </c>
      <c r="K2202">
        <v>1.8683985762958122</v>
      </c>
      <c r="L2202">
        <v>0</v>
      </c>
      <c r="M2202">
        <v>3.6154126772181493E-3</v>
      </c>
      <c r="N2202">
        <v>0.35789856742789844</v>
      </c>
      <c r="O2202">
        <v>0.23932473749217831</v>
      </c>
      <c r="P2202">
        <v>1.331506040409774E-2</v>
      </c>
      <c r="Q2202">
        <v>1.6350572809551748E-3</v>
      </c>
      <c r="R2202">
        <v>3.6092284243866178E-3</v>
      </c>
      <c r="S2202">
        <v>0.36222520991838081</v>
      </c>
      <c r="T2202">
        <v>0.40245901666523753</v>
      </c>
      <c r="U2202">
        <v>0</v>
      </c>
      <c r="V2202">
        <v>0.20134542453209686</v>
      </c>
      <c r="W2202">
        <v>0.22604554824126316</v>
      </c>
      <c r="X2202">
        <v>5.4333008597186767E-2</v>
      </c>
      <c r="Y2202">
        <v>9.8231299893500375E-3</v>
      </c>
    </row>
    <row r="2203" spans="1:25" x14ac:dyDescent="0.25">
      <c r="A2203" s="1083"/>
      <c r="B2203" s="1455">
        <v>1953</v>
      </c>
      <c r="C2203" s="1087">
        <v>0.99942129098579435</v>
      </c>
      <c r="D2203" s="1087">
        <v>1.0252126421352439</v>
      </c>
      <c r="E2203" s="1087">
        <v>1.0295046615759769</v>
      </c>
      <c r="F2203" s="1087">
        <v>0.99783808795665019</v>
      </c>
      <c r="G2203" s="1087">
        <v>1.0074256371792154</v>
      </c>
      <c r="H2203" s="1087">
        <v>0.96030551159416977</v>
      </c>
      <c r="I2203" s="1087">
        <v>1.0362153373426228</v>
      </c>
      <c r="K2203">
        <v>1.8300562441368065</v>
      </c>
      <c r="L2203">
        <v>0</v>
      </c>
      <c r="M2203">
        <v>3.245527161654411E-3</v>
      </c>
      <c r="N2203">
        <v>0.33714438023229054</v>
      </c>
      <c r="O2203">
        <v>0.23650585360444448</v>
      </c>
      <c r="P2203">
        <v>1.3482531251351782E-2</v>
      </c>
      <c r="Q2203">
        <v>1.6186398078522331E-3</v>
      </c>
      <c r="R2203">
        <v>3.2396990064948918E-3</v>
      </c>
      <c r="S2203">
        <v>0.36641038405381526</v>
      </c>
      <c r="T2203">
        <v>0.40200337482411636</v>
      </c>
      <c r="U2203">
        <v>0</v>
      </c>
      <c r="V2203">
        <v>0.19849773185292763</v>
      </c>
      <c r="W2203">
        <v>0.21087327750098453</v>
      </c>
      <c r="X2203">
        <v>5.4708506434994905E-2</v>
      </c>
      <c r="Y2203">
        <v>8.8173927291886264E-3</v>
      </c>
    </row>
    <row r="2204" spans="1:25" x14ac:dyDescent="0.25">
      <c r="A2204" s="1083"/>
      <c r="B2204" s="1455">
        <v>1954</v>
      </c>
      <c r="C2204" s="1087">
        <v>0.98466526715561886</v>
      </c>
      <c r="D2204" s="1087">
        <v>0.95642174717443207</v>
      </c>
      <c r="E2204" s="1087">
        <v>0.95324756270046107</v>
      </c>
      <c r="F2204" s="1087">
        <v>0.9904855893365957</v>
      </c>
      <c r="G2204" s="1087">
        <v>0.95387824760849338</v>
      </c>
      <c r="H2204" s="1087">
        <v>1.0165422013596783</v>
      </c>
      <c r="I2204" s="1087">
        <v>0.95504317608764899</v>
      </c>
      <c r="K2204">
        <v>1.8617919036949193</v>
      </c>
      <c r="L2204">
        <v>0</v>
      </c>
      <c r="M2204">
        <v>4.2295699943901604E-3</v>
      </c>
      <c r="N2204">
        <v>0.34813453677345457</v>
      </c>
      <c r="O2204">
        <v>0.24316454145233596</v>
      </c>
      <c r="P2204">
        <v>1.2728915775716257E-2</v>
      </c>
      <c r="Q2204">
        <v>1.556771472390168E-3</v>
      </c>
      <c r="R2204">
        <v>4.2224626758262038E-3</v>
      </c>
      <c r="S2204">
        <v>0.36545374398040587</v>
      </c>
      <c r="T2204">
        <v>0.39858649828516368</v>
      </c>
      <c r="U2204">
        <v>0</v>
      </c>
      <c r="V2204">
        <v>0.20266802250832155</v>
      </c>
      <c r="W2204">
        <v>0.22844633552626609</v>
      </c>
      <c r="X2204">
        <v>4.9567493770277221E-2</v>
      </c>
      <c r="Y2204">
        <v>1.149215146915193E-2</v>
      </c>
    </row>
    <row r="2205" spans="1:25" x14ac:dyDescent="0.25">
      <c r="A2205" s="1083"/>
      <c r="B2205" s="1455">
        <v>1955</v>
      </c>
      <c r="C2205" s="1087">
        <v>0.99111236628408594</v>
      </c>
      <c r="D2205" s="1087">
        <v>0.96942385079580529</v>
      </c>
      <c r="E2205" s="1087">
        <v>0.96118124534033444</v>
      </c>
      <c r="F2205" s="1087">
        <v>1.0164797656723144</v>
      </c>
      <c r="G2205" s="1087">
        <v>1.01461802086248</v>
      </c>
      <c r="H2205" s="1087">
        <v>1.0236417451757276</v>
      </c>
      <c r="I2205" s="1087">
        <v>1.0229977345658825</v>
      </c>
      <c r="K2205">
        <v>1.8975073397181879</v>
      </c>
      <c r="L2205">
        <v>0</v>
      </c>
      <c r="M2205">
        <v>4.1347911538179129E-3</v>
      </c>
      <c r="N2205">
        <v>0.34870333306488993</v>
      </c>
      <c r="O2205">
        <v>0.2443232011240582</v>
      </c>
      <c r="P2205">
        <v>1.3250909931044039E-2</v>
      </c>
      <c r="Q2205">
        <v>1.5516685988130228E-3</v>
      </c>
      <c r="R2205">
        <v>4.1278803859751282E-3</v>
      </c>
      <c r="S2205">
        <v>0.38750737669326712</v>
      </c>
      <c r="T2205">
        <v>0.40909428995930508</v>
      </c>
      <c r="U2205">
        <v>0</v>
      </c>
      <c r="V2205">
        <v>0.20357960931544405</v>
      </c>
      <c r="W2205">
        <v>0.22765099256925284</v>
      </c>
      <c r="X2205">
        <v>5.061813957473358E-2</v>
      </c>
      <c r="Y2205">
        <v>1.1234729655220774E-2</v>
      </c>
    </row>
    <row r="2206" spans="1:25" x14ac:dyDescent="0.25">
      <c r="A2206" s="1083"/>
      <c r="B2206" s="1455">
        <v>1956</v>
      </c>
      <c r="C2206" s="1087">
        <v>1.0228376510126256</v>
      </c>
      <c r="D2206" s="1087">
        <v>0.98210827262713207</v>
      </c>
      <c r="E2206" s="1087">
        <v>0.99243943266366808</v>
      </c>
      <c r="F2206" s="1087">
        <v>1.0325528563446258</v>
      </c>
      <c r="G2206" s="1087">
        <v>0.97940185259881385</v>
      </c>
      <c r="H2206" s="1087">
        <v>0.97404646340674739</v>
      </c>
      <c r="I2206" s="1087">
        <v>1.0240456996896818</v>
      </c>
      <c r="K2206">
        <v>1.8399901446982121</v>
      </c>
      <c r="L2206">
        <v>0</v>
      </c>
      <c r="M2206">
        <v>3.5514775885500385E-3</v>
      </c>
      <c r="N2206">
        <v>0.32951167017661925</v>
      </c>
      <c r="O2206">
        <v>0.24146232520945984</v>
      </c>
      <c r="P2206">
        <v>1.3312426415017354E-2</v>
      </c>
      <c r="Q2206">
        <v>1.5470259605325594E-3</v>
      </c>
      <c r="R2206">
        <v>3.5452270403930151E-3</v>
      </c>
      <c r="S2206">
        <v>0.36440996439923778</v>
      </c>
      <c r="T2206">
        <v>0.41575538305944026</v>
      </c>
      <c r="U2206">
        <v>0</v>
      </c>
      <c r="V2206">
        <v>0.20103338025254683</v>
      </c>
      <c r="W2206">
        <v>0.21088815843658637</v>
      </c>
      <c r="X2206">
        <v>5.2427122016756152E-2</v>
      </c>
      <c r="Y2206">
        <v>9.648939320170009E-3</v>
      </c>
    </row>
    <row r="2207" spans="1:25" x14ac:dyDescent="0.25">
      <c r="A2207" s="1083"/>
      <c r="B2207" s="1455">
        <v>1957</v>
      </c>
      <c r="C2207" s="1087">
        <v>0.96865418985926355</v>
      </c>
      <c r="D2207" s="1087">
        <v>1.0178135226940315</v>
      </c>
      <c r="E2207" s="1087">
        <v>0.99045336883469071</v>
      </c>
      <c r="F2207" s="1087">
        <v>1.0140710880890438</v>
      </c>
      <c r="G2207" s="1087">
        <v>1.0036458515768283</v>
      </c>
      <c r="H2207" s="1087">
        <v>0.97818301712724687</v>
      </c>
      <c r="I2207" s="1087">
        <v>0.99942148982526779</v>
      </c>
      <c r="K2207">
        <v>1.8620772338133815</v>
      </c>
      <c r="L2207">
        <v>0</v>
      </c>
      <c r="M2207">
        <v>3.7099905487795533E-3</v>
      </c>
      <c r="N2207">
        <v>0.34213718243985669</v>
      </c>
      <c r="O2207">
        <v>0.24238087832314675</v>
      </c>
      <c r="P2207">
        <v>1.3285884481548427E-2</v>
      </c>
      <c r="Q2207">
        <v>1.6069739308680879E-3</v>
      </c>
      <c r="R2207">
        <v>3.7034575213176157E-3</v>
      </c>
      <c r="S2207">
        <v>0.36897282042799168</v>
      </c>
      <c r="T2207">
        <v>0.40830160668049209</v>
      </c>
      <c r="U2207">
        <v>0</v>
      </c>
      <c r="V2207">
        <v>0.20342831322816987</v>
      </c>
      <c r="W2207">
        <v>0.21924216553068079</v>
      </c>
      <c r="X2207">
        <v>5.2648351269505546E-2</v>
      </c>
      <c r="Y2207">
        <v>1.007959052858276E-2</v>
      </c>
    </row>
    <row r="2208" spans="1:25" x14ac:dyDescent="0.25">
      <c r="A2208" s="1083"/>
      <c r="B2208" s="1455">
        <v>1958</v>
      </c>
      <c r="C2208" s="1087">
        <v>0.99007952265523402</v>
      </c>
      <c r="D2208" s="1087">
        <v>0.98806729413783356</v>
      </c>
      <c r="E2208" s="1087">
        <v>0.99696724179337992</v>
      </c>
      <c r="F2208" s="1087">
        <v>0.99512297662868898</v>
      </c>
      <c r="G2208" s="1087">
        <v>0.98829917951616386</v>
      </c>
      <c r="H2208" s="1087">
        <v>0.97577532937720934</v>
      </c>
      <c r="I2208" s="1087">
        <v>0.99252791652166872</v>
      </c>
      <c r="K2208">
        <v>1.8431462691893488</v>
      </c>
      <c r="L2208">
        <v>0</v>
      </c>
      <c r="M2208">
        <v>3.6301946370676844E-3</v>
      </c>
      <c r="N2208">
        <v>0.3415038541153001</v>
      </c>
      <c r="O2208">
        <v>0.24051097538450267</v>
      </c>
      <c r="P2208">
        <v>1.3147899052844289E-2</v>
      </c>
      <c r="Q2208">
        <v>1.6020809963746866E-3</v>
      </c>
      <c r="R2208">
        <v>3.623812224489713E-3</v>
      </c>
      <c r="S2208">
        <v>0.36404691651698817</v>
      </c>
      <c r="T2208">
        <v>0.40071151318701453</v>
      </c>
      <c r="U2208">
        <v>0</v>
      </c>
      <c r="V2208">
        <v>0.20103073547949182</v>
      </c>
      <c r="W2208">
        <v>0.21794325957792796</v>
      </c>
      <c r="X2208">
        <v>5.2792595005799685E-2</v>
      </c>
      <c r="Y2208">
        <v>9.8628222856822489E-3</v>
      </c>
    </row>
    <row r="2209" spans="1:25" x14ac:dyDescent="0.25">
      <c r="A2209" s="1083"/>
      <c r="B2209" s="1455">
        <v>1959</v>
      </c>
      <c r="C2209" s="1087">
        <v>1.0024140968102953</v>
      </c>
      <c r="D2209" s="1087">
        <v>0.98795464244846265</v>
      </c>
      <c r="E2209" s="1087">
        <v>0.98179906160291996</v>
      </c>
      <c r="F2209" s="1087">
        <v>0.98755914168254066</v>
      </c>
      <c r="G2209" s="1087">
        <v>1.0297274109711987</v>
      </c>
      <c r="H2209" s="1087">
        <v>1.0051371643741183</v>
      </c>
      <c r="I2209" s="1087">
        <v>0.98612808412547925</v>
      </c>
      <c r="K2209">
        <v>1.8353200047289007</v>
      </c>
      <c r="L2209">
        <v>0</v>
      </c>
      <c r="M2209">
        <v>3.8097976513747269E-3</v>
      </c>
      <c r="N2209">
        <v>0.34219327674358585</v>
      </c>
      <c r="O2209">
        <v>0.23790731373431306</v>
      </c>
      <c r="P2209">
        <v>1.2906030817735836E-2</v>
      </c>
      <c r="Q2209">
        <v>1.5569298274229857E-3</v>
      </c>
      <c r="R2209">
        <v>3.8032951584611135E-3</v>
      </c>
      <c r="S2209">
        <v>0.36237031672730657</v>
      </c>
      <c r="T2209">
        <v>0.39757567022714552</v>
      </c>
      <c r="U2209">
        <v>0</v>
      </c>
      <c r="V2209">
        <v>0.19896102621116371</v>
      </c>
      <c r="W2209">
        <v>0.22047957843702037</v>
      </c>
      <c r="X2209">
        <v>5.1025048830699693E-2</v>
      </c>
      <c r="Y2209">
        <v>1.0351315665419115E-2</v>
      </c>
    </row>
    <row r="2210" spans="1:25" x14ac:dyDescent="0.25">
      <c r="A2210" s="1083"/>
      <c r="B2210" s="1455">
        <v>1960</v>
      </c>
      <c r="C2210" s="1087">
        <v>1.0073113381157976</v>
      </c>
      <c r="D2210" s="1087">
        <v>0.98940614324820786</v>
      </c>
      <c r="E2210" s="1087">
        <v>1.0003066575731596</v>
      </c>
      <c r="F2210" s="1087">
        <v>0.98333799352132545</v>
      </c>
      <c r="G2210" s="1087">
        <v>1.0070955317886028</v>
      </c>
      <c r="H2210" s="1087">
        <v>1.0200591517748283</v>
      </c>
      <c r="I2210" s="1087">
        <v>1.0081064774959234</v>
      </c>
      <c r="K2210">
        <v>1.8556638243389434</v>
      </c>
      <c r="L2210">
        <v>0</v>
      </c>
      <c r="M2210">
        <v>3.7018549804032708E-3</v>
      </c>
      <c r="N2210">
        <v>0.35183936696835083</v>
      </c>
      <c r="O2210">
        <v>0.23693884747329735</v>
      </c>
      <c r="P2210">
        <v>1.3175089468327012E-2</v>
      </c>
      <c r="Q2210">
        <v>1.5794361624548833E-3</v>
      </c>
      <c r="R2210">
        <v>3.6956278205443121E-3</v>
      </c>
      <c r="S2210">
        <v>0.37128251103802423</v>
      </c>
      <c r="T2210">
        <v>0.3959858683960924</v>
      </c>
      <c r="U2210">
        <v>0</v>
      </c>
      <c r="V2210">
        <v>0.1981078562426157</v>
      </c>
      <c r="W2210">
        <v>0.22407074567516105</v>
      </c>
      <c r="X2210">
        <v>5.2632049410339256E-2</v>
      </c>
      <c r="Y2210">
        <v>1.005828066413799E-2</v>
      </c>
    </row>
    <row r="2211" spans="1:25" x14ac:dyDescent="0.25">
      <c r="A2211" s="1083"/>
      <c r="B2211" s="1455">
        <v>1961</v>
      </c>
      <c r="C2211" s="1087">
        <v>0.97920764581489939</v>
      </c>
      <c r="D2211" s="1087">
        <v>1.0324559885517757</v>
      </c>
      <c r="E2211" s="1087">
        <v>0.99894394307023637</v>
      </c>
      <c r="F2211" s="1087">
        <v>0.9854031253591079</v>
      </c>
      <c r="G2211" s="1087">
        <v>0.98403712952073996</v>
      </c>
      <c r="H2211" s="1087">
        <v>1.00408965999809</v>
      </c>
      <c r="I2211" s="1087">
        <v>1.011204701872322</v>
      </c>
      <c r="K2211">
        <v>1.8499911168493131</v>
      </c>
      <c r="L2211">
        <v>0</v>
      </c>
      <c r="M2211">
        <v>3.6738489136822071E-3</v>
      </c>
      <c r="N2211">
        <v>0.34771562862857919</v>
      </c>
      <c r="O2211">
        <v>0.23638134367539906</v>
      </c>
      <c r="P2211">
        <v>1.3185838377477095E-2</v>
      </c>
      <c r="Q2211">
        <v>1.5950028926775145E-3</v>
      </c>
      <c r="R2211">
        <v>3.6675336617638999E-3</v>
      </c>
      <c r="S2211">
        <v>0.37126253387646185</v>
      </c>
      <c r="T2211">
        <v>0.39680935364136727</v>
      </c>
      <c r="U2211">
        <v>0</v>
      </c>
      <c r="V2211">
        <v>0.19907426478264792</v>
      </c>
      <c r="W2211">
        <v>0.22163320477363943</v>
      </c>
      <c r="X2211">
        <v>5.2358443827805926E-2</v>
      </c>
      <c r="Y2211">
        <v>9.9818176251746625E-3</v>
      </c>
    </row>
    <row r="2212" spans="1:25" x14ac:dyDescent="0.25">
      <c r="A2212" s="1083"/>
      <c r="B2212" s="1455">
        <v>1962</v>
      </c>
      <c r="C2212" s="1087">
        <v>1.0336541234144871</v>
      </c>
      <c r="D2212" s="1087">
        <v>0.99447171890711206</v>
      </c>
      <c r="E2212" s="1087">
        <v>0.98291081134548852</v>
      </c>
      <c r="F2212" s="1087">
        <v>0.98290599215133823</v>
      </c>
      <c r="G2212" s="1087">
        <v>1.0149059940427831</v>
      </c>
      <c r="H2212" s="1087">
        <v>0.9936448964610799</v>
      </c>
      <c r="I2212" s="1087">
        <v>1.0053075042472994</v>
      </c>
      <c r="K2212">
        <v>1.7907114466438914</v>
      </c>
      <c r="L2212">
        <v>0</v>
      </c>
      <c r="M2212">
        <v>3.6310357574152272E-3</v>
      </c>
      <c r="N2212">
        <v>0.32723979256905672</v>
      </c>
      <c r="O2212">
        <v>0.23307422294924562</v>
      </c>
      <c r="P2212">
        <v>1.2737823737134531E-2</v>
      </c>
      <c r="Q2212">
        <v>1.5077106579634155E-3</v>
      </c>
      <c r="R2212">
        <v>3.6247605980475172E-3</v>
      </c>
      <c r="S2212">
        <v>0.35492137918152888</v>
      </c>
      <c r="T2212">
        <v>0.39570892309950301</v>
      </c>
      <c r="U2212">
        <v>0</v>
      </c>
      <c r="V2212">
        <v>0.19498337734417348</v>
      </c>
      <c r="W2212">
        <v>0.21069648273024005</v>
      </c>
      <c r="X2212">
        <v>4.998260608853701E-2</v>
      </c>
      <c r="Y2212">
        <v>9.8654034458753297E-3</v>
      </c>
    </row>
    <row r="2213" spans="1:25" x14ac:dyDescent="0.25">
      <c r="A2213" s="1083"/>
      <c r="B2213" s="1455">
        <v>1963</v>
      </c>
      <c r="C2213" s="1087">
        <v>1.0042555646982827</v>
      </c>
      <c r="D2213" s="1087">
        <v>0.98877959774209268</v>
      </c>
      <c r="E2213" s="1087">
        <v>0.99719156336139736</v>
      </c>
      <c r="F2213" s="1087">
        <v>0.99800908132479971</v>
      </c>
      <c r="G2213" s="1087">
        <v>1.0124525166216933</v>
      </c>
      <c r="H2213" s="1087">
        <v>1.0031802243196808</v>
      </c>
      <c r="I2213" s="1087">
        <v>0.97949538374095335</v>
      </c>
      <c r="K2213">
        <v>1.843817342198103</v>
      </c>
      <c r="L2213">
        <v>0</v>
      </c>
      <c r="M2213">
        <v>3.6764267636034231E-3</v>
      </c>
      <c r="N2213">
        <v>0.34610654935292595</v>
      </c>
      <c r="O2213">
        <v>0.23907500926720435</v>
      </c>
      <c r="P2213">
        <v>1.3078542488346039E-2</v>
      </c>
      <c r="Q2213">
        <v>1.5793888885723701E-3</v>
      </c>
      <c r="R2213">
        <v>3.6701391429887487E-3</v>
      </c>
      <c r="S2213">
        <v>0.35893778935181003</v>
      </c>
      <c r="T2213">
        <v>0.4018750301393989</v>
      </c>
      <c r="U2213">
        <v>0</v>
      </c>
      <c r="V2213">
        <v>0.19972146104313446</v>
      </c>
      <c r="W2213">
        <v>0.22084961420651536</v>
      </c>
      <c r="X2213">
        <v>5.261133619463431E-2</v>
      </c>
      <c r="Y2213">
        <v>9.9889088861720415E-3</v>
      </c>
    </row>
    <row r="2214" spans="1:25" x14ac:dyDescent="0.25">
      <c r="A2214" s="1083"/>
      <c r="B2214" s="1455">
        <v>1964</v>
      </c>
      <c r="C2214" s="1087">
        <v>0.97817267844066558</v>
      </c>
      <c r="D2214" s="1087">
        <v>0.98921275437999279</v>
      </c>
      <c r="E2214" s="1087">
        <v>0.99902840217148781</v>
      </c>
      <c r="F2214" s="1087">
        <v>1.0202658639003903</v>
      </c>
      <c r="G2214" s="1087">
        <v>0.98885584081002287</v>
      </c>
      <c r="H2214" s="1087">
        <v>1.0028885510961469</v>
      </c>
      <c r="I2214" s="1087">
        <v>0.96173613566711857</v>
      </c>
      <c r="K2214">
        <v>1.8837935175121041</v>
      </c>
      <c r="L2214">
        <v>0</v>
      </c>
      <c r="M2214">
        <v>3.7585660154121621E-3</v>
      </c>
      <c r="N2214">
        <v>0.35582841505862051</v>
      </c>
      <c r="O2214">
        <v>0.24491857149133173</v>
      </c>
      <c r="P2214">
        <v>1.3321720944879016E-2</v>
      </c>
      <c r="Q2214">
        <v>1.6243985183957746E-3</v>
      </c>
      <c r="R2214">
        <v>3.7521360643935518E-3</v>
      </c>
      <c r="S2214">
        <v>0.36171961754712845</v>
      </c>
      <c r="T2214">
        <v>0.41084865849189955</v>
      </c>
      <c r="U2214">
        <v>0</v>
      </c>
      <c r="V2214">
        <v>0.20448534210160949</v>
      </c>
      <c r="W2214">
        <v>0.22679229993124547</v>
      </c>
      <c r="X2214">
        <v>5.4048845902052854E-2</v>
      </c>
      <c r="Y2214">
        <v>1.0212077475958044E-2</v>
      </c>
    </row>
    <row r="2215" spans="1:25" x14ac:dyDescent="0.25">
      <c r="A2215" s="1083"/>
      <c r="B2215" s="1455">
        <v>1965</v>
      </c>
      <c r="C2215" s="1087">
        <v>1.0017067470076431</v>
      </c>
      <c r="D2215" s="1087">
        <v>1.0061654741634765</v>
      </c>
      <c r="E2215" s="1087">
        <v>1.0028656901200022</v>
      </c>
      <c r="F2215" s="1087">
        <v>0.99416541648783074</v>
      </c>
      <c r="G2215" s="1087">
        <v>0.99077716338735378</v>
      </c>
      <c r="H2215" s="1087">
        <v>1.0014766846726992</v>
      </c>
      <c r="I2215" s="1087">
        <v>0.9878811005724244</v>
      </c>
      <c r="K2215">
        <v>1.8373894035287879</v>
      </c>
      <c r="L2215">
        <v>0</v>
      </c>
      <c r="M2215">
        <v>3.602973464996237E-3</v>
      </c>
      <c r="N2215">
        <v>0.34511351401867046</v>
      </c>
      <c r="O2215">
        <v>0.23728030970560943</v>
      </c>
      <c r="P2215">
        <v>1.3103948807000757E-2</v>
      </c>
      <c r="Q2215">
        <v>1.5819420132139324E-3</v>
      </c>
      <c r="R2215">
        <v>3.5967858783044126E-3</v>
      </c>
      <c r="S2215">
        <v>0.35920548427514565</v>
      </c>
      <c r="T2215">
        <v>0.40036145633700382</v>
      </c>
      <c r="U2215">
        <v>0</v>
      </c>
      <c r="V2215">
        <v>0.19877107240361838</v>
      </c>
      <c r="W2215">
        <v>0.21943662295214794</v>
      </c>
      <c r="X2215">
        <v>5.2751975122469472E-2</v>
      </c>
      <c r="Y2215">
        <v>9.7892654805984865E-3</v>
      </c>
    </row>
    <row r="2216" spans="1:25" x14ac:dyDescent="0.25">
      <c r="A2216" s="1083"/>
      <c r="B2216" s="1455">
        <v>1966</v>
      </c>
      <c r="C2216" s="1087">
        <v>1.0165067633543001</v>
      </c>
      <c r="D2216" s="1087">
        <v>0.98536019271307951</v>
      </c>
      <c r="E2216" s="1087">
        <v>0.96914738776360232</v>
      </c>
      <c r="F2216" s="1087">
        <v>0.97627999609748495</v>
      </c>
      <c r="G2216" s="1087">
        <v>1.0007074116000925</v>
      </c>
      <c r="H2216" s="1087">
        <v>1.0237548434591011</v>
      </c>
      <c r="I2216" s="1087">
        <v>1.004033134972069</v>
      </c>
      <c r="K2216">
        <v>1.8268814960538309</v>
      </c>
      <c r="L2216">
        <v>0</v>
      </c>
      <c r="M2216">
        <v>3.931940884489552E-3</v>
      </c>
      <c r="N2216">
        <v>0.3397758761462728</v>
      </c>
      <c r="O2216">
        <v>0.2349702694289488</v>
      </c>
      <c r="P2216">
        <v>1.275808968343648E-2</v>
      </c>
      <c r="Q2216">
        <v>1.516117626080151E-3</v>
      </c>
      <c r="R2216">
        <v>3.9253541672186832E-3</v>
      </c>
      <c r="S2216">
        <v>0.36757431690841968</v>
      </c>
      <c r="T2216">
        <v>0.39296134935194987</v>
      </c>
      <c r="U2216">
        <v>0</v>
      </c>
      <c r="V2216">
        <v>0.19656342120241643</v>
      </c>
      <c r="W2216">
        <v>0.22069204962209704</v>
      </c>
      <c r="X2216">
        <v>4.9393072750964377E-2</v>
      </c>
      <c r="Y2216">
        <v>1.06835200505158E-2</v>
      </c>
    </row>
    <row r="2217" spans="1:25" x14ac:dyDescent="0.25">
      <c r="A2217" s="1083"/>
      <c r="B2217" s="1455">
        <v>1967</v>
      </c>
      <c r="C2217" s="1087">
        <v>0.98452160588719306</v>
      </c>
      <c r="D2217" s="1087">
        <v>1.0021331896443368</v>
      </c>
      <c r="E2217" s="1087">
        <v>0.98526261311682617</v>
      </c>
      <c r="F2217" s="1087">
        <v>1.0205308604822749</v>
      </c>
      <c r="G2217" s="1087">
        <v>1.0112655303583409</v>
      </c>
      <c r="H2217" s="1087">
        <v>1.0401921701143677</v>
      </c>
      <c r="I2217" s="1087">
        <v>0.9971541484068891</v>
      </c>
      <c r="K2217">
        <v>1.9013738980032444</v>
      </c>
      <c r="L2217">
        <v>0</v>
      </c>
      <c r="M2217">
        <v>3.9558147987705135E-3</v>
      </c>
      <c r="N2217">
        <v>0.35910796963914604</v>
      </c>
      <c r="O2217">
        <v>0.24263428339842161</v>
      </c>
      <c r="P2217">
        <v>1.3366459555754958E-2</v>
      </c>
      <c r="Q2217">
        <v>1.5820935247533275E-3</v>
      </c>
      <c r="R2217">
        <v>3.9492781139007678E-3</v>
      </c>
      <c r="S2217">
        <v>0.3766336639083348</v>
      </c>
      <c r="T2217">
        <v>0.4108707258633888</v>
      </c>
      <c r="U2217">
        <v>0</v>
      </c>
      <c r="V2217">
        <v>0.20301301141236769</v>
      </c>
      <c r="W2217">
        <v>0.23087150986292129</v>
      </c>
      <c r="X2217">
        <v>5.2552084376165507E-2</v>
      </c>
      <c r="Y2217">
        <v>1.074863314685753E-2</v>
      </c>
    </row>
    <row r="2218" spans="1:25" x14ac:dyDescent="0.25">
      <c r="A2218" s="1083"/>
      <c r="B2218" s="1455">
        <v>1968</v>
      </c>
      <c r="C2218" s="1087">
        <v>0.99225470869522803</v>
      </c>
      <c r="D2218" s="1087">
        <v>1.001511237692198</v>
      </c>
      <c r="E2218" s="1087">
        <v>1.0111498323993369</v>
      </c>
      <c r="F2218" s="1087">
        <v>1.0163916316823209</v>
      </c>
      <c r="G2218" s="1087">
        <v>1.0031114797583955</v>
      </c>
      <c r="H2218" s="1087">
        <v>1.0086704616065485</v>
      </c>
      <c r="I2218" s="1087">
        <v>1.0337739175803156</v>
      </c>
      <c r="K2218">
        <v>1.893676926785856</v>
      </c>
      <c r="L2218">
        <v>0</v>
      </c>
      <c r="M2218">
        <v>3.6109188679741906E-3</v>
      </c>
      <c r="N2218">
        <v>0.35473014758275534</v>
      </c>
      <c r="O2218">
        <v>0.24162383840278503</v>
      </c>
      <c r="P2218">
        <v>1.3665209435830382E-2</v>
      </c>
      <c r="Q2218">
        <v>1.6141104991025685E-3</v>
      </c>
      <c r="R2218">
        <v>3.6047660115198269E-3</v>
      </c>
      <c r="S2218">
        <v>0.38191059288600243</v>
      </c>
      <c r="T2218">
        <v>0.40936347094637138</v>
      </c>
      <c r="U2218">
        <v>0</v>
      </c>
      <c r="V2218">
        <v>0.20199529423424395</v>
      </c>
      <c r="W2218">
        <v>0.22439288843711752</v>
      </c>
      <c r="X2218">
        <v>5.4576542445539382E-2</v>
      </c>
      <c r="Y2218">
        <v>9.8109847725606405E-3</v>
      </c>
    </row>
    <row r="2219" spans="1:25" x14ac:dyDescent="0.25">
      <c r="A2219" s="1083"/>
      <c r="B2219" s="1455">
        <v>1969</v>
      </c>
      <c r="C2219" s="1087">
        <v>1.0018704473769002</v>
      </c>
      <c r="D2219" s="1087">
        <v>1.0070169249080285</v>
      </c>
      <c r="E2219" s="1087">
        <v>0.98231967986594015</v>
      </c>
      <c r="F2219" s="1087">
        <v>0.99132394426535031</v>
      </c>
      <c r="G2219" s="1087">
        <v>0.96065393586300063</v>
      </c>
      <c r="H2219" s="1087">
        <v>0.99309570811267456</v>
      </c>
      <c r="I2219" s="1087">
        <v>0.98423874103687581</v>
      </c>
      <c r="K2219">
        <v>1.8158643742881457</v>
      </c>
      <c r="L2219">
        <v>0</v>
      </c>
      <c r="M2219">
        <v>3.7236806579405276E-3</v>
      </c>
      <c r="N2219">
        <v>0.33498232561816549</v>
      </c>
      <c r="O2219">
        <v>0.2365514146862305</v>
      </c>
      <c r="P2219">
        <v>1.2836636188905612E-2</v>
      </c>
      <c r="Q2219">
        <v>1.5467777330957543E-3</v>
      </c>
      <c r="R2219">
        <v>3.7172310339415298E-3</v>
      </c>
      <c r="S2219">
        <v>0.35593771204309338</v>
      </c>
      <c r="T2219">
        <v>0.39909440694813242</v>
      </c>
      <c r="U2219">
        <v>0</v>
      </c>
      <c r="V2219">
        <v>0.19834376687233926</v>
      </c>
      <c r="W2219">
        <v>0.21576231531175286</v>
      </c>
      <c r="X2219">
        <v>5.0698391020919102E-2</v>
      </c>
      <c r="Y2219">
        <v>1.0117077489507832E-2</v>
      </c>
    </row>
    <row r="2220" spans="1:25" x14ac:dyDescent="0.25">
      <c r="A2220" s="1083"/>
      <c r="B2220" s="1455">
        <v>1970</v>
      </c>
      <c r="C2220" s="1087">
        <v>0.97828879815381597</v>
      </c>
      <c r="D2220" s="1087">
        <v>0.98462738213479528</v>
      </c>
      <c r="E2220" s="1087">
        <v>1.0133378387199266</v>
      </c>
      <c r="F2220" s="1087">
        <v>1.0186192056263319</v>
      </c>
      <c r="G2220" s="1087">
        <v>1.0034261888548686</v>
      </c>
      <c r="H2220" s="1087">
        <v>1.0140064718913038</v>
      </c>
      <c r="I2220" s="1087">
        <v>1.0070856929480987</v>
      </c>
      <c r="K2220">
        <v>1.9203826452389989</v>
      </c>
      <c r="L2220">
        <v>0</v>
      </c>
      <c r="M2220">
        <v>3.6992986903219009E-3</v>
      </c>
      <c r="N2220">
        <v>0.36584969311996629</v>
      </c>
      <c r="O2220">
        <v>0.24538931750979784</v>
      </c>
      <c r="P2220">
        <v>1.3737510776475963E-2</v>
      </c>
      <c r="Q2220">
        <v>1.6521485407507287E-3</v>
      </c>
      <c r="R2220">
        <v>3.6930435221357383E-3</v>
      </c>
      <c r="S2220">
        <v>0.38197113187782622</v>
      </c>
      <c r="T2220">
        <v>0.41027427314919129</v>
      </c>
      <c r="U2220">
        <v>0</v>
      </c>
      <c r="V2220">
        <v>0.20466947449174394</v>
      </c>
      <c r="W2220">
        <v>0.23111353947822771</v>
      </c>
      <c r="X2220">
        <v>5.5680564407419766E-2</v>
      </c>
      <c r="Y2220">
        <v>1.0051247055783591E-2</v>
      </c>
    </row>
    <row r="2221" spans="1:25" x14ac:dyDescent="0.25">
      <c r="A2221" s="1083"/>
      <c r="B2221" s="1455">
        <v>1971</v>
      </c>
      <c r="C2221" s="1087">
        <v>1.0007231173448083</v>
      </c>
      <c r="D2221" s="1087">
        <v>0.97860493185550912</v>
      </c>
      <c r="E2221" s="1087">
        <v>1.0167384229549701</v>
      </c>
      <c r="F2221" s="1087">
        <v>0.98202196812207732</v>
      </c>
      <c r="G2221" s="1087">
        <v>0.98212972527481113</v>
      </c>
      <c r="H2221" s="1087">
        <v>1.0047671090528654</v>
      </c>
      <c r="I2221" s="1087">
        <v>0.99340780462566969</v>
      </c>
      <c r="K2221">
        <v>1.8623878542901076</v>
      </c>
      <c r="L2221">
        <v>0</v>
      </c>
      <c r="M2221">
        <v>3.5697713100213404E-3</v>
      </c>
      <c r="N2221">
        <v>0.35671339370640837</v>
      </c>
      <c r="O2221">
        <v>0.23887276587629505</v>
      </c>
      <c r="P2221">
        <v>1.3301168332145411E-2</v>
      </c>
      <c r="Q2221">
        <v>1.6249110149491478E-3</v>
      </c>
      <c r="R2221">
        <v>3.5636839367171429E-3</v>
      </c>
      <c r="S2221">
        <v>0.36791903348765531</v>
      </c>
      <c r="T2221">
        <v>0.3955542723103348</v>
      </c>
      <c r="U2221">
        <v>0</v>
      </c>
      <c r="V2221">
        <v>0.19936530307697167</v>
      </c>
      <c r="W2221">
        <v>0.22486905686564987</v>
      </c>
      <c r="X2221">
        <v>5.4474864085352542E-2</v>
      </c>
      <c r="Y2221">
        <v>9.6991729076500478E-3</v>
      </c>
    </row>
    <row r="2222" spans="1:25" x14ac:dyDescent="0.25">
      <c r="A2222" s="1083"/>
      <c r="B2222" s="1455">
        <v>1972</v>
      </c>
      <c r="C2222" s="1087">
        <v>0.9937279011786232</v>
      </c>
      <c r="D2222" s="1087">
        <v>0.97175413262002641</v>
      </c>
      <c r="E2222" s="1087">
        <v>0.98460557941575411</v>
      </c>
      <c r="F2222" s="1087">
        <v>0.98375468987722159</v>
      </c>
      <c r="G2222" s="1087">
        <v>0.97684164386964167</v>
      </c>
      <c r="H2222" s="1087">
        <v>0.98373617288882031</v>
      </c>
      <c r="I2222" s="1087">
        <v>0.99235577777700257</v>
      </c>
      <c r="K2222">
        <v>1.842056150840411</v>
      </c>
      <c r="L2222">
        <v>0</v>
      </c>
      <c r="M2222">
        <v>3.7728537047180669E-3</v>
      </c>
      <c r="N2222">
        <v>0.3417819848272487</v>
      </c>
      <c r="O2222">
        <v>0.24013784089879991</v>
      </c>
      <c r="P2222">
        <v>1.2999610272749236E-2</v>
      </c>
      <c r="Q2222">
        <v>1.5857367832356189E-3</v>
      </c>
      <c r="R2222">
        <v>3.7662885459856673E-3</v>
      </c>
      <c r="S2222">
        <v>0.36731111629516133</v>
      </c>
      <c r="T2222">
        <v>0.39606058527275267</v>
      </c>
      <c r="U2222">
        <v>0</v>
      </c>
      <c r="V2222">
        <v>0.2004379191942636</v>
      </c>
      <c r="W2222">
        <v>0.21982384174226713</v>
      </c>
      <c r="X2222">
        <v>5.1673484847177535E-2</v>
      </c>
      <c r="Y2222">
        <v>1.0250595865487478E-2</v>
      </c>
    </row>
    <row r="2223" spans="1:25" x14ac:dyDescent="0.25">
      <c r="A2223" s="1083"/>
      <c r="B2223" s="1455">
        <v>1973</v>
      </c>
      <c r="C2223" s="1087">
        <v>1.0204066874384292</v>
      </c>
      <c r="D2223" s="1087">
        <v>0.99025746805407344</v>
      </c>
      <c r="E2223" s="1087">
        <v>1.0359209291441551</v>
      </c>
      <c r="F2223" s="1087">
        <v>0.98952929049983462</v>
      </c>
      <c r="G2223" s="1087">
        <v>1.0050635743080898</v>
      </c>
      <c r="H2223" s="1087">
        <v>0.9972552970798948</v>
      </c>
      <c r="I2223" s="1087">
        <v>0.98407562488858003</v>
      </c>
      <c r="K2223">
        <v>1.8368878729871656</v>
      </c>
      <c r="L2223">
        <v>0</v>
      </c>
      <c r="M2223">
        <v>3.3194366864898314E-3</v>
      </c>
      <c r="N2223">
        <v>0.35165038858590564</v>
      </c>
      <c r="O2223">
        <v>0.23655887630219669</v>
      </c>
      <c r="P2223">
        <v>1.331031638209808E-2</v>
      </c>
      <c r="Q2223">
        <v>1.6183466731190292E-3</v>
      </c>
      <c r="R2223">
        <v>3.3137244768426952E-3</v>
      </c>
      <c r="S2223">
        <v>0.35399701574253167</v>
      </c>
      <c r="T2223">
        <v>0.39869532100148553</v>
      </c>
      <c r="U2223">
        <v>0</v>
      </c>
      <c r="V2223">
        <v>0.19744451819950631</v>
      </c>
      <c r="W2223">
        <v>0.2190875912077665</v>
      </c>
      <c r="X2223">
        <v>5.5512345445217118E-2</v>
      </c>
      <c r="Y2223">
        <v>9.0188656569856075E-3</v>
      </c>
    </row>
    <row r="2224" spans="1:25" x14ac:dyDescent="0.25">
      <c r="A2224" s="1083"/>
      <c r="B2224" s="1455">
        <v>1974</v>
      </c>
      <c r="C2224" s="1087">
        <v>0.99942947948660865</v>
      </c>
      <c r="D2224" s="1087">
        <v>1.0220350741684725</v>
      </c>
      <c r="E2224" s="1087">
        <v>1.021899757403955</v>
      </c>
      <c r="F2224" s="1087">
        <v>1.0212184307280094</v>
      </c>
      <c r="G2224" s="1087">
        <v>0.98530912934702464</v>
      </c>
      <c r="H2224" s="1087">
        <v>1.0006650911116945</v>
      </c>
      <c r="I2224" s="1087">
        <v>0.97003553030537126</v>
      </c>
      <c r="K2224">
        <v>1.8497066583815884</v>
      </c>
      <c r="L2224">
        <v>0</v>
      </c>
      <c r="M2224">
        <v>3.4405063432633321E-3</v>
      </c>
      <c r="N2224">
        <v>0.3492405187386608</v>
      </c>
      <c r="O2224">
        <v>0.23938958139307659</v>
      </c>
      <c r="P2224">
        <v>1.3346627003088125E-2</v>
      </c>
      <c r="Q2224">
        <v>1.6077290424208596E-3</v>
      </c>
      <c r="R2224">
        <v>3.4345791444075871E-3</v>
      </c>
      <c r="S2224">
        <v>0.35051964121019574</v>
      </c>
      <c r="T2224">
        <v>0.41137481138511328</v>
      </c>
      <c r="U2224">
        <v>0</v>
      </c>
      <c r="V2224">
        <v>0.20059161875422449</v>
      </c>
      <c r="W2224">
        <v>0.21945955846405737</v>
      </c>
      <c r="X2224">
        <v>5.4834707367240505E-2</v>
      </c>
      <c r="Y2224">
        <v>9.3477922223667853E-3</v>
      </c>
    </row>
    <row r="2225" spans="1:25" x14ac:dyDescent="0.25">
      <c r="A2225" s="1083"/>
      <c r="B2225" s="1455">
        <v>1975</v>
      </c>
      <c r="C2225" s="1087">
        <v>0.98174655334779015</v>
      </c>
      <c r="D2225" s="1087">
        <v>0.96133385973974161</v>
      </c>
      <c r="E2225" s="1087">
        <v>1.0009986233982928</v>
      </c>
      <c r="F2225" s="1087">
        <v>0.97101053835055384</v>
      </c>
      <c r="G2225" s="1087">
        <v>1.0279373853744713</v>
      </c>
      <c r="H2225" s="1087">
        <v>0.9652596748810387</v>
      </c>
      <c r="I2225" s="1087">
        <v>0.97886312877726711</v>
      </c>
      <c r="K2225">
        <v>1.8450691632957903</v>
      </c>
      <c r="L2225">
        <v>0</v>
      </c>
      <c r="M2225">
        <v>3.643615473491341E-3</v>
      </c>
      <c r="N2225">
        <v>0.34700505994007008</v>
      </c>
      <c r="O2225">
        <v>0.24127288896935253</v>
      </c>
      <c r="P2225">
        <v>1.3080355121841353E-2</v>
      </c>
      <c r="Q2225">
        <v>1.6405394389187237E-3</v>
      </c>
      <c r="R2225">
        <v>3.6371613136553034E-3</v>
      </c>
      <c r="S2225">
        <v>0.36565748741827014</v>
      </c>
      <c r="T2225">
        <v>0.391025729709991</v>
      </c>
      <c r="U2225">
        <v>0</v>
      </c>
      <c r="V2225">
        <v>0.20125713557257577</v>
      </c>
      <c r="W2225">
        <v>0.22089651224188897</v>
      </c>
      <c r="X2225">
        <v>5.3340754936853099E-2</v>
      </c>
      <c r="Y2225">
        <v>9.8991541058649265E-3</v>
      </c>
    </row>
    <row r="2226" spans="1:25" x14ac:dyDescent="0.25">
      <c r="A2226" s="1083"/>
      <c r="B2226" s="1455">
        <v>1976</v>
      </c>
      <c r="C2226" s="1087">
        <v>0.99549182620876631</v>
      </c>
      <c r="D2226" s="1087">
        <v>0.98365771393344437</v>
      </c>
      <c r="E2226" s="1087">
        <v>1.0034923305409214</v>
      </c>
      <c r="F2226" s="1087">
        <v>1.0102387847161247</v>
      </c>
      <c r="G2226" s="1087">
        <v>1.0304460596417613</v>
      </c>
      <c r="H2226" s="1087">
        <v>0.95502107048302043</v>
      </c>
      <c r="I2226" s="1087">
        <v>0.98301966679003983</v>
      </c>
      <c r="K2226">
        <v>1.8333259610656341</v>
      </c>
      <c r="L2226">
        <v>0</v>
      </c>
      <c r="M2226">
        <v>3.4954267406236278E-3</v>
      </c>
      <c r="N2226">
        <v>0.33542666372238961</v>
      </c>
      <c r="O2226">
        <v>0.24219928486933623</v>
      </c>
      <c r="P2226">
        <v>1.3197005393033569E-2</v>
      </c>
      <c r="Q2226">
        <v>1.6073599425071874E-3</v>
      </c>
      <c r="R2226">
        <v>3.4891519765854499E-3</v>
      </c>
      <c r="S2226">
        <v>0.35582144643777952</v>
      </c>
      <c r="T2226">
        <v>0.40683822471696207</v>
      </c>
      <c r="U2226">
        <v>0</v>
      </c>
      <c r="V2226">
        <v>0.20203535525228764</v>
      </c>
      <c r="W2226">
        <v>0.21319405522191537</v>
      </c>
      <c r="X2226">
        <v>5.3516518791835568E-2</v>
      </c>
      <c r="Y2226">
        <v>9.4963214816256337E-3</v>
      </c>
    </row>
    <row r="2227" spans="1:25" x14ac:dyDescent="0.25">
      <c r="A2227" s="1083"/>
      <c r="B2227" s="1455">
        <v>1977</v>
      </c>
      <c r="C2227" s="1087">
        <v>0.98963914815186205</v>
      </c>
      <c r="D2227" s="1087">
        <v>1.0177029775158699</v>
      </c>
      <c r="E2227" s="1087">
        <v>0.99716738523670589</v>
      </c>
      <c r="F2227" s="1087">
        <v>0.98336194876440564</v>
      </c>
      <c r="G2227" s="1087">
        <v>0.97886962382158582</v>
      </c>
      <c r="H2227" s="1087">
        <v>1.0088696949607958</v>
      </c>
      <c r="I2227" s="1087">
        <v>1.0220099031728649</v>
      </c>
      <c r="K2227">
        <v>1.8524899097036116</v>
      </c>
      <c r="L2227">
        <v>0</v>
      </c>
      <c r="M2227">
        <v>3.6941545836308275E-3</v>
      </c>
      <c r="N2227">
        <v>0.34775079063709052</v>
      </c>
      <c r="O2227">
        <v>0.23625483641684622</v>
      </c>
      <c r="P2227">
        <v>1.3201386107206545E-2</v>
      </c>
      <c r="Q2227">
        <v>1.5842971235352056E-3</v>
      </c>
      <c r="R2227">
        <v>3.6878469485576502E-3</v>
      </c>
      <c r="S2227">
        <v>0.3750920333476791</v>
      </c>
      <c r="T2227">
        <v>0.39597682697109532</v>
      </c>
      <c r="U2227">
        <v>0</v>
      </c>
      <c r="V2227">
        <v>0.19850265770111297</v>
      </c>
      <c r="W2227">
        <v>0.22190215931916804</v>
      </c>
      <c r="X2227">
        <v>5.2194126019397803E-2</v>
      </c>
      <c r="Y2227">
        <v>1.0037103695554059E-2</v>
      </c>
    </row>
    <row r="2228" spans="1:25" x14ac:dyDescent="0.25">
      <c r="A2228" s="1083"/>
      <c r="B2228" s="1455">
        <v>1978</v>
      </c>
      <c r="C2228" s="1087">
        <v>1.0030204547548163</v>
      </c>
      <c r="D2228" s="1087">
        <v>1.0240069978198929</v>
      </c>
      <c r="E2228" s="1087">
        <v>0.99287587291424728</v>
      </c>
      <c r="F2228" s="1087">
        <v>1.0469625283604342</v>
      </c>
      <c r="G2228" s="1087">
        <v>0.99514682510345365</v>
      </c>
      <c r="H2228" s="1087">
        <v>0.98798793288727627</v>
      </c>
      <c r="I2228" s="1087">
        <v>1.0002507912778809</v>
      </c>
      <c r="K2228">
        <v>1.8455124283359889</v>
      </c>
      <c r="L2228">
        <v>0</v>
      </c>
      <c r="M2228">
        <v>3.5871018089122402E-3</v>
      </c>
      <c r="N2228">
        <v>0.33326543988495116</v>
      </c>
      <c r="O2228">
        <v>0.2412020753424319</v>
      </c>
      <c r="P2228">
        <v>1.3310399468463028E-2</v>
      </c>
      <c r="Q2228">
        <v>1.5521719752111559E-3</v>
      </c>
      <c r="R2228">
        <v>3.5808389831451294E-3</v>
      </c>
      <c r="S2228">
        <v>0.35711105747912403</v>
      </c>
      <c r="T2228">
        <v>0.42156016338222341</v>
      </c>
      <c r="U2228">
        <v>0</v>
      </c>
      <c r="V2228">
        <v>0.20205833623409949</v>
      </c>
      <c r="W2228">
        <v>0.21323210066745082</v>
      </c>
      <c r="X2228">
        <v>5.2481083438931514E-2</v>
      </c>
      <c r="Y2228">
        <v>9.7458632888674946E-3</v>
      </c>
    </row>
    <row r="2229" spans="1:25" x14ac:dyDescent="0.25">
      <c r="A2229" s="1083"/>
      <c r="B2229" s="1455">
        <v>1979</v>
      </c>
      <c r="C2229" s="1087">
        <v>0.98177185651732901</v>
      </c>
      <c r="D2229" s="1087">
        <v>1.0005250211814261</v>
      </c>
      <c r="E2229" s="1087">
        <v>0.96486768852192639</v>
      </c>
      <c r="F2229" s="1087">
        <v>0.98965552856999373</v>
      </c>
      <c r="G2229" s="1087">
        <v>0.99729157000965696</v>
      </c>
      <c r="H2229" s="1087">
        <v>0.99301545847795802</v>
      </c>
      <c r="I2229" s="1087">
        <v>0.98199894020190459</v>
      </c>
      <c r="K2229">
        <v>1.8328004522814734</v>
      </c>
      <c r="L2229">
        <v>0</v>
      </c>
      <c r="M2229">
        <v>3.9508081335842445E-3</v>
      </c>
      <c r="N2229">
        <v>0.3369470437583269</v>
      </c>
      <c r="O2229">
        <v>0.23917250590313724</v>
      </c>
      <c r="P2229">
        <v>1.2786749012618628E-2</v>
      </c>
      <c r="Q2229">
        <v>1.5529757067662432E-3</v>
      </c>
      <c r="R2229">
        <v>3.943970632318633E-3</v>
      </c>
      <c r="S2229">
        <v>0.36348087197213169</v>
      </c>
      <c r="T2229">
        <v>0.39832007048140561</v>
      </c>
      <c r="U2229">
        <v>0</v>
      </c>
      <c r="V2229">
        <v>0.20060750188915735</v>
      </c>
      <c r="W2229">
        <v>0.21945547502725779</v>
      </c>
      <c r="X2229">
        <v>4.9749908100336263E-2</v>
      </c>
      <c r="Y2229">
        <v>1.0734187931601791E-2</v>
      </c>
    </row>
    <row r="2230" spans="1:25" x14ac:dyDescent="0.25">
      <c r="A2230" s="1083"/>
      <c r="B2230" s="1455">
        <v>1980</v>
      </c>
      <c r="C2230" s="1087">
        <v>0.97391278424710548</v>
      </c>
      <c r="D2230" s="1087">
        <v>0.95960698303108682</v>
      </c>
      <c r="E2230" s="1087">
        <v>0.9991504278322253</v>
      </c>
      <c r="F2230" s="1087">
        <v>0.9752462994527844</v>
      </c>
      <c r="G2230" s="1087">
        <v>1.0233983234168063</v>
      </c>
      <c r="H2230" s="1087">
        <v>1.0201767907286858</v>
      </c>
      <c r="I2230" s="1087">
        <v>1.0051083923585096</v>
      </c>
      <c r="K2230">
        <v>1.9120232984772842</v>
      </c>
      <c r="L2230">
        <v>0</v>
      </c>
      <c r="M2230">
        <v>3.9001746853593983E-3</v>
      </c>
      <c r="N2230">
        <v>0.36938520446323725</v>
      </c>
      <c r="O2230">
        <v>0.24291200498666954</v>
      </c>
      <c r="P2230">
        <v>1.3426468588638088E-2</v>
      </c>
      <c r="Q2230">
        <v>1.6516691846212906E-3</v>
      </c>
      <c r="R2230">
        <v>3.8936392689922533E-3</v>
      </c>
      <c r="S2230">
        <v>0.38933500882199756</v>
      </c>
      <c r="T2230">
        <v>0.39272054786425592</v>
      </c>
      <c r="U2230">
        <v>0</v>
      </c>
      <c r="V2230">
        <v>0.20258575374084781</v>
      </c>
      <c r="W2230">
        <v>0.23541495037293328</v>
      </c>
      <c r="X2230">
        <v>5.4001023318092999E-2</v>
      </c>
      <c r="Y2230">
        <v>1.0597202552356846E-2</v>
      </c>
    </row>
    <row r="2231" spans="1:25" x14ac:dyDescent="0.25">
      <c r="A2231" s="1083"/>
      <c r="B2231" s="1455">
        <v>1981</v>
      </c>
      <c r="C2231" s="1087">
        <v>1.039705988829666</v>
      </c>
      <c r="D2231" s="1087">
        <v>0.99178241722248506</v>
      </c>
      <c r="E2231" s="1087">
        <v>0.97807697219907286</v>
      </c>
      <c r="F2231" s="1087">
        <v>1.0104949992319396</v>
      </c>
      <c r="G2231" s="1087">
        <v>0.98339110848854483</v>
      </c>
      <c r="H2231" s="1087">
        <v>1.0028276029724574</v>
      </c>
      <c r="I2231" s="1087">
        <v>1.0053707120239264</v>
      </c>
      <c r="K2231">
        <v>1.8072218980934898</v>
      </c>
      <c r="L2231">
        <v>0</v>
      </c>
      <c r="M2231">
        <v>3.6841755240560993E-3</v>
      </c>
      <c r="N2231">
        <v>0.32716540182113391</v>
      </c>
      <c r="O2231">
        <v>0.23574853291126494</v>
      </c>
      <c r="P2231">
        <v>1.2864809918609124E-2</v>
      </c>
      <c r="Q2231">
        <v>1.4927717522157092E-3</v>
      </c>
      <c r="R2231">
        <v>3.677868263103437E-3</v>
      </c>
      <c r="S2231">
        <v>0.35494386342615319</v>
      </c>
      <c r="T2231">
        <v>0.40678682278301775</v>
      </c>
      <c r="U2231">
        <v>0</v>
      </c>
      <c r="V2231">
        <v>0.19682045430550626</v>
      </c>
      <c r="W2231">
        <v>0.21129522222878788</v>
      </c>
      <c r="X2231">
        <v>5.0100381204533612E-2</v>
      </c>
      <c r="Y2231">
        <v>1.0009945003220465E-2</v>
      </c>
    </row>
    <row r="2232" spans="1:25" x14ac:dyDescent="0.25">
      <c r="A2232" s="1083"/>
      <c r="B2232" s="1455">
        <v>1982</v>
      </c>
      <c r="C2232" s="1087">
        <v>0.99791321342942696</v>
      </c>
      <c r="D2232" s="1087">
        <v>1.0051679198268197</v>
      </c>
      <c r="E2232" s="1087">
        <v>0.98447982255996547</v>
      </c>
      <c r="F2232" s="1087">
        <v>1.0071266190390498</v>
      </c>
      <c r="G2232" s="1087">
        <v>1.0377059145257821</v>
      </c>
      <c r="H2232" s="1087">
        <v>0.99267451669120721</v>
      </c>
      <c r="I2232" s="1087">
        <v>0.99873448124730013</v>
      </c>
      <c r="K2232">
        <v>1.8380556384475757</v>
      </c>
      <c r="L2232">
        <v>0</v>
      </c>
      <c r="M2232">
        <v>3.7241476855546705E-3</v>
      </c>
      <c r="N2232">
        <v>0.33724274823179623</v>
      </c>
      <c r="O2232">
        <v>0.2390973526950631</v>
      </c>
      <c r="P2232">
        <v>1.3063418693106125E-2</v>
      </c>
      <c r="Q2232">
        <v>1.5576657000462384E-3</v>
      </c>
      <c r="R2232">
        <v>3.7176962183032157E-3</v>
      </c>
      <c r="S2232">
        <v>0.36293050404947796</v>
      </c>
      <c r="T2232">
        <v>0.40546938755512768</v>
      </c>
      <c r="U2232">
        <v>0</v>
      </c>
      <c r="V2232">
        <v>0.200234496192853</v>
      </c>
      <c r="W2232">
        <v>0.21692158575600479</v>
      </c>
      <c r="X2232">
        <v>5.1426587473358862E-2</v>
      </c>
      <c r="Y2232">
        <v>1.0118343567992362E-2</v>
      </c>
    </row>
    <row r="2233" spans="1:25" x14ac:dyDescent="0.25">
      <c r="A2233" s="1083"/>
      <c r="B2233" s="1455">
        <v>1983</v>
      </c>
      <c r="C2233" s="1087">
        <v>1.0041175421182467</v>
      </c>
      <c r="D2233" s="1087">
        <v>1.0308901451830055</v>
      </c>
      <c r="E2233" s="1087">
        <v>0.98605368052311071</v>
      </c>
      <c r="F2233" s="1087">
        <v>0.98492271292445122</v>
      </c>
      <c r="G2233" s="1087">
        <v>0.96722686777866451</v>
      </c>
      <c r="H2233" s="1087">
        <v>1.0151473936569144</v>
      </c>
      <c r="I2233" s="1087">
        <v>0.99893585304070609</v>
      </c>
      <c r="K2233">
        <v>1.8171812670248624</v>
      </c>
      <c r="L2233">
        <v>0</v>
      </c>
      <c r="M2233">
        <v>3.7215208475861578E-3</v>
      </c>
      <c r="N2233">
        <v>0.33864007887075576</v>
      </c>
      <c r="O2233">
        <v>0.23328618893271028</v>
      </c>
      <c r="P2233">
        <v>1.2863152378277178E-2</v>
      </c>
      <c r="Q2233">
        <v>1.5350654179365683E-3</v>
      </c>
      <c r="R2233">
        <v>3.7151940738215962E-3</v>
      </c>
      <c r="S2233">
        <v>0.35975946064660302</v>
      </c>
      <c r="T2233">
        <v>0.39653938353464568</v>
      </c>
      <c r="U2233">
        <v>0</v>
      </c>
      <c r="V2233">
        <v>0.19635221171287637</v>
      </c>
      <c r="W2233">
        <v>0.21760389381004841</v>
      </c>
      <c r="X2233">
        <v>5.0496624939226076E-2</v>
      </c>
      <c r="Y2233">
        <v>1.0111533555545098E-2</v>
      </c>
    </row>
    <row r="2234" spans="1:25" x14ac:dyDescent="0.25">
      <c r="A2234" s="1083"/>
      <c r="B2234" s="1455">
        <v>1984</v>
      </c>
      <c r="C2234" s="1087">
        <v>1.0160572239956469</v>
      </c>
      <c r="D2234" s="1087">
        <v>0.97952856855891091</v>
      </c>
      <c r="E2234" s="1087">
        <v>1.0055919197073384</v>
      </c>
      <c r="F2234" s="1087">
        <v>1.0383332673482577</v>
      </c>
      <c r="G2234" s="1087">
        <v>0.96482462507218991</v>
      </c>
      <c r="H2234" s="1087">
        <v>0.97642589617818787</v>
      </c>
      <c r="I2234" s="1087">
        <v>1.0055458570167977</v>
      </c>
      <c r="K2234">
        <v>1.8555549665061402</v>
      </c>
      <c r="L2234">
        <v>0</v>
      </c>
      <c r="M2234">
        <v>3.4939170524264972E-3</v>
      </c>
      <c r="N2234">
        <v>0.33744980277806147</v>
      </c>
      <c r="O2234">
        <v>0.2434120617899265</v>
      </c>
      <c r="P2234">
        <v>1.3454116304076015E-2</v>
      </c>
      <c r="Q2234">
        <v>1.5810033383794552E-3</v>
      </c>
      <c r="R2234">
        <v>3.4877853486832587E-3</v>
      </c>
      <c r="S2234">
        <v>0.36133026599973594</v>
      </c>
      <c r="T2234">
        <v>0.41816554384368237</v>
      </c>
      <c r="U2234">
        <v>0</v>
      </c>
      <c r="V2234">
        <v>0.20246301152004018</v>
      </c>
      <c r="W2234">
        <v>0.21419971594670362</v>
      </c>
      <c r="X2234">
        <v>5.4012974718293791E-2</v>
      </c>
      <c r="Y2234">
        <v>9.492601970984638E-3</v>
      </c>
    </row>
    <row r="2235" spans="1:25" x14ac:dyDescent="0.25">
      <c r="A2235" s="1083"/>
      <c r="B2235" s="1455">
        <v>1985</v>
      </c>
      <c r="C2235" s="1087">
        <v>0.99686607573849084</v>
      </c>
      <c r="D2235" s="1087">
        <v>1.0236762823285408</v>
      </c>
      <c r="E2235" s="1087">
        <v>0.99717778759424136</v>
      </c>
      <c r="F2235" s="1087">
        <v>1.0278295388887047</v>
      </c>
      <c r="G2235" s="1087">
        <v>0.96809020794678347</v>
      </c>
      <c r="H2235" s="1087">
        <v>1.008401557835725</v>
      </c>
      <c r="I2235" s="1087">
        <v>0.98961711856399992</v>
      </c>
      <c r="K2235">
        <v>1.8552044612181187</v>
      </c>
      <c r="L2235">
        <v>0</v>
      </c>
      <c r="M2235">
        <v>3.6532963736895961E-3</v>
      </c>
      <c r="N2235">
        <v>0.34391463215935153</v>
      </c>
      <c r="O2235">
        <v>0.23993745750045256</v>
      </c>
      <c r="P2235">
        <v>1.3266653128286284E-2</v>
      </c>
      <c r="Q2235">
        <v>1.5691514636186727E-3</v>
      </c>
      <c r="R2235">
        <v>3.647049240950391E-3</v>
      </c>
      <c r="S2235">
        <v>0.35928835717642671</v>
      </c>
      <c r="T2235">
        <v>0.41388294876092729</v>
      </c>
      <c r="U2235">
        <v>0</v>
      </c>
      <c r="V2235">
        <v>0.20119002548135781</v>
      </c>
      <c r="W2235">
        <v>0.21945285093777339</v>
      </c>
      <c r="X2235">
        <v>5.2782565958255465E-2</v>
      </c>
      <c r="Y2235">
        <v>9.9260657844077969E-3</v>
      </c>
    </row>
    <row r="2236" spans="1:25" x14ac:dyDescent="0.25">
      <c r="A2236" s="1083"/>
      <c r="B2236" s="1455">
        <v>1986</v>
      </c>
      <c r="C2236" s="1087">
        <v>0.98838531865907309</v>
      </c>
      <c r="D2236" s="1087">
        <v>1.0023762057761474</v>
      </c>
      <c r="E2236" s="1087">
        <v>1.0191860854549482</v>
      </c>
      <c r="F2236" s="1087">
        <v>0.96524478887817433</v>
      </c>
      <c r="G2236" s="1087">
        <v>1.0086912103178001</v>
      </c>
      <c r="H2236" s="1087">
        <v>1.031050901264889</v>
      </c>
      <c r="I2236" s="1087">
        <v>1.0106291562560814</v>
      </c>
      <c r="K2236">
        <v>1.8785100826421808</v>
      </c>
      <c r="L2236">
        <v>0</v>
      </c>
      <c r="M2236">
        <v>3.6426106246809052E-3</v>
      </c>
      <c r="N2236">
        <v>0.36673126530024081</v>
      </c>
      <c r="O2236">
        <v>0.23600361198365272</v>
      </c>
      <c r="P2236">
        <v>1.3363817508896854E-2</v>
      </c>
      <c r="Q2236">
        <v>1.633691915440712E-3</v>
      </c>
      <c r="R2236">
        <v>3.6365367227401309E-3</v>
      </c>
      <c r="S2236">
        <v>0.3788530827748593</v>
      </c>
      <c r="T2236">
        <v>0.38881099210667064</v>
      </c>
      <c r="U2236">
        <v>0</v>
      </c>
      <c r="V2236">
        <v>0.19797221758803163</v>
      </c>
      <c r="W2236">
        <v>0.23083567218349363</v>
      </c>
      <c r="X2236">
        <v>5.4414351007544187E-2</v>
      </c>
      <c r="Y2236">
        <v>9.897454175290166E-3</v>
      </c>
    </row>
    <row r="2237" spans="1:25" x14ac:dyDescent="0.25">
      <c r="A2237" s="1083"/>
      <c r="B2237" s="1455">
        <v>1987</v>
      </c>
      <c r="C2237" s="1087">
        <v>1.001925215433179</v>
      </c>
      <c r="D2237" s="1087">
        <v>0.98375886607763419</v>
      </c>
      <c r="E2237" s="1087">
        <v>1.0200811089062785</v>
      </c>
      <c r="F2237" s="1087">
        <v>0.99682494732435012</v>
      </c>
      <c r="G2237" s="1087">
        <v>1.0239492291387768</v>
      </c>
      <c r="H2237" s="1087">
        <v>0.96715913792852271</v>
      </c>
      <c r="I2237" s="1087">
        <v>1.0005328830659979</v>
      </c>
      <c r="K2237">
        <v>1.8419405446284103</v>
      </c>
      <c r="L2237">
        <v>0</v>
      </c>
      <c r="M2237">
        <v>3.3992514812902427E-3</v>
      </c>
      <c r="N2237">
        <v>0.34312882735750561</v>
      </c>
      <c r="O2237">
        <v>0.24004485860137414</v>
      </c>
      <c r="P2237">
        <v>1.335021846937492E-2</v>
      </c>
      <c r="Q2237">
        <v>1.6252792721661129E-3</v>
      </c>
      <c r="R2237">
        <v>3.3932256347317447E-3</v>
      </c>
      <c r="S2237">
        <v>0.36221533253323263</v>
      </c>
      <c r="T2237">
        <v>0.40153730036952506</v>
      </c>
      <c r="U2237">
        <v>0</v>
      </c>
      <c r="V2237">
        <v>0.20027189807529902</v>
      </c>
      <c r="W2237">
        <v>0.21586034851781341</v>
      </c>
      <c r="X2237">
        <v>5.4677265677466821E-2</v>
      </c>
      <c r="Y2237">
        <v>9.2352416012099429E-3</v>
      </c>
    </row>
    <row r="2238" spans="1:25" x14ac:dyDescent="0.25">
      <c r="A2238" s="1083"/>
      <c r="B2238" s="1455">
        <v>1988</v>
      </c>
      <c r="C2238" s="1087">
        <v>0.97842094771368382</v>
      </c>
      <c r="D2238" s="1087">
        <v>1.0000482912362432</v>
      </c>
      <c r="E2238" s="1087">
        <v>0.98722105168103202</v>
      </c>
      <c r="F2238" s="1087">
        <v>1.0087233862849556</v>
      </c>
      <c r="G2238" s="1087">
        <v>1.0288280023408836</v>
      </c>
      <c r="H2238" s="1087">
        <v>0.99132297128348024</v>
      </c>
      <c r="I2238" s="1087">
        <v>1.014518479081475</v>
      </c>
      <c r="K2238">
        <v>1.872842707073761</v>
      </c>
      <c r="L2238">
        <v>0</v>
      </c>
      <c r="M2238">
        <v>3.782595234029022E-3</v>
      </c>
      <c r="N2238">
        <v>0.34541559313717729</v>
      </c>
      <c r="O2238">
        <v>0.24223718367542871</v>
      </c>
      <c r="P2238">
        <v>1.332228150140395E-2</v>
      </c>
      <c r="Q2238">
        <v>1.5966372110140096E-3</v>
      </c>
      <c r="R2238">
        <v>3.7760385716535086E-3</v>
      </c>
      <c r="S2238">
        <v>0.37686173353318109</v>
      </c>
      <c r="T2238">
        <v>0.40612883084872098</v>
      </c>
      <c r="U2238">
        <v>0</v>
      </c>
      <c r="V2238">
        <v>0.20279414394256154</v>
      </c>
      <c r="W2238">
        <v>0.22179424103545409</v>
      </c>
      <c r="X2238">
        <v>5.2421486629932554E-2</v>
      </c>
      <c r="Y2238">
        <v>1.0277132221260242E-2</v>
      </c>
    </row>
    <row r="2239" spans="1:25" x14ac:dyDescent="0.25">
      <c r="A2239" s="1083"/>
      <c r="B2239" s="1455">
        <v>1989</v>
      </c>
      <c r="C2239" s="1087">
        <v>0.95999995930539095</v>
      </c>
      <c r="D2239" s="1087">
        <v>0.99212217941496172</v>
      </c>
      <c r="E2239" s="1087">
        <v>1.0321745223948451</v>
      </c>
      <c r="F2239" s="1087">
        <v>0.98919047628602641</v>
      </c>
      <c r="G2239" s="1087">
        <v>1.008684300003224</v>
      </c>
      <c r="H2239" s="1087">
        <v>0.98467272371226955</v>
      </c>
      <c r="I2239" s="1087">
        <v>1.0024263370693751</v>
      </c>
      <c r="K2239">
        <v>1.9049988687648298</v>
      </c>
      <c r="L2239">
        <v>0</v>
      </c>
      <c r="M2239">
        <v>3.5066190524286225E-3</v>
      </c>
      <c r="N2239">
        <v>0.36725902994380544</v>
      </c>
      <c r="O2239">
        <v>0.24362733818239102</v>
      </c>
      <c r="P2239">
        <v>1.3730776788773765E-2</v>
      </c>
      <c r="Q2239">
        <v>1.7121554735632094E-3</v>
      </c>
      <c r="R2239">
        <v>3.5005050591455523E-3</v>
      </c>
      <c r="S2239">
        <v>0.38041874055842906</v>
      </c>
      <c r="T2239">
        <v>0.39853582061187459</v>
      </c>
      <c r="U2239">
        <v>0</v>
      </c>
      <c r="V2239">
        <v>0.20385267098400348</v>
      </c>
      <c r="W2239">
        <v>0.22933491195479397</v>
      </c>
      <c r="X2239">
        <v>5.7006317430666496E-2</v>
      </c>
      <c r="Y2239">
        <v>9.5272208298115748E-3</v>
      </c>
    </row>
    <row r="2240" spans="1:25" x14ac:dyDescent="0.25">
      <c r="A2240" s="1083"/>
      <c r="B2240" s="1455">
        <v>1990</v>
      </c>
      <c r="C2240" s="1087">
        <v>0.98831433017643866</v>
      </c>
      <c r="D2240" s="1087">
        <v>0.99873390222958636</v>
      </c>
      <c r="E2240" s="1087">
        <v>1.0088083006777597</v>
      </c>
      <c r="F2240" s="1087">
        <v>0.96996548313357644</v>
      </c>
      <c r="G2240" s="1087">
        <v>1.0035091555750419</v>
      </c>
      <c r="H2240" s="1087">
        <v>1.0085440367276393</v>
      </c>
      <c r="I2240" s="1087">
        <v>0.99328346272038559</v>
      </c>
      <c r="K2240">
        <v>1.8540418361616275</v>
      </c>
      <c r="L2240">
        <v>0</v>
      </c>
      <c r="M2240">
        <v>3.6471811156593226E-3</v>
      </c>
      <c r="N2240">
        <v>0.35574329692113027</v>
      </c>
      <c r="O2240">
        <v>0.23679351726885686</v>
      </c>
      <c r="P2240">
        <v>1.3158266770571025E-2</v>
      </c>
      <c r="Q2240">
        <v>1.6183249162392875E-3</v>
      </c>
      <c r="R2240">
        <v>3.6409671244008782E-3</v>
      </c>
      <c r="S2240">
        <v>0.36890247100590023</v>
      </c>
      <c r="T2240">
        <v>0.39065094461732675</v>
      </c>
      <c r="U2240">
        <v>0</v>
      </c>
      <c r="V2240">
        <v>0.19852334712567193</v>
      </c>
      <c r="W2240">
        <v>0.22536079191874889</v>
      </c>
      <c r="X2240">
        <v>5.3387577340309772E-2</v>
      </c>
      <c r="Y2240">
        <v>9.9095122681292051E-3</v>
      </c>
    </row>
    <row r="2241" spans="1:25" x14ac:dyDescent="0.25">
      <c r="A2241" s="1083"/>
      <c r="B2241" s="1455">
        <v>1991</v>
      </c>
      <c r="C2241" s="1087">
        <v>1.0063843794229708</v>
      </c>
      <c r="D2241" s="1087">
        <v>1.0251151252867627</v>
      </c>
      <c r="E2241" s="1087">
        <v>1.0163299390243872</v>
      </c>
      <c r="F2241" s="1087">
        <v>1.0284431749528398</v>
      </c>
      <c r="G2241" s="1087">
        <v>1.014479593302708</v>
      </c>
      <c r="H2241" s="1087">
        <v>1.0304818227639623</v>
      </c>
      <c r="I2241" s="1087">
        <v>0.99411160818829503</v>
      </c>
      <c r="K2241">
        <v>1.8720839632155735</v>
      </c>
      <c r="L2241">
        <v>0</v>
      </c>
      <c r="M2241">
        <v>3.5525685336315208E-3</v>
      </c>
      <c r="N2241">
        <v>0.35456379930908982</v>
      </c>
      <c r="O2241">
        <v>0.23896030646965633</v>
      </c>
      <c r="P2241">
        <v>1.3476448261449144E-2</v>
      </c>
      <c r="Q2241">
        <v>1.5853534458553011E-3</v>
      </c>
      <c r="R2241">
        <v>3.5466218108040344E-3</v>
      </c>
      <c r="S2241">
        <v>0.36132400068753451</v>
      </c>
      <c r="T2241">
        <v>0.41424996189078855</v>
      </c>
      <c r="U2241">
        <v>0</v>
      </c>
      <c r="V2241">
        <v>0.20024860989703372</v>
      </c>
      <c r="W2241">
        <v>0.22357032186660833</v>
      </c>
      <c r="X2241">
        <v>5.445837268494106E-2</v>
      </c>
      <c r="Y2241">
        <v>9.6527354254428641E-3</v>
      </c>
    </row>
    <row r="2242" spans="1:25" x14ac:dyDescent="0.25">
      <c r="A2242" s="1083"/>
      <c r="B2242" s="1455">
        <v>1992</v>
      </c>
      <c r="C2242" s="1087">
        <v>1.020867229321456</v>
      </c>
      <c r="D2242" s="1087">
        <v>1.0201209842104388</v>
      </c>
      <c r="E2242" s="1087">
        <v>1.0353417238168325</v>
      </c>
      <c r="F2242" s="1087">
        <v>1.0045850008100765</v>
      </c>
      <c r="G2242" s="1087">
        <v>1.0242924845353663</v>
      </c>
      <c r="H2242" s="1087">
        <v>1.0083275526839823</v>
      </c>
      <c r="I2242" s="1087">
        <v>1.0107148915729574</v>
      </c>
      <c r="K2242">
        <v>1.8431081575177326</v>
      </c>
      <c r="L2242">
        <v>0</v>
      </c>
      <c r="M2242">
        <v>3.3046625976916899E-3</v>
      </c>
      <c r="N2242">
        <v>0.34947263524013178</v>
      </c>
      <c r="O2242">
        <v>0.23528658448865686</v>
      </c>
      <c r="P2242">
        <v>1.3460734463797206E-2</v>
      </c>
      <c r="Q2242">
        <v>1.5975372676533812E-3</v>
      </c>
      <c r="R2242">
        <v>3.2990136948687571E-3</v>
      </c>
      <c r="S2242">
        <v>0.35941878150616602</v>
      </c>
      <c r="T2242">
        <v>0.40475786620886556</v>
      </c>
      <c r="U2242">
        <v>0</v>
      </c>
      <c r="V2242">
        <v>0.19709996699016558</v>
      </c>
      <c r="W2242">
        <v>0.21780752795656233</v>
      </c>
      <c r="X2242">
        <v>5.5233344540696498E-2</v>
      </c>
      <c r="Y2242">
        <v>8.9788277578605226E-3</v>
      </c>
    </row>
    <row r="2243" spans="1:25" x14ac:dyDescent="0.25">
      <c r="A2243" s="1083"/>
      <c r="B2243" s="1455">
        <v>1993</v>
      </c>
      <c r="C2243" s="1087">
        <v>1.0051079394878843</v>
      </c>
      <c r="D2243" s="1087">
        <v>1.009442018236818</v>
      </c>
      <c r="E2243" s="1087">
        <v>0.98000378911041608</v>
      </c>
      <c r="F2243" s="1087">
        <v>0.95787289220485683</v>
      </c>
      <c r="G2243" s="1087">
        <v>0.99470470979103731</v>
      </c>
      <c r="H2243" s="1087">
        <v>0.98703345387364483</v>
      </c>
      <c r="I2243" s="1087">
        <v>0.98142612823579456</v>
      </c>
      <c r="K2243">
        <v>1.7822579525015945</v>
      </c>
      <c r="L2243">
        <v>0</v>
      </c>
      <c r="M2243">
        <v>3.7013504755183833E-3</v>
      </c>
      <c r="N2243">
        <v>0.33062155996154152</v>
      </c>
      <c r="O2243">
        <v>0.23192097072080251</v>
      </c>
      <c r="P2243">
        <v>1.2537291803290029E-2</v>
      </c>
      <c r="Q2243">
        <v>1.5364791899070626E-3</v>
      </c>
      <c r="R2243">
        <v>3.6948974017570594E-3</v>
      </c>
      <c r="S2243">
        <v>0.35219824574849895</v>
      </c>
      <c r="T2243">
        <v>0.38561417984572416</v>
      </c>
      <c r="U2243">
        <v>0</v>
      </c>
      <c r="V2243">
        <v>0.19496649639346797</v>
      </c>
      <c r="W2243">
        <v>0.21326632873389845</v>
      </c>
      <c r="X2243">
        <v>4.9546560473241588E-2</v>
      </c>
      <c r="Y2243">
        <v>1.0056292704981576E-2</v>
      </c>
    </row>
    <row r="2244" spans="1:25" x14ac:dyDescent="0.25">
      <c r="A2244" s="1083"/>
      <c r="B2244" s="1455">
        <v>1994</v>
      </c>
      <c r="C2244" s="1087">
        <v>0.99161216160017329</v>
      </c>
      <c r="D2244" s="1087">
        <v>0.95849846997263155</v>
      </c>
      <c r="E2244" s="1087">
        <v>0.96870330703410268</v>
      </c>
      <c r="F2244" s="1087">
        <v>1.0052901488992694</v>
      </c>
      <c r="G2244" s="1087">
        <v>0.99479618453805063</v>
      </c>
      <c r="H2244" s="1087">
        <v>1.0443712495651929</v>
      </c>
      <c r="I2244" s="1087">
        <v>0.98626689122229116</v>
      </c>
      <c r="K2244">
        <v>1.9038039473138753</v>
      </c>
      <c r="L2244">
        <v>0</v>
      </c>
      <c r="M2244">
        <v>4.1774494877149281E-3</v>
      </c>
      <c r="N2244">
        <v>0.36051556862828005</v>
      </c>
      <c r="O2244">
        <v>0.24414938822779114</v>
      </c>
      <c r="P2244">
        <v>1.3158752689196564E-2</v>
      </c>
      <c r="Q2244">
        <v>1.5707024091026853E-3</v>
      </c>
      <c r="R2244">
        <v>4.1706161728272267E-3</v>
      </c>
      <c r="S2244">
        <v>0.37965770187428266</v>
      </c>
      <c r="T2244">
        <v>0.40463554880364094</v>
      </c>
      <c r="U2244">
        <v>0</v>
      </c>
      <c r="V2244">
        <v>0.20319915781205483</v>
      </c>
      <c r="W2244">
        <v>0.23422947020680393</v>
      </c>
      <c r="X2244">
        <v>5.1343447598425657E-2</v>
      </c>
      <c r="Y2244">
        <v>1.1351042379183834E-2</v>
      </c>
    </row>
    <row r="2245" spans="1:25" x14ac:dyDescent="0.25">
      <c r="A2245" s="1083"/>
      <c r="B2245" s="1455">
        <v>1995</v>
      </c>
      <c r="C2245" s="1087">
        <v>1.0072602162510915</v>
      </c>
      <c r="D2245" s="1087">
        <v>1.0428093739702329</v>
      </c>
      <c r="E2245" s="1087">
        <v>0.99000527877056754</v>
      </c>
      <c r="F2245" s="1087">
        <v>0.99516518089180261</v>
      </c>
      <c r="G2245" s="1087">
        <v>0.97093492116406832</v>
      </c>
      <c r="H2245" s="1087">
        <v>0.98065307770545818</v>
      </c>
      <c r="I2245" s="1087">
        <v>0.96385943579797118</v>
      </c>
      <c r="K2245">
        <v>1.776149328222584</v>
      </c>
      <c r="L2245">
        <v>0</v>
      </c>
      <c r="M2245">
        <v>3.5325841299541729E-3</v>
      </c>
      <c r="N2245">
        <v>0.32533053499979037</v>
      </c>
      <c r="O2245">
        <v>0.23300687163665565</v>
      </c>
      <c r="P2245">
        <v>1.2662720063628391E-2</v>
      </c>
      <c r="Q2245">
        <v>1.5297230550460074E-3</v>
      </c>
      <c r="R2245">
        <v>3.5263564779777273E-3</v>
      </c>
      <c r="S2245">
        <v>0.3380286349074243</v>
      </c>
      <c r="T2245">
        <v>0.40068672329146349</v>
      </c>
      <c r="U2245">
        <v>0</v>
      </c>
      <c r="V2245">
        <v>0.19630609193157952</v>
      </c>
      <c r="W2245">
        <v>0.20853124026236386</v>
      </c>
      <c r="X2245">
        <v>5.047543585665111E-2</v>
      </c>
      <c r="Y2245">
        <v>9.5975798699548254E-3</v>
      </c>
    </row>
    <row r="2246" spans="1:25" x14ac:dyDescent="0.25">
      <c r="A2246" s="1083"/>
      <c r="B2246" s="1455">
        <v>1996</v>
      </c>
      <c r="C2246" s="1087">
        <v>0.9774578227574594</v>
      </c>
      <c r="D2246" s="1087">
        <v>1.0201505412599587</v>
      </c>
      <c r="E2246" s="1087">
        <v>0.95175794099358257</v>
      </c>
      <c r="F2246" s="1087">
        <v>1.0224253830362522</v>
      </c>
      <c r="G2246" s="1087">
        <v>0.99391610555456888</v>
      </c>
      <c r="H2246" s="1087">
        <v>1.0082912366386461</v>
      </c>
      <c r="I2246" s="1087">
        <v>1.0045465175873971</v>
      </c>
      <c r="K2246">
        <v>1.8584515648972337</v>
      </c>
      <c r="L2246">
        <v>0</v>
      </c>
      <c r="M2246">
        <v>4.0951160256210185E-3</v>
      </c>
      <c r="N2246">
        <v>0.33552397144312285</v>
      </c>
      <c r="O2246">
        <v>0.24144660423695527</v>
      </c>
      <c r="P2246">
        <v>1.2972795861417195E-2</v>
      </c>
      <c r="Q2246">
        <v>1.5258186732516198E-3</v>
      </c>
      <c r="R2246">
        <v>4.0881175470992214E-3</v>
      </c>
      <c r="S2246">
        <v>0.37215104867457682</v>
      </c>
      <c r="T2246">
        <v>0.411430650370118</v>
      </c>
      <c r="U2246">
        <v>0</v>
      </c>
      <c r="V2246">
        <v>0.2027926775182714</v>
      </c>
      <c r="W2246">
        <v>0.22038378888798701</v>
      </c>
      <c r="X2246">
        <v>4.9104699394435902E-2</v>
      </c>
      <c r="Y2246">
        <v>1.1126508315616868E-2</v>
      </c>
    </row>
    <row r="2247" spans="1:25" x14ac:dyDescent="0.25">
      <c r="A2247" s="1083"/>
      <c r="B2247" s="1455">
        <v>1997</v>
      </c>
      <c r="C2247" s="1087">
        <v>1.0064601532135546</v>
      </c>
      <c r="D2247" s="1087">
        <v>1.0257234229956453</v>
      </c>
      <c r="E2247" s="1087">
        <v>0.99169098598774463</v>
      </c>
      <c r="F2247" s="1087">
        <v>0.9791132526936458</v>
      </c>
      <c r="G2247" s="1087">
        <v>0.98614982063679735</v>
      </c>
      <c r="H2247" s="1087">
        <v>0.98254056807308243</v>
      </c>
      <c r="I2247" s="1087">
        <v>0.98261613213564225</v>
      </c>
      <c r="K2247">
        <v>1.7869715272319668</v>
      </c>
      <c r="L2247">
        <v>0</v>
      </c>
      <c r="M2247">
        <v>3.5621601747072968E-3</v>
      </c>
      <c r="N2247">
        <v>0.32974993985000306</v>
      </c>
      <c r="O2247">
        <v>0.23290376317842934</v>
      </c>
      <c r="P2247">
        <v>1.2726599740786857E-2</v>
      </c>
      <c r="Q2247">
        <v>1.5438730075205884E-3</v>
      </c>
      <c r="R2247">
        <v>3.5559078153995891E-3</v>
      </c>
      <c r="S2247">
        <v>0.34840798609201201</v>
      </c>
      <c r="T2247">
        <v>0.39423361635476439</v>
      </c>
      <c r="U2247">
        <v>0</v>
      </c>
      <c r="V2247">
        <v>0.19590489448649906</v>
      </c>
      <c r="W2247">
        <v>0.21113995864541732</v>
      </c>
      <c r="X2247">
        <v>5.0689139367020589E-2</v>
      </c>
      <c r="Y2247">
        <v>9.6780088688213674E-3</v>
      </c>
    </row>
    <row r="2248" spans="1:25" x14ac:dyDescent="0.25">
      <c r="A2248" s="1083"/>
      <c r="B2248" s="1455">
        <v>1998</v>
      </c>
      <c r="C2248" s="1087">
        <v>0.96594598951136978</v>
      </c>
      <c r="D2248" s="1087">
        <v>1.0356629385306397</v>
      </c>
      <c r="E2248" s="1087">
        <v>0.99804912706720672</v>
      </c>
      <c r="F2248" s="1087">
        <v>1.0218486143436678</v>
      </c>
      <c r="G2248" s="1087">
        <v>1.0170705946455325</v>
      </c>
      <c r="H2248" s="1087">
        <v>0.97132114091548394</v>
      </c>
      <c r="I2248" s="1087">
        <v>1.0076632503947667</v>
      </c>
      <c r="K2248">
        <v>1.8602701595871791</v>
      </c>
      <c r="L2248">
        <v>0</v>
      </c>
      <c r="M2248">
        <v>3.6033439043240403E-3</v>
      </c>
      <c r="N2248">
        <v>0.34009246981622965</v>
      </c>
      <c r="O2248">
        <v>0.24198741922713576</v>
      </c>
      <c r="P2248">
        <v>1.3397098023444885E-2</v>
      </c>
      <c r="Q2248">
        <v>1.6133561642954091E-3</v>
      </c>
      <c r="R2248">
        <v>3.5969381745778245E-3</v>
      </c>
      <c r="S2248">
        <v>0.36830801817413772</v>
      </c>
      <c r="T2248">
        <v>0.41147995591976277</v>
      </c>
      <c r="U2248">
        <v>0</v>
      </c>
      <c r="V2248">
        <v>0.20351202528368739</v>
      </c>
      <c r="W2248">
        <v>0.21689558936066641</v>
      </c>
      <c r="X2248">
        <v>5.3200953366714307E-2</v>
      </c>
      <c r="Y2248">
        <v>9.7896799808502577E-3</v>
      </c>
    </row>
    <row r="2249" spans="1:25" x14ac:dyDescent="0.25">
      <c r="A2249" s="1083"/>
      <c r="B2249" s="1455">
        <v>1999</v>
      </c>
      <c r="C2249" s="1087">
        <v>1.0317513156491602</v>
      </c>
      <c r="D2249" s="1087">
        <v>1.0070526683591812</v>
      </c>
      <c r="E2249" s="1087">
        <v>1.0012628826727379</v>
      </c>
      <c r="F2249" s="1087">
        <v>1.0156783177143303</v>
      </c>
      <c r="G2249" s="1087">
        <v>1.0067386494085553</v>
      </c>
      <c r="H2249" s="1087">
        <v>1.0335177337568695</v>
      </c>
      <c r="I2249" s="1087">
        <v>0.9748888728564169</v>
      </c>
      <c r="K2249">
        <v>1.8331539578433516</v>
      </c>
      <c r="L2249">
        <v>0</v>
      </c>
      <c r="M2249">
        <v>3.6188816261372918E-3</v>
      </c>
      <c r="N2249">
        <v>0.34496431588167936</v>
      </c>
      <c r="O2249">
        <v>0.23605771150881241</v>
      </c>
      <c r="P2249">
        <v>1.3053427933494028E-2</v>
      </c>
      <c r="Q2249">
        <v>1.5327173443305149E-3</v>
      </c>
      <c r="R2249">
        <v>3.6128566116984139E-3</v>
      </c>
      <c r="S2249">
        <v>0.34938531197375838</v>
      </c>
      <c r="T2249">
        <v>0.40901506221488859</v>
      </c>
      <c r="U2249">
        <v>0</v>
      </c>
      <c r="V2249">
        <v>0.19738440511214081</v>
      </c>
      <c r="W2249">
        <v>0.21956119015794878</v>
      </c>
      <c r="X2249">
        <v>5.2372836011555166E-2</v>
      </c>
      <c r="Y2249">
        <v>9.8330047191811185E-3</v>
      </c>
    </row>
    <row r="2250" spans="1:25" x14ac:dyDescent="0.25">
      <c r="A2250" s="1083"/>
      <c r="B2250" s="1455">
        <v>2000</v>
      </c>
      <c r="C2250" s="1087">
        <v>0.97559693080806309</v>
      </c>
      <c r="D2250" s="1087">
        <v>0.96669248156110876</v>
      </c>
      <c r="E2250" s="1087">
        <v>1.0001659425184537</v>
      </c>
      <c r="F2250" s="1087">
        <v>0.99325589060247099</v>
      </c>
      <c r="G2250" s="1087">
        <v>1.0279943909577931</v>
      </c>
      <c r="H2250" s="1087">
        <v>0.97800213893373766</v>
      </c>
      <c r="I2250" s="1087">
        <v>0.99128102749492997</v>
      </c>
      <c r="K2250">
        <v>1.8779342389537976</v>
      </c>
      <c r="L2250">
        <v>0</v>
      </c>
      <c r="M2250">
        <v>3.7111952629182232E-3</v>
      </c>
      <c r="N2250">
        <v>0.35255201570039163</v>
      </c>
      <c r="O2250">
        <v>0.24426462683685493</v>
      </c>
      <c r="P2250">
        <v>1.3339524250714907E-2</v>
      </c>
      <c r="Q2250">
        <v>1.6457534252852621E-3</v>
      </c>
      <c r="R2250">
        <v>3.7047037963125712E-3</v>
      </c>
      <c r="S2250">
        <v>0.37391162548455803</v>
      </c>
      <c r="T2250">
        <v>0.39997891475265618</v>
      </c>
      <c r="U2250">
        <v>0</v>
      </c>
      <c r="V2250">
        <v>0.20363657113508904</v>
      </c>
      <c r="W2250">
        <v>0.22454433775315094</v>
      </c>
      <c r="X2250">
        <v>5.3984378603417177E-2</v>
      </c>
      <c r="Y2250">
        <v>1.0082982478284583E-2</v>
      </c>
    </row>
  </sheetData>
  <mergeCells count="3">
    <mergeCell ref="P12:Q12"/>
    <mergeCell ref="R12:U12"/>
    <mergeCell ref="B11:C11"/>
  </mergeCells>
  <dataValidations count="2">
    <dataValidation type="list" allowBlank="1" showInputMessage="1" showErrorMessage="1" sqref="D11" xr:uid="{00000000-0002-0000-0900-000000000000}">
      <formula1>"Yes, No"</formula1>
    </dataValidation>
    <dataValidation type="list" allowBlank="1" showInputMessage="1" showErrorMessage="1" sqref="R12:U12" xr:uid="{00000000-0002-0000-0900-000001000000}">
      <formula1>$B$224:$B$245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codeName="Sheet9">
    <tabColor indexed="44"/>
    <pageSetUpPr fitToPage="1"/>
  </sheetPr>
  <dimension ref="A1:AG282"/>
  <sheetViews>
    <sheetView workbookViewId="0"/>
  </sheetViews>
  <sheetFormatPr defaultColWidth="11" defaultRowHeight="13.2" x14ac:dyDescent="0.25"/>
  <cols>
    <col min="1" max="1" width="27.33203125" style="53" customWidth="1"/>
    <col min="2" max="2" width="28.6640625" style="53" customWidth="1"/>
    <col min="3" max="3" width="25.33203125" style="53" customWidth="1"/>
    <col min="4" max="4" width="18.6640625" style="53" customWidth="1"/>
    <col min="5" max="5" width="49.6640625" style="53" customWidth="1"/>
    <col min="6" max="6" width="24.88671875" style="53" customWidth="1"/>
    <col min="7" max="7" width="25.6640625" style="53" customWidth="1"/>
    <col min="8" max="8" width="21.109375" style="53" customWidth="1"/>
    <col min="9" max="9" width="29.6640625" style="53" customWidth="1"/>
    <col min="10" max="10" width="27.33203125" style="53" customWidth="1"/>
    <col min="11" max="11" width="25" style="53" customWidth="1"/>
    <col min="12" max="12" width="25.88671875" style="53" customWidth="1"/>
    <col min="13" max="13" width="21" style="53" customWidth="1"/>
    <col min="14" max="14" width="22.6640625" style="53" customWidth="1"/>
    <col min="15" max="15" width="28.33203125" style="53" customWidth="1"/>
    <col min="16" max="16" width="28.88671875" style="53" customWidth="1"/>
    <col min="17" max="17" width="26.88671875" style="53" customWidth="1"/>
    <col min="18" max="18" width="23.5546875" style="53" customWidth="1"/>
    <col min="19" max="19" width="22.109375" style="53" customWidth="1"/>
    <col min="20" max="20" width="20.88671875" style="53" customWidth="1"/>
    <col min="21" max="21" width="21.44140625" style="53" customWidth="1"/>
    <col min="22" max="22" width="18.88671875" style="53" customWidth="1"/>
    <col min="23" max="23" width="20.44140625" style="53" customWidth="1"/>
    <col min="24" max="24" width="19.33203125" style="53" customWidth="1"/>
    <col min="25" max="25" width="14.6640625" style="53" customWidth="1"/>
    <col min="26" max="26" width="15.6640625" style="53" customWidth="1"/>
    <col min="27" max="27" width="15.5546875" style="53" customWidth="1"/>
    <col min="28" max="28" width="15.6640625" style="53" customWidth="1"/>
    <col min="29" max="29" width="16.6640625" style="53" customWidth="1"/>
    <col min="30" max="30" width="14.88671875" style="53" customWidth="1"/>
    <col min="31" max="31" width="15.44140625" style="53" customWidth="1"/>
    <col min="32" max="32" width="11" style="53"/>
    <col min="33" max="33" width="14.88671875" style="53" customWidth="1"/>
    <col min="34" max="16384" width="11" style="53"/>
  </cols>
  <sheetData>
    <row r="1" spans="1:23" ht="15" customHeight="1" thickBot="1" x14ac:dyDescent="0.3">
      <c r="D1" s="41"/>
    </row>
    <row r="2" spans="1:23" ht="15" customHeight="1" thickTop="1" x14ac:dyDescent="0.25">
      <c r="A2" s="589" t="s">
        <v>493</v>
      </c>
      <c r="B2" s="583"/>
      <c r="C2" s="584"/>
      <c r="D2" s="41"/>
    </row>
    <row r="3" spans="1:23" ht="15" customHeight="1" x14ac:dyDescent="0.25">
      <c r="A3" s="590" t="s">
        <v>494</v>
      </c>
      <c r="B3" s="585"/>
      <c r="C3" s="586"/>
      <c r="E3" s="148"/>
      <c r="F3" s="40"/>
      <c r="G3" s="41"/>
    </row>
    <row r="4" spans="1:23" ht="30.75" customHeight="1" x14ac:dyDescent="0.25">
      <c r="A4" s="590" t="s">
        <v>495</v>
      </c>
      <c r="B4" s="585"/>
      <c r="C4" s="586"/>
      <c r="T4" s="151"/>
      <c r="U4" s="134"/>
      <c r="V4" s="134"/>
      <c r="W4" s="134"/>
    </row>
    <row r="5" spans="1:23" ht="26.25" customHeight="1" x14ac:dyDescent="0.25">
      <c r="A5" s="590" t="s">
        <v>79</v>
      </c>
      <c r="B5" s="585"/>
      <c r="C5" s="586"/>
      <c r="T5" s="151"/>
      <c r="U5" s="134"/>
      <c r="V5" s="134"/>
      <c r="W5" s="134"/>
    </row>
    <row r="6" spans="1:23" ht="15" customHeight="1" thickBot="1" x14ac:dyDescent="0.3">
      <c r="A6" s="591" t="s">
        <v>496</v>
      </c>
      <c r="B6" s="587"/>
      <c r="C6" s="588"/>
      <c r="T6" s="151"/>
      <c r="U6" s="134"/>
      <c r="V6" s="134"/>
      <c r="W6" s="134"/>
    </row>
    <row r="7" spans="1:23" ht="15" customHeight="1" thickTop="1" x14ac:dyDescent="0.25">
      <c r="T7" s="151"/>
      <c r="U7" s="134"/>
      <c r="V7" s="134"/>
      <c r="W7" s="134"/>
    </row>
    <row r="8" spans="1:23" ht="15" customHeight="1" x14ac:dyDescent="0.25">
      <c r="T8" s="151"/>
      <c r="U8" s="134"/>
      <c r="V8" s="134"/>
      <c r="W8" s="134"/>
    </row>
    <row r="9" spans="1:23" ht="15" customHeight="1" x14ac:dyDescent="0.25">
      <c r="T9" s="151"/>
      <c r="U9" s="134"/>
      <c r="V9" s="134"/>
      <c r="W9" s="134"/>
    </row>
    <row r="10" spans="1:23" ht="15" customHeight="1" x14ac:dyDescent="0.25">
      <c r="T10" s="151"/>
      <c r="U10" s="134"/>
      <c r="V10" s="134"/>
      <c r="W10" s="134"/>
    </row>
    <row r="11" spans="1:23" ht="15" customHeight="1" x14ac:dyDescent="0.25">
      <c r="T11" s="151"/>
      <c r="U11" s="134"/>
      <c r="V11" s="134"/>
      <c r="W11" s="134"/>
    </row>
    <row r="12" spans="1:23" ht="29.25" customHeight="1" x14ac:dyDescent="0.25">
      <c r="T12" s="151"/>
      <c r="U12" s="134"/>
      <c r="V12" s="134"/>
      <c r="W12" s="134"/>
    </row>
    <row r="13" spans="1:23" ht="15" customHeight="1" x14ac:dyDescent="0.3">
      <c r="A13" s="137"/>
      <c r="B13" s="147"/>
      <c r="C13" s="147"/>
      <c r="D13" s="147"/>
      <c r="E13" s="147"/>
      <c r="F13" s="134"/>
      <c r="G13" s="40"/>
      <c r="H13" s="41"/>
    </row>
    <row r="14" spans="1:23" ht="15" customHeight="1" thickBot="1" x14ac:dyDescent="0.35">
      <c r="A14" s="133"/>
    </row>
    <row r="15" spans="1:23" ht="29.25" customHeight="1" thickTop="1" thickBot="1" x14ac:dyDescent="0.35">
      <c r="A15" s="155" t="s">
        <v>89</v>
      </c>
      <c r="B15" s="150"/>
      <c r="D15" s="1696" t="s">
        <v>65</v>
      </c>
      <c r="E15" s="1697"/>
    </row>
    <row r="16" spans="1:23" ht="40.200000000000003" thickTop="1" x14ac:dyDescent="0.25">
      <c r="A16" s="156" t="s">
        <v>90</v>
      </c>
      <c r="B16" s="157"/>
      <c r="D16" s="317" t="str">
        <f>"Hydrogen Cost (Year "&amp;TEXT(ref_year,"0")&amp;" Real $/kg)"</f>
        <v>Hydrogen Cost (Year 2016 Real $/kg)</v>
      </c>
      <c r="E16" s="1201">
        <f ca="1">H2_price_nominal/INFLATION_FACTOR</f>
        <v>2.0962724885349138</v>
      </c>
    </row>
    <row r="17" spans="1:10" ht="39.6" x14ac:dyDescent="0.25">
      <c r="A17" s="158" t="s">
        <v>91</v>
      </c>
      <c r="B17" s="159">
        <f ca="1">output_kgyear</f>
        <v>203320476</v>
      </c>
      <c r="D17" s="138" t="s">
        <v>936</v>
      </c>
      <c r="E17" s="1072">
        <f ca="1">+SUM(X57:AB57)/AC57*(1+inflation_rate)^construct</f>
        <v>2.0571859553826437</v>
      </c>
    </row>
    <row r="18" spans="1:10" ht="26.4" x14ac:dyDescent="0.25">
      <c r="A18" s="158" t="s">
        <v>92</v>
      </c>
      <c r="B18" s="159">
        <f ca="1">B17*H2_LHV_MJ_p_kg/1000/mmBTU_to_GJ</f>
        <v>23167286.74778384</v>
      </c>
      <c r="D18" s="139" t="s">
        <v>984</v>
      </c>
      <c r="E18" s="140">
        <f ca="1">((E20+1)/(1+B30))-1</f>
        <v>8.0000000000000293E-2</v>
      </c>
    </row>
    <row r="19" spans="1:10" ht="28.5" customHeight="1" x14ac:dyDescent="0.25">
      <c r="A19" s="158" t="s">
        <v>93</v>
      </c>
      <c r="B19" s="159">
        <f ca="1">B17*H2_LHV_MJ_p_kg</f>
        <v>24441487518.911949</v>
      </c>
      <c r="C19" s="136"/>
      <c r="D19" s="139" t="s">
        <v>992</v>
      </c>
      <c r="E19" s="140">
        <f ca="1">((E21+1)/(1+B30))-1</f>
        <v>9.2091571012375528E-2</v>
      </c>
    </row>
    <row r="20" spans="1:10" ht="15" customHeight="1" x14ac:dyDescent="0.25">
      <c r="A20" s="160" t="s">
        <v>94</v>
      </c>
      <c r="B20" s="159">
        <f>design_cap</f>
        <v>618936</v>
      </c>
      <c r="D20" s="141" t="s">
        <v>983</v>
      </c>
      <c r="E20" s="142">
        <f ca="1">IRR(AA65:AA113)</f>
        <v>0.10052000000000016</v>
      </c>
    </row>
    <row r="21" spans="1:10" ht="15" customHeight="1" x14ac:dyDescent="0.25">
      <c r="A21" s="160" t="s">
        <v>95</v>
      </c>
      <c r="B21" s="159">
        <f>B20*365</f>
        <v>225911640</v>
      </c>
      <c r="D21" s="141" t="s">
        <v>991</v>
      </c>
      <c r="E21" s="142">
        <f ca="1">IRR(AC65:AC113)</f>
        <v>0.11284131086161064</v>
      </c>
    </row>
    <row r="22" spans="1:10" ht="15" customHeight="1" x14ac:dyDescent="0.25">
      <c r="A22" s="161" t="s">
        <v>96</v>
      </c>
      <c r="B22" s="162">
        <f ca="1">cap_factor</f>
        <v>0.9</v>
      </c>
      <c r="D22" s="144" t="s">
        <v>66</v>
      </c>
      <c r="E22" s="145">
        <f ca="1">(real_irr*(1+real_irr)^anal_period)/(((1+real_irr)^anal_period)-1)</f>
        <v>8.8827433387272267E-2</v>
      </c>
    </row>
    <row r="23" spans="1:10" ht="15" customHeight="1" x14ac:dyDescent="0.25">
      <c r="A23" s="160"/>
      <c r="B23" s="163"/>
      <c r="D23" s="144" t="s">
        <v>76</v>
      </c>
      <c r="E23" s="145">
        <f ca="1">(nominal_irr*(1+nominal_irr)^anal_period)/(((1+nominal_irr)^anal_period)-1)</f>
        <v>0.10653967703229236</v>
      </c>
    </row>
    <row r="24" spans="1:10" ht="24.75" customHeight="1" x14ac:dyDescent="0.25">
      <c r="A24" s="156" t="s">
        <v>97</v>
      </c>
      <c r="B24" s="157"/>
      <c r="D24" s="141" t="s">
        <v>77</v>
      </c>
      <c r="E24" s="145">
        <f ca="1">(E22*(1-total_tax_rate*INDEX(Depreciation!B12:H37,MATCH("NPV - Real IRR",Depreciation!B12:B37,0),MATCH(depr_length,recovery_period,0))))/(1-total_tax_rate)</f>
        <v>0.10402993473107409</v>
      </c>
    </row>
    <row r="25" spans="1:10" ht="15" customHeight="1" x14ac:dyDescent="0.25">
      <c r="A25" s="139" t="s">
        <v>98</v>
      </c>
      <c r="B25" s="164">
        <f>startup_year</f>
        <v>2015</v>
      </c>
      <c r="D25" s="144" t="s">
        <v>78</v>
      </c>
      <c r="E25" s="145">
        <f ca="1">(E23*(1-total_tax_rate*INDEX(Depreciation!B12:H37,MATCH("NPV - Nominal IRR",Depreciation!B12:B37,0),MATCH(depr_length,recovery_period,0))))/(1-total_tax_rate)</f>
        <v>0.1271849394994744</v>
      </c>
    </row>
    <row r="26" spans="1:10" ht="15" customHeight="1" thickBot="1" x14ac:dyDescent="0.3">
      <c r="A26" s="160" t="s">
        <v>99</v>
      </c>
      <c r="B26" s="154">
        <f ca="1">real_irr</f>
        <v>0.08</v>
      </c>
      <c r="C26" s="165"/>
      <c r="D26" s="146" t="s">
        <v>249</v>
      </c>
      <c r="E26" s="1071">
        <f ca="1">NPV(nominal_irr,AA65:AA113)</f>
        <v>2.3052036248796602E-6</v>
      </c>
    </row>
    <row r="27" spans="1:10" ht="15" customHeight="1" thickTop="1" x14ac:dyDescent="0.25">
      <c r="A27" s="139" t="s">
        <v>989</v>
      </c>
      <c r="B27" s="154">
        <f ca="1">((1+B26)*(1+B30))-1</f>
        <v>0.10051999999999994</v>
      </c>
      <c r="C27" s="165"/>
      <c r="D27" s="166"/>
    </row>
    <row r="28" spans="1:10" ht="15" customHeight="1" x14ac:dyDescent="0.25">
      <c r="A28" s="160" t="s">
        <v>100</v>
      </c>
      <c r="B28" s="164">
        <f>anal_period</f>
        <v>30</v>
      </c>
      <c r="C28" s="165"/>
      <c r="D28" s="166"/>
      <c r="F28" s="166"/>
    </row>
    <row r="29" spans="1:10" ht="15" customHeight="1" x14ac:dyDescent="0.25">
      <c r="A29" s="160" t="s">
        <v>101</v>
      </c>
      <c r="B29" s="164">
        <f>plant_life</f>
        <v>30</v>
      </c>
      <c r="C29" s="165"/>
      <c r="D29" s="166"/>
    </row>
    <row r="30" spans="1:10" ht="15" customHeight="1" x14ac:dyDescent="0.25">
      <c r="A30" s="160" t="s">
        <v>102</v>
      </c>
      <c r="B30" s="154">
        <f>inflation_rate</f>
        <v>1.9E-2</v>
      </c>
      <c r="F30" s="1070"/>
      <c r="G30" s="1069"/>
      <c r="H30" s="1069"/>
      <c r="I30" s="1069"/>
      <c r="J30" s="1069"/>
    </row>
    <row r="31" spans="1:10" ht="15" customHeight="1" x14ac:dyDescent="0.25">
      <c r="A31" s="160" t="s">
        <v>103</v>
      </c>
      <c r="B31" s="167">
        <f>100%-equity</f>
        <v>0.6</v>
      </c>
    </row>
    <row r="32" spans="1:10" ht="15" customHeight="1" x14ac:dyDescent="0.25">
      <c r="A32" s="139" t="s">
        <v>104</v>
      </c>
      <c r="B32" s="168">
        <f>equity</f>
        <v>0.4</v>
      </c>
    </row>
    <row r="33" spans="1:12" ht="15" customHeight="1" x14ac:dyDescent="0.25">
      <c r="A33" s="139" t="s">
        <v>105</v>
      </c>
      <c r="B33" s="154">
        <f>total_tax_rate</f>
        <v>0.25739999999999996</v>
      </c>
    </row>
    <row r="34" spans="1:12" ht="15" customHeight="1" x14ac:dyDescent="0.25">
      <c r="A34" s="139"/>
      <c r="B34" s="169"/>
    </row>
    <row r="35" spans="1:12" ht="28.5" customHeight="1" x14ac:dyDescent="0.25">
      <c r="A35" s="170" t="s">
        <v>106</v>
      </c>
      <c r="B35" s="171"/>
    </row>
    <row r="36" spans="1:12" ht="15" customHeight="1" x14ac:dyDescent="0.25">
      <c r="A36" s="160" t="s">
        <v>107</v>
      </c>
      <c r="B36" s="164">
        <f>debt_period</f>
        <v>0</v>
      </c>
    </row>
    <row r="37" spans="1:12" ht="15" customHeight="1" x14ac:dyDescent="0.25">
      <c r="A37" s="160" t="s">
        <v>108</v>
      </c>
      <c r="B37" s="172">
        <f>debt_interest</f>
        <v>3.6999999999999998E-2</v>
      </c>
      <c r="K37" s="1069"/>
    </row>
    <row r="38" spans="1:12" ht="15" customHeight="1" x14ac:dyDescent="0.25">
      <c r="A38" s="139"/>
      <c r="B38" s="157"/>
      <c r="K38" s="1069"/>
    </row>
    <row r="39" spans="1:12" ht="28.5" customHeight="1" x14ac:dyDescent="0.25">
      <c r="A39" s="170" t="s">
        <v>109</v>
      </c>
      <c r="B39" s="157"/>
      <c r="F39" s="1069"/>
      <c r="G39" s="1069"/>
      <c r="H39" s="1069"/>
      <c r="I39" s="1069"/>
      <c r="J39" s="1069"/>
      <c r="K39" s="1069"/>
      <c r="L39" s="1069"/>
    </row>
    <row r="40" spans="1:12" ht="15" customHeight="1" x14ac:dyDescent="0.25">
      <c r="A40" s="139" t="s">
        <v>110</v>
      </c>
      <c r="B40" s="164">
        <f>construct</f>
        <v>3</v>
      </c>
      <c r="G40" s="1069"/>
      <c r="H40" s="1069"/>
    </row>
    <row r="41" spans="1:12" ht="15" customHeight="1" x14ac:dyDescent="0.25">
      <c r="A41" s="139" t="s">
        <v>111</v>
      </c>
      <c r="B41" s="162">
        <f>start_time</f>
        <v>0.5</v>
      </c>
    </row>
    <row r="42" spans="1:12" ht="15" customHeight="1" x14ac:dyDescent="0.25">
      <c r="A42" s="158" t="s">
        <v>112</v>
      </c>
      <c r="B42" s="167">
        <f>percnt_revs</f>
        <v>0.5</v>
      </c>
    </row>
    <row r="43" spans="1:12" ht="15" customHeight="1" x14ac:dyDescent="0.25">
      <c r="A43" s="158" t="s">
        <v>113</v>
      </c>
      <c r="B43" s="167">
        <f>percnt_var</f>
        <v>0.75</v>
      </c>
    </row>
    <row r="44" spans="1:12" ht="15" customHeight="1" x14ac:dyDescent="0.25">
      <c r="A44" s="158" t="s">
        <v>114</v>
      </c>
      <c r="B44" s="167">
        <f>percnt_fixed</f>
        <v>0.75</v>
      </c>
    </row>
    <row r="45" spans="1:12" ht="15" customHeight="1" x14ac:dyDescent="0.25">
      <c r="A45" s="139"/>
      <c r="B45" s="157"/>
    </row>
    <row r="46" spans="1:12" ht="28.5" customHeight="1" x14ac:dyDescent="0.25">
      <c r="A46" s="170" t="s">
        <v>115</v>
      </c>
      <c r="B46" s="157"/>
      <c r="F46" s="173"/>
    </row>
    <row r="47" spans="1:12" ht="15" customHeight="1" x14ac:dyDescent="0.25">
      <c r="A47" s="139" t="s">
        <v>389</v>
      </c>
      <c r="B47" s="174" t="str">
        <f>depr_type</f>
        <v>MACRS</v>
      </c>
      <c r="F47" s="173"/>
    </row>
    <row r="48" spans="1:12" ht="15" customHeight="1" x14ac:dyDescent="0.25">
      <c r="A48" s="139" t="s">
        <v>53</v>
      </c>
      <c r="B48" s="164">
        <f>depr_length</f>
        <v>20</v>
      </c>
      <c r="F48" s="173"/>
    </row>
    <row r="49" spans="1:32" ht="15" customHeight="1" x14ac:dyDescent="0.25">
      <c r="A49" s="139"/>
      <c r="B49" s="157"/>
      <c r="F49" s="173"/>
    </row>
    <row r="50" spans="1:32" ht="28.5" customHeight="1" x14ac:dyDescent="0.25">
      <c r="A50" s="170" t="s">
        <v>116</v>
      </c>
      <c r="B50" s="157"/>
    </row>
    <row r="51" spans="1:32" ht="30.75" customHeight="1" x14ac:dyDescent="0.25">
      <c r="A51" s="138" t="s">
        <v>980</v>
      </c>
      <c r="B51" s="175">
        <f ca="1">(total_cap-non_dep_cap)*INFLATION_FACTOR</f>
        <v>1733314181.3279178</v>
      </c>
      <c r="F51" s="173"/>
    </row>
    <row r="52" spans="1:32" ht="30" customHeight="1" thickBot="1" x14ac:dyDescent="0.3">
      <c r="A52" s="138" t="s">
        <v>982</v>
      </c>
      <c r="B52" s="175">
        <f>non_dep_cap*INFLATION_FACTOR</f>
        <v>1010964.0785863386</v>
      </c>
      <c r="F52" s="173"/>
    </row>
    <row r="53" spans="1:32" ht="15" customHeight="1" thickBot="1" x14ac:dyDescent="0.35">
      <c r="A53" s="138" t="s">
        <v>117</v>
      </c>
      <c r="B53" s="175">
        <f ca="1">SUM(B51:B52)</f>
        <v>1734325145.4065042</v>
      </c>
      <c r="F53" s="173"/>
      <c r="W53" s="1698" t="s">
        <v>1174</v>
      </c>
      <c r="X53" s="1699"/>
      <c r="Y53" s="1120"/>
      <c r="Z53" s="1120"/>
      <c r="AA53" s="1120"/>
      <c r="AB53" s="1120"/>
      <c r="AC53" s="1121"/>
    </row>
    <row r="54" spans="1:32" ht="15" customHeight="1" thickTop="1" x14ac:dyDescent="0.25">
      <c r="A54" s="138" t="s">
        <v>985</v>
      </c>
      <c r="B54" s="175">
        <f ca="1">decom_percent*depr_cap_infl</f>
        <v>173331418.13279179</v>
      </c>
      <c r="F54" s="173"/>
      <c r="W54" s="1122"/>
      <c r="X54" s="1115" t="s">
        <v>83</v>
      </c>
      <c r="Y54" s="1116" t="s">
        <v>1124</v>
      </c>
      <c r="Z54" s="1116" t="s">
        <v>1125</v>
      </c>
      <c r="AA54" s="1115" t="s">
        <v>1126</v>
      </c>
      <c r="AB54" s="1116" t="s">
        <v>1131</v>
      </c>
      <c r="AC54" s="1123" t="s">
        <v>1127</v>
      </c>
    </row>
    <row r="55" spans="1:32" ht="15" customHeight="1" x14ac:dyDescent="0.25">
      <c r="A55" s="138" t="s">
        <v>994</v>
      </c>
      <c r="B55" s="175">
        <f ca="1">salvage_perct*B53</f>
        <v>173432514.54065043</v>
      </c>
      <c r="F55" s="173"/>
      <c r="W55" s="1124" t="s">
        <v>1122</v>
      </c>
      <c r="X55" s="1117">
        <f ca="1">-SUM(H116:K116)</f>
        <v>1020507717.7227796</v>
      </c>
      <c r="Y55" s="1117">
        <f ca="1">-U116</f>
        <v>794404964.69635177</v>
      </c>
      <c r="Z55" s="1117">
        <f ca="1">-Z116</f>
        <v>45853440.225274391</v>
      </c>
      <c r="AA55" s="1117">
        <f ca="1">-SUM(L116:S116)</f>
        <v>2576299264.810771</v>
      </c>
      <c r="AB55" s="1117">
        <f ca="1">+AF116</f>
        <v>0</v>
      </c>
      <c r="AC55" s="1125">
        <f ca="1">+AE116</f>
        <v>1922044704.2434406</v>
      </c>
    </row>
    <row r="56" spans="1:32" ht="15" customHeight="1" x14ac:dyDescent="0.25">
      <c r="A56" s="160" t="s">
        <v>986</v>
      </c>
      <c r="B56" s="60">
        <f ca="1">fixed*INFLATION_FACTOR</f>
        <v>89959771.814129815</v>
      </c>
      <c r="F56" s="173"/>
      <c r="W56" s="1124" t="s">
        <v>1132</v>
      </c>
      <c r="X56" s="1118">
        <v>1</v>
      </c>
      <c r="Y56" s="1118">
        <f>-total_tax_rate</f>
        <v>-0.25739999999999996</v>
      </c>
      <c r="Z56" s="1118">
        <v>1</v>
      </c>
      <c r="AA56" s="1118">
        <f>1-total_tax_rate</f>
        <v>0.74260000000000004</v>
      </c>
      <c r="AB56" s="1118">
        <v>-1</v>
      </c>
      <c r="AC56" s="1126">
        <f>1-total_tax_rate</f>
        <v>0.74260000000000004</v>
      </c>
    </row>
    <row r="57" spans="1:32" ht="15" customHeight="1" x14ac:dyDescent="0.25">
      <c r="A57" s="160" t="s">
        <v>987</v>
      </c>
      <c r="B57" s="60">
        <f>total_other_raw*INFLATION_FACTOR</f>
        <v>1580962.2938878478</v>
      </c>
      <c r="F57" s="173"/>
      <c r="W57" s="1124" t="s">
        <v>1123</v>
      </c>
      <c r="X57" s="1119">
        <f t="shared" ref="X57:Z57" ca="1" si="0">+X55*X56</f>
        <v>1020507717.7227796</v>
      </c>
      <c r="Y57" s="1119">
        <f t="shared" ca="1" si="0"/>
        <v>-204479837.9128409</v>
      </c>
      <c r="Z57" s="1119">
        <f t="shared" ca="1" si="0"/>
        <v>45853440.225274391</v>
      </c>
      <c r="AA57" s="1119">
        <f ca="1">+AA55*AA56</f>
        <v>1913159834.0484786</v>
      </c>
      <c r="AB57" s="1119">
        <f ca="1">+AB55*AB56</f>
        <v>0</v>
      </c>
      <c r="AC57" s="1127">
        <f ca="1">+AC55*AC56</f>
        <v>1427310397.3711791</v>
      </c>
    </row>
    <row r="58" spans="1:32" ht="45.75" customHeight="1" thickBot="1" x14ac:dyDescent="0.3">
      <c r="A58" s="176" t="s">
        <v>988</v>
      </c>
      <c r="B58" s="62">
        <f ca="1">(var_misc+royalties+operator_profit+CO2_OandMcost+waste_treat+solidwaste_treat)*INFLATION_FACTOR</f>
        <v>30228938.819279622</v>
      </c>
      <c r="F58" s="173"/>
      <c r="W58" s="1128"/>
      <c r="X58" s="1129"/>
      <c r="Y58" s="1129"/>
      <c r="Z58" s="1129"/>
      <c r="AA58" s="1129"/>
      <c r="AB58" s="1129"/>
      <c r="AC58" s="1130"/>
    </row>
    <row r="59" spans="1:32" ht="15" customHeight="1" thickTop="1" x14ac:dyDescent="0.25">
      <c r="F59" s="173"/>
      <c r="W59" s="1131" t="s">
        <v>1121</v>
      </c>
      <c r="X59" s="1072">
        <f ca="1">+(1+real_irr)*(1+inflation_rate)-1</f>
        <v>0.10051999999999994</v>
      </c>
      <c r="Y59" s="1129"/>
      <c r="Z59" s="1129"/>
      <c r="AA59" s="1129"/>
      <c r="AB59" s="1129"/>
      <c r="AC59" s="1130"/>
    </row>
    <row r="60" spans="1:32" ht="15" customHeight="1" thickBot="1" x14ac:dyDescent="0.3">
      <c r="F60" s="173"/>
      <c r="W60" s="1132" t="str">
        <f>+D16</f>
        <v>Hydrogen Cost (Year 2016 Real $/kg)</v>
      </c>
      <c r="X60" s="1133">
        <f ca="1">+SUM(X57:AB57)/AC57*(1+inflation_rate)^construct/INFLATION_FACTOR</f>
        <v>2.0962724885349138</v>
      </c>
      <c r="Y60" s="1134"/>
      <c r="Z60" s="1134"/>
      <c r="AA60" s="1134"/>
      <c r="AB60" s="1134"/>
      <c r="AC60" s="1135"/>
    </row>
    <row r="61" spans="1:32" ht="39.75" customHeight="1" x14ac:dyDescent="0.25">
      <c r="F61" s="173"/>
    </row>
    <row r="62" spans="1:32" ht="17.25" customHeight="1" thickBot="1" x14ac:dyDescent="0.3">
      <c r="F62" s="173"/>
    </row>
    <row r="63" spans="1:32" ht="29.25" customHeight="1" thickTop="1" thickBot="1" x14ac:dyDescent="0.35">
      <c r="A63" s="49" t="s">
        <v>118</v>
      </c>
      <c r="B63" s="177"/>
      <c r="C63" s="177"/>
      <c r="D63" s="177"/>
      <c r="E63" s="177"/>
      <c r="F63" s="177"/>
      <c r="G63" s="177"/>
      <c r="H63" s="1159"/>
      <c r="I63" s="1159"/>
      <c r="J63" s="1159"/>
      <c r="K63" s="1159"/>
      <c r="L63" s="1159"/>
      <c r="M63" s="1159"/>
      <c r="N63" s="1159"/>
      <c r="O63" s="1159"/>
      <c r="P63" s="1159"/>
      <c r="Q63" s="1159"/>
      <c r="R63" s="1159"/>
      <c r="S63" s="1159"/>
      <c r="T63" s="1159"/>
      <c r="U63" s="1159"/>
      <c r="V63" s="1159"/>
      <c r="W63" s="1159"/>
      <c r="X63" s="1159"/>
      <c r="Y63" s="1159"/>
      <c r="Z63" s="1159"/>
      <c r="AA63" s="1159"/>
      <c r="AB63" s="1159"/>
      <c r="AC63" s="1160"/>
    </row>
    <row r="64" spans="1:32" ht="67.2" thickTop="1" thickBot="1" x14ac:dyDescent="0.3">
      <c r="A64" s="1136" t="s">
        <v>1129</v>
      </c>
      <c r="B64" s="1137" t="s">
        <v>40</v>
      </c>
      <c r="C64" s="1137" t="s">
        <v>56</v>
      </c>
      <c r="D64" s="1137" t="s">
        <v>119</v>
      </c>
      <c r="E64" s="1138" t="s">
        <v>120</v>
      </c>
      <c r="F64" s="1138" t="s">
        <v>1134</v>
      </c>
      <c r="G64" s="1139" t="s">
        <v>121</v>
      </c>
      <c r="H64" s="1161" t="s">
        <v>122</v>
      </c>
      <c r="I64" s="1162" t="s">
        <v>123</v>
      </c>
      <c r="J64" s="1162" t="s">
        <v>1128</v>
      </c>
      <c r="K64" s="1162" t="s">
        <v>135</v>
      </c>
      <c r="L64" s="1162" t="s">
        <v>994</v>
      </c>
      <c r="M64" s="1162" t="s">
        <v>84</v>
      </c>
      <c r="N64" s="1162" t="s">
        <v>136</v>
      </c>
      <c r="O64" s="1162" t="s">
        <v>1133</v>
      </c>
      <c r="P64" s="1162" t="s">
        <v>137</v>
      </c>
      <c r="Q64" s="1162" t="s">
        <v>1135</v>
      </c>
      <c r="R64" s="1162" t="s">
        <v>138</v>
      </c>
      <c r="S64" s="1162" t="s">
        <v>139</v>
      </c>
      <c r="T64" s="1162" t="s">
        <v>140</v>
      </c>
      <c r="U64" s="1162" t="s">
        <v>60</v>
      </c>
      <c r="V64" s="1162" t="s">
        <v>141</v>
      </c>
      <c r="W64" s="1162" t="s">
        <v>142</v>
      </c>
      <c r="X64" s="1162" t="s">
        <v>144</v>
      </c>
      <c r="Y64" s="1162" t="s">
        <v>145</v>
      </c>
      <c r="Z64" s="1162" t="s">
        <v>45</v>
      </c>
      <c r="AA64" s="1163" t="s">
        <v>146</v>
      </c>
      <c r="AB64" s="1163" t="s">
        <v>147</v>
      </c>
      <c r="AC64" s="1141" t="s">
        <v>148</v>
      </c>
      <c r="AD64" s="178"/>
      <c r="AE64" s="1140" t="s">
        <v>1120</v>
      </c>
      <c r="AF64" s="1141" t="s">
        <v>1130</v>
      </c>
    </row>
    <row r="65" spans="1:32" ht="13.8" thickTop="1" x14ac:dyDescent="0.25">
      <c r="A65" s="179">
        <f>startup_year-construct</f>
        <v>2012</v>
      </c>
      <c r="B65" s="180">
        <v>1</v>
      </c>
      <c r="C65" s="180">
        <f>IF(construct=0,1,-construct)</f>
        <v>-3</v>
      </c>
      <c r="D65" s="180">
        <f t="shared" ref="D65:D96" si="1">IF(C65="","",IF(C65&lt;=plant_life,C65,IF(D64=plant_life,1,D64+1)))</f>
        <v>-3</v>
      </c>
      <c r="E65" s="181">
        <f t="shared" ref="E65:E96" si="2">IF(C65="","",(1+inflation_rate)^(A65-$B$25))</f>
        <v>0.94509931410277337</v>
      </c>
      <c r="F65" s="182">
        <f t="shared" ref="F65:F96" si="3">IF(C65="","",IF(C65&lt;0,0,IF(AND(C65=1,start_time&lt;1),E65*(H2_price_nominal*output_kgyear*start_time*percnt_revs+H2_price_nominal*output_kgyear*(1-start_time)),IF(C65&lt;=start_time,H2_price_nominal*E65*output_kgyear*percnt_revs,H2_price_nominal*output_kgyear*E65))))</f>
        <v>0</v>
      </c>
      <c r="G65" s="1155">
        <f ca="1">-$B$31*depr_cap_infl*E65</f>
        <v>-982892426.33857512</v>
      </c>
      <c r="H65" s="1164">
        <f ca="1">IF(C65&lt;0,-E65*equity*depr_cap_infl*percent_cap1,IF(C65=1,-E65*equity*depr_cap_infl,0))</f>
        <v>-262104647.0236201</v>
      </c>
      <c r="I65" s="183" t="str">
        <f>IF(OR(C65&lt;0,C65=""),"",-E65*INDEX('Replacement Costs'!$A$16:$H$57,MATCH(C65,'Replacement Costs'!$C$16:$C$57,0),MATCH("Total Yearly Replacement Costs",'Replacement Costs'!$A$16:$H$16,0)))</f>
        <v/>
      </c>
      <c r="J65" s="183">
        <f>IF(AND(C65&gt;=1,C65&lt;anal_period),WorkingCap*SUM(N65:R65)-WorkingCap*SUM(N64:R64),0)</f>
        <v>0</v>
      </c>
      <c r="K65" s="183">
        <f t="shared" ref="K65:K96" si="4">IF(C65=-construct,-E65*non_dep_infl,"")</f>
        <v>-955461.45725449082</v>
      </c>
      <c r="L65" s="183" t="str">
        <f t="shared" ref="L65:L96" si="5">IF(C65=anal_period,salvage*E65,"")</f>
        <v/>
      </c>
      <c r="M65" s="183" t="str">
        <f t="shared" ref="M65:M96" si="6">IF(D65=plant_life,-E65*decom,"")</f>
        <v/>
      </c>
      <c r="N65" s="183">
        <f t="shared" ref="N65:N96" si="7">IF(C65="","",IF(C65&lt;0,0,IF(AND(C65=1,start_time&lt;1),-(inflated_fixed*percnt_fixed*start_time+(inflated_fixed*(1-start_time))),IF(C65&lt;=start_time,-inflated_fixed*percnt_fixed*E65,-inflated_fixed*E65))))</f>
        <v>0</v>
      </c>
      <c r="O65" s="183">
        <f t="shared" ref="O65:O96" si="8">IF(C65="","",IF(C65&lt;0,0,IF(AND(C65=1,start_time&lt;1),-(SUM(B139:E139)*output_kgyear*E65*percnt_var*start_time+SUM(B139:E139)*output_kgyear*E65*(1-start_time)),IF(C65&lt;=start_time,-SUM(B139:E139)*output_kgyear*E65*percnt_var,-SUM(B139:E139)*output_kgyear*E65))))</f>
        <v>0</v>
      </c>
      <c r="P65" s="183">
        <f t="shared" ref="P65:P96" si="9">IF(C65="","",IF(C65&lt;0,0,IF(AND(C65=1,start_time&lt;1),-(inflated_otherraw*E65*percnt_var*start_time+inflated_otherraw*E65*(1-start_time)),IF(C65&lt;=start_time,-inflated_otherraw*E65*percnt_var,-(inflated_otherraw*E65)))))</f>
        <v>0</v>
      </c>
      <c r="Q65" s="183">
        <f t="shared" ref="Q65:Q109" si="10">IF(C65="","",IF(C65&lt;0,0,IF(AND(C65=1,start_time&lt;1),SUM(K139:N139,T139:V139)*output_kgyear*E65*percnt_revs*start_time+SUM(K139:N139,T139:V139)*output_kgyear*E65*(1-start_time),IF(C65&lt;=start_time,SUM(K139:N139,T139:V139)*output_kgyear*E65*percnt_revs,SUM(K139:N139,T139:V139)*output_kgyear*E65))))</f>
        <v>0</v>
      </c>
      <c r="R65" s="183">
        <f t="shared" ref="R65:R96" si="11">IF(C65="","",IF(C65&lt;0,0,IF(AND(C65=1,start_time&lt;1),-((SUM(F139:J139,P139:R139)*output_kgyear+inflated_othervar)*E65*percnt_var*start_time+(SUM(F139:J139,P139:R139)*output_kgyear+inflated_othervar)*E65*(1-start_time)),IF(C65&lt;=start_time,-(SUM(F139:J139,P139:R139)*output_kgyear+inflated_othervar)*E65*percnt_var,-E65*(SUM(F139:J139,P139:R139)*output_kgyear+inflated_othervar)))))</f>
        <v>0</v>
      </c>
      <c r="S65" s="183">
        <f ca="1">IF(B65="","",IF($B$31=0,"",-'Debt Financing Calculations'!E14))</f>
        <v>-36367019.774527282</v>
      </c>
      <c r="T65" s="183">
        <f t="shared" ref="T65:T96" ca="1" si="12">IF(C65="","",F65+SUM(L65:S65))</f>
        <v>-36367019.774527282</v>
      </c>
      <c r="U65" s="183">
        <f>IF(C65="","",IF(C65&lt;-1,0,IF(C65=anal_period,-LOOKUP(C65,depr_yr,depr_cost)-Depreciation!$C$141-Depreciation!$B$166,-LOOKUP(C65,depr_yr,depr_cost))))</f>
        <v>0</v>
      </c>
      <c r="V65" s="183">
        <f t="shared" ref="V65:V96" ca="1" si="13">IF(C65="","",SUM(T65:U65))</f>
        <v>-36367019.774527282</v>
      </c>
      <c r="W65" s="184">
        <f t="shared" ref="W65:W96" si="14">IF(C65="","",$B$33)</f>
        <v>0.25739999999999996</v>
      </c>
      <c r="X65" s="183">
        <f t="shared" ref="X65:X96" ca="1" si="15">IF(C65="","",tax_credit-(V65*W65 +Upstream_CO2_taxpYear + Proc_CO2_taxpYear))</f>
        <v>9360870.8899633214</v>
      </c>
      <c r="Y65" s="183">
        <f t="shared" ref="Y65:Y96" ca="1" si="16">IF(C65="","",SUM(T65,X65))</f>
        <v>-27006148.88456396</v>
      </c>
      <c r="Z65" s="183">
        <f>IF(C65="","",IF($B$31=0,"",-'Debt Financing Calculations'!F14))</f>
        <v>0</v>
      </c>
      <c r="AA65" s="183">
        <f t="shared" ref="AA65:AA96" ca="1" si="17">IF(C65="","",SUM(H65,I65,J65,K65,T65,X65,Z65))</f>
        <v>-290066257.36543852</v>
      </c>
      <c r="AB65" s="183">
        <f ca="1">AA65</f>
        <v>-290066257.36543852</v>
      </c>
      <c r="AC65" s="1142">
        <f t="shared" ref="AC65:AC96" ca="1" si="18">IF(C65="","",SUM(H65,I65,J65,K65,T65,Z65))</f>
        <v>-299427128.25540185</v>
      </c>
      <c r="AD65" s="134"/>
      <c r="AE65" s="1146">
        <f t="shared" ref="AE65:AE96" si="19">IF(C65="","",IF(C65&lt;0,0,IF(AND(C65=1,start_time&lt;1),(output_kgyear*start_time*percnt_revs+output_kgyear*(1-start_time)),IF(C65&lt;=start_time,output_kgyear*percnt_revs,output_kgyear))))</f>
        <v>0</v>
      </c>
      <c r="AF65" s="1142">
        <f t="shared" ref="AF65:AF96" si="20">IF(C65="","",tax_credit)</f>
        <v>0</v>
      </c>
    </row>
    <row r="66" spans="1:32" x14ac:dyDescent="0.25">
      <c r="A66" s="58">
        <f t="shared" ref="A66:A113" si="21">IF(B66&lt;&gt;"",A65+1,"")</f>
        <v>2013</v>
      </c>
      <c r="B66" s="185">
        <f>IF(MAX($B$65:B65)&lt;(construct+anal_period),B65+1,"")</f>
        <v>2</v>
      </c>
      <c r="C66" s="185">
        <f t="shared" ref="C66:C113" si="22">IF(B66="","",IF(C65=-1,1,C65+1))</f>
        <v>-2</v>
      </c>
      <c r="D66" s="185">
        <f t="shared" si="1"/>
        <v>-2</v>
      </c>
      <c r="E66" s="186">
        <f t="shared" si="2"/>
        <v>0.96305620107072598</v>
      </c>
      <c r="F66" s="59">
        <f t="shared" si="3"/>
        <v>0</v>
      </c>
      <c r="G66" s="1156"/>
      <c r="H66" s="1165">
        <f ca="1">IF(C66&lt;0,-E66*equity*depr_cap_infl*percent_cap2,0)</f>
        <v>-233699055.90243521</v>
      </c>
      <c r="I66" s="187" t="str">
        <f>IF(OR(C66&lt;0,C66=""),"",-E66*INDEX('Replacement Costs'!$A$16:$H$57,MATCH(C66,'Replacement Costs'!$C$16:$C$57,0),MATCH("Total Yearly Replacement Costs",'Replacement Costs'!$A$16:$H$16,0)))</f>
        <v/>
      </c>
      <c r="J66" s="187">
        <f>IF(AND(C66&gt;=1,C66&lt;anal_period),WorkingCap*SUM(N66:R66)-WorkingCap*SUM(N65:R65),IF(C66&lt;0,0,IF(B66="","",-SUM(J$65:J65))))</f>
        <v>0</v>
      </c>
      <c r="K66" s="187" t="str">
        <f t="shared" si="4"/>
        <v/>
      </c>
      <c r="L66" s="187" t="str">
        <f t="shared" si="5"/>
        <v/>
      </c>
      <c r="M66" s="187" t="str">
        <f t="shared" si="6"/>
        <v/>
      </c>
      <c r="N66" s="187">
        <f t="shared" si="7"/>
        <v>0</v>
      </c>
      <c r="O66" s="187">
        <f t="shared" si="8"/>
        <v>0</v>
      </c>
      <c r="P66" s="187">
        <f t="shared" si="9"/>
        <v>0</v>
      </c>
      <c r="Q66" s="187">
        <f t="shared" si="10"/>
        <v>0</v>
      </c>
      <c r="R66" s="187">
        <f t="shared" si="11"/>
        <v>0</v>
      </c>
      <c r="S66" s="187">
        <f ca="1">IF(B66="","",IF($B$31=0,"",-'Debt Financing Calculations'!E15))</f>
        <v>-36367019.774527282</v>
      </c>
      <c r="T66" s="187">
        <f t="shared" ca="1" si="12"/>
        <v>-36367019.774527282</v>
      </c>
      <c r="U66" s="187">
        <f>IF(C66="","",IF(C66&lt;-1,0,IF(C66=anal_period,-LOOKUP(C66,depr_yr,depr_cost)-Depreciation!$C$141-Depreciation!$B$166,-LOOKUP(C66,depr_yr,depr_cost))))</f>
        <v>0</v>
      </c>
      <c r="V66" s="187">
        <f t="shared" ca="1" si="13"/>
        <v>-36367019.774527282</v>
      </c>
      <c r="W66" s="188">
        <f t="shared" si="14"/>
        <v>0.25739999999999996</v>
      </c>
      <c r="X66" s="187">
        <f t="shared" ca="1" si="15"/>
        <v>9360870.8899633214</v>
      </c>
      <c r="Y66" s="187">
        <f t="shared" ca="1" si="16"/>
        <v>-27006148.88456396</v>
      </c>
      <c r="Z66" s="187">
        <f>IF(C66="","",IF($B$31=0,"",-'Debt Financing Calculations'!F15))</f>
        <v>0</v>
      </c>
      <c r="AA66" s="187">
        <f t="shared" ca="1" si="17"/>
        <v>-260705204.78699917</v>
      </c>
      <c r="AB66" s="187">
        <f t="shared" ref="AB66:AB113" ca="1" si="23">IF(C66="","",AB65+AA66)</f>
        <v>-550771462.15243769</v>
      </c>
      <c r="AC66" s="1143">
        <f t="shared" ca="1" si="18"/>
        <v>-270066075.67696249</v>
      </c>
      <c r="AD66" s="134"/>
      <c r="AE66" s="1147">
        <f t="shared" si="19"/>
        <v>0</v>
      </c>
      <c r="AF66" s="1143">
        <f t="shared" si="20"/>
        <v>0</v>
      </c>
    </row>
    <row r="67" spans="1:32" x14ac:dyDescent="0.25">
      <c r="A67" s="58">
        <f t="shared" si="21"/>
        <v>2014</v>
      </c>
      <c r="B67" s="185">
        <f>IF(MAX($B$65:B66)&lt;(construct+anal_period),B66+1,"")</f>
        <v>3</v>
      </c>
      <c r="C67" s="185">
        <f t="shared" si="22"/>
        <v>-1</v>
      </c>
      <c r="D67" s="185">
        <f t="shared" si="1"/>
        <v>-1</v>
      </c>
      <c r="E67" s="186">
        <f t="shared" si="2"/>
        <v>0.9813542688910698</v>
      </c>
      <c r="F67" s="59">
        <f t="shared" si="3"/>
        <v>0</v>
      </c>
      <c r="G67" s="1156"/>
      <c r="H67" s="1165">
        <f ca="1">IF(C67&lt;0,-E67*equity*depr_cap_infl*percent_cap3,0)</f>
        <v>-170099527.11755821</v>
      </c>
      <c r="I67" s="187" t="str">
        <f>IF(OR(C67&lt;0,C67=""),"",-E67*INDEX('Replacement Costs'!$A$16:$H$57,MATCH(C67,'Replacement Costs'!$C$16:$C$57,0),MATCH("Total Yearly Replacement Costs",'Replacement Costs'!$A$16:$H$16,0)))</f>
        <v/>
      </c>
      <c r="J67" s="187">
        <f>IF(AND(C67&gt;=1,C67&lt;anal_period),WorkingCap*SUM(N67:R67)-WorkingCap*SUM(N66:R66),IF(C67&lt;0,0,IF(B67="","",-SUM(J$65:J66))))</f>
        <v>0</v>
      </c>
      <c r="K67" s="187" t="str">
        <f t="shared" si="4"/>
        <v/>
      </c>
      <c r="L67" s="187" t="str">
        <f t="shared" si="5"/>
        <v/>
      </c>
      <c r="M67" s="187" t="str">
        <f t="shared" si="6"/>
        <v/>
      </c>
      <c r="N67" s="187">
        <f t="shared" si="7"/>
        <v>0</v>
      </c>
      <c r="O67" s="187">
        <f t="shared" si="8"/>
        <v>0</v>
      </c>
      <c r="P67" s="187">
        <f t="shared" si="9"/>
        <v>0</v>
      </c>
      <c r="Q67" s="187">
        <f t="shared" si="10"/>
        <v>0</v>
      </c>
      <c r="R67" s="187">
        <f t="shared" si="11"/>
        <v>0</v>
      </c>
      <c r="S67" s="187">
        <f ca="1">IF(B67="","",IF($B$31=0,"",-'Debt Financing Calculations'!E16))</f>
        <v>-36367019.774527282</v>
      </c>
      <c r="T67" s="187">
        <f t="shared" ca="1" si="12"/>
        <v>-36367019.774527282</v>
      </c>
      <c r="U67" s="187">
        <f>IF(C67="","",IF(C67&lt;-1,0,IF(C67=anal_period,-LOOKUP(C67,depr_yr,depr_cost)-Depreciation!$C$141-Depreciation!$B$166,-LOOKUP(C67,depr_yr,depr_cost))))</f>
        <v>0</v>
      </c>
      <c r="V67" s="187">
        <f t="shared" ca="1" si="13"/>
        <v>-36367019.774527282</v>
      </c>
      <c r="W67" s="188">
        <f t="shared" si="14"/>
        <v>0.25739999999999996</v>
      </c>
      <c r="X67" s="187">
        <f t="shared" ca="1" si="15"/>
        <v>9360870.8899633214</v>
      </c>
      <c r="Y67" s="187">
        <f t="shared" ca="1" si="16"/>
        <v>-27006148.88456396</v>
      </c>
      <c r="Z67" s="187">
        <f>IF(C67="","",IF($B$31=0,"",-'Debt Financing Calculations'!F16))</f>
        <v>0</v>
      </c>
      <c r="AA67" s="187">
        <f t="shared" ca="1" si="17"/>
        <v>-197105676.00212216</v>
      </c>
      <c r="AB67" s="187">
        <f t="shared" ca="1" si="23"/>
        <v>-747877138.15455985</v>
      </c>
      <c r="AC67" s="1143">
        <f t="shared" ca="1" si="18"/>
        <v>-206466546.89208549</v>
      </c>
      <c r="AD67" s="134"/>
      <c r="AE67" s="1147">
        <f t="shared" si="19"/>
        <v>0</v>
      </c>
      <c r="AF67" s="1143">
        <f t="shared" si="20"/>
        <v>0</v>
      </c>
    </row>
    <row r="68" spans="1:32" x14ac:dyDescent="0.25">
      <c r="A68" s="1077">
        <f t="shared" si="21"/>
        <v>2015</v>
      </c>
      <c r="B68" s="1078">
        <f>IF(MAX($B$65:B67)&lt;(construct+anal_period),B67+1,"")</f>
        <v>4</v>
      </c>
      <c r="C68" s="1078">
        <f t="shared" si="22"/>
        <v>1</v>
      </c>
      <c r="D68" s="1078">
        <f t="shared" si="1"/>
        <v>1</v>
      </c>
      <c r="E68" s="1079">
        <f t="shared" si="2"/>
        <v>1</v>
      </c>
      <c r="F68" s="1080">
        <f t="shared" ca="1" si="3"/>
        <v>313701020.75168544</v>
      </c>
      <c r="G68" s="1157"/>
      <c r="H68" s="1166">
        <f>IF(C68&lt;0,-E68*equity*depr_cap_infl*percent_cap4,0)</f>
        <v>0</v>
      </c>
      <c r="I68" s="1081">
        <f ca="1">IF(OR(C68&lt;0,C68=""),"",-E68*INDEX('Replacement Costs'!$A$16:$H$57,MATCH(C68,'Replacement Costs'!$C$16:$C$57,0),MATCH("Total Yearly Replacement Costs",'Replacement Costs'!$A$16:$H$16,0)))</f>
        <v>-41093618.821026109</v>
      </c>
      <c r="J68" s="1081">
        <f ca="1">IF(AND(C68&gt;=1,C68&lt;anal_period),WorkingCap*SUM(N68:R68)-WorkingCap*SUM(N67:R67),IF(C68&lt;0,0,IF(B68="","",-SUM(J$65:J67))))</f>
        <v>-31398296.249127924</v>
      </c>
      <c r="K68" s="1081" t="str">
        <f t="shared" si="4"/>
        <v/>
      </c>
      <c r="L68" s="1081" t="str">
        <f t="shared" si="5"/>
        <v/>
      </c>
      <c r="M68" s="1081" t="str">
        <f t="shared" si="6"/>
        <v/>
      </c>
      <c r="N68" s="1081">
        <f t="shared" ca="1" si="7"/>
        <v>-78714800.337363586</v>
      </c>
      <c r="O68" s="1081">
        <f t="shared" ca="1" si="8"/>
        <v>-80523683.800445974</v>
      </c>
      <c r="P68" s="1081">
        <f t="shared" si="9"/>
        <v>-1383342.0071518668</v>
      </c>
      <c r="Q68" s="1081">
        <f t="shared" ca="1" si="10"/>
        <v>0</v>
      </c>
      <c r="R68" s="1081">
        <f t="shared" ca="1" si="11"/>
        <v>-48700148.849224731</v>
      </c>
      <c r="S68" s="1081">
        <f ca="1">IF(B68="","",IF($B$31=0,"",-'Debt Financing Calculations'!E17))</f>
        <v>-36367019.774527282</v>
      </c>
      <c r="T68" s="1081">
        <f t="shared" ca="1" si="12"/>
        <v>68012025.982971996</v>
      </c>
      <c r="U68" s="1081">
        <f ca="1">IF(C68="","",IF(C68&lt;-1,0,IF(C68=anal_period,-LOOKUP(C68,depr_yr,depr_cost)-Depreciation!$C$141-Depreciation!$B$166,-LOOKUP(C68,depr_yr,depr_cost))))</f>
        <v>-63370847.820120558</v>
      </c>
      <c r="V68" s="1081">
        <f t="shared" ca="1" si="13"/>
        <v>4641178.1628514379</v>
      </c>
      <c r="W68" s="1082">
        <f t="shared" si="14"/>
        <v>0.25739999999999996</v>
      </c>
      <c r="X68" s="1081">
        <f t="shared" ca="1" si="15"/>
        <v>-1194639.25911796</v>
      </c>
      <c r="Y68" s="1081">
        <f ca="1">IF(C68="","",SUM(T68,X68))</f>
        <v>66817386.723854035</v>
      </c>
      <c r="Z68" s="1081">
        <f>IF(C68="","",IF($B$31=0,"",-'Debt Financing Calculations'!F17))</f>
        <v>0</v>
      </c>
      <c r="AA68" s="1081">
        <f t="shared" ca="1" si="17"/>
        <v>-5674528.346300005</v>
      </c>
      <c r="AB68" s="1081">
        <f t="shared" ca="1" si="23"/>
        <v>-753551666.50085986</v>
      </c>
      <c r="AC68" s="1144">
        <f t="shared" ca="1" si="18"/>
        <v>-4479889.087182045</v>
      </c>
      <c r="AD68" s="1073"/>
      <c r="AE68" s="1148">
        <f t="shared" ca="1" si="19"/>
        <v>152490357</v>
      </c>
      <c r="AF68" s="1144">
        <f t="shared" si="20"/>
        <v>0</v>
      </c>
    </row>
    <row r="69" spans="1:32" x14ac:dyDescent="0.25">
      <c r="A69" s="58">
        <f t="shared" si="21"/>
        <v>2016</v>
      </c>
      <c r="B69" s="185">
        <f>IF(MAX($B$65:B68)&lt;(construct+anal_period),B68+1,"")</f>
        <v>5</v>
      </c>
      <c r="C69" s="185">
        <f t="shared" si="22"/>
        <v>2</v>
      </c>
      <c r="D69" s="185">
        <f t="shared" si="1"/>
        <v>2</v>
      </c>
      <c r="E69" s="186">
        <f t="shared" si="2"/>
        <v>1.0189999999999999</v>
      </c>
      <c r="F69" s="59">
        <f t="shared" ca="1" si="3"/>
        <v>426215120.19462323</v>
      </c>
      <c r="G69" s="1156"/>
      <c r="H69" s="1165">
        <f t="shared" ref="H69:H113" si="24">IF(C69="","",0)</f>
        <v>0</v>
      </c>
      <c r="I69" s="187">
        <f ca="1">IF(OR(C69&lt;0,C69=""),"",-E69*INDEX('Replacement Costs'!$A$16:$H$57,MATCH(C69,'Replacement Costs'!$C$16:$C$57,0),MATCH("Total Yearly Replacement Costs",'Replacement Costs'!$A$16:$H$16,0)))</f>
        <v>-41874397.578625605</v>
      </c>
      <c r="J69" s="187">
        <f ca="1">IF(AND(C69&gt;=1,C69&lt;anal_period),WorkingCap*SUM(N69:R69)-WorkingCap*SUM(N68:R68),IF(C69&lt;0,0,IF(B69="","",-SUM(J$65:J68))))</f>
        <v>-4243781.0798136145</v>
      </c>
      <c r="K69" s="187" t="str">
        <f t="shared" si="4"/>
        <v/>
      </c>
      <c r="L69" s="187" t="str">
        <f t="shared" si="5"/>
        <v/>
      </c>
      <c r="M69" s="187" t="str">
        <f t="shared" si="6"/>
        <v/>
      </c>
      <c r="N69" s="187">
        <f t="shared" ca="1" si="7"/>
        <v>-91669007.478598267</v>
      </c>
      <c r="O69" s="187">
        <f t="shared" ca="1" si="8"/>
        <v>-88335253.590850785</v>
      </c>
      <c r="P69" s="187">
        <f t="shared" si="9"/>
        <v>-1611000.5774717168</v>
      </c>
      <c r="Q69" s="187">
        <f t="shared" ca="1" si="10"/>
        <v>0</v>
      </c>
      <c r="R69" s="187">
        <f t="shared" ca="1" si="11"/>
        <v>-55998587.212689504</v>
      </c>
      <c r="S69" s="187">
        <f ca="1">IF(B69="","",IF($B$31=0,"",-'Debt Financing Calculations'!E18))</f>
        <v>-36367019.774527282</v>
      </c>
      <c r="T69" s="187">
        <f t="shared" ca="1" si="12"/>
        <v>152234251.56048572</v>
      </c>
      <c r="U69" s="187">
        <f ca="1">IF(C69="","",IF(C69&lt;-1,0,IF(C69=anal_period,-LOOKUP(C69,depr_yr,depr_cost)-Depreciation!$C$141-Depreciation!$B$166,-LOOKUP(C69,depr_yr,depr_cost))))</f>
        <v>-123563396.68611856</v>
      </c>
      <c r="V69" s="187">
        <f t="shared" ca="1" si="13"/>
        <v>28670854.874367163</v>
      </c>
      <c r="W69" s="188">
        <f t="shared" si="14"/>
        <v>0.25739999999999996</v>
      </c>
      <c r="X69" s="187">
        <f t="shared" ca="1" si="15"/>
        <v>-7379878.0446621068</v>
      </c>
      <c r="Y69" s="187">
        <f t="shared" ca="1" si="16"/>
        <v>144854373.5158236</v>
      </c>
      <c r="Z69" s="187">
        <f>IF(C69="","",IF($B$31=0,"",-'Debt Financing Calculations'!F18))</f>
        <v>0</v>
      </c>
      <c r="AA69" s="187">
        <f t="shared" ca="1" si="17"/>
        <v>98736194.857384399</v>
      </c>
      <c r="AB69" s="187">
        <f t="shared" ca="1" si="23"/>
        <v>-654815471.64347541</v>
      </c>
      <c r="AC69" s="1143">
        <f t="shared" ca="1" si="18"/>
        <v>106116072.9020465</v>
      </c>
      <c r="AD69" s="134"/>
      <c r="AE69" s="1147">
        <f t="shared" ca="1" si="19"/>
        <v>203320476</v>
      </c>
      <c r="AF69" s="1143">
        <f t="shared" si="20"/>
        <v>0</v>
      </c>
    </row>
    <row r="70" spans="1:32" x14ac:dyDescent="0.25">
      <c r="A70" s="58">
        <f t="shared" si="21"/>
        <v>2017</v>
      </c>
      <c r="B70" s="185">
        <f>IF(MAX($B$65:B69)&lt;(construct+anal_period),B69+1,"")</f>
        <v>6</v>
      </c>
      <c r="C70" s="185">
        <f t="shared" si="22"/>
        <v>3</v>
      </c>
      <c r="D70" s="185">
        <f t="shared" si="1"/>
        <v>3</v>
      </c>
      <c r="E70" s="186">
        <f t="shared" si="2"/>
        <v>1.0383609999999999</v>
      </c>
      <c r="F70" s="59">
        <f t="shared" ca="1" si="3"/>
        <v>434313207.47832108</v>
      </c>
      <c r="G70" s="1156"/>
      <c r="H70" s="1165">
        <f t="shared" si="24"/>
        <v>0</v>
      </c>
      <c r="I70" s="187">
        <f ca="1">IF(OR(C70&lt;0,C70=""),"",-E70*INDEX('Replacement Costs'!$A$16:$H$57,MATCH(C70,'Replacement Costs'!$C$16:$C$57,0),MATCH("Total Yearly Replacement Costs",'Replacement Costs'!$A$16:$H$16,0)))</f>
        <v>-42670011.132619485</v>
      </c>
      <c r="J70" s="187">
        <f ca="1">IF(AND(C70&gt;=1,C70&lt;anal_period),WorkingCap*SUM(N70:R70)-WorkingCap*SUM(N69:R69),IF(C70&lt;0,0,IF(B70="","",-SUM(J$65:J69))))</f>
        <v>-1467094.6863482147</v>
      </c>
      <c r="K70" s="187" t="str">
        <f t="shared" si="4"/>
        <v/>
      </c>
      <c r="L70" s="187" t="str">
        <f t="shared" si="5"/>
        <v/>
      </c>
      <c r="M70" s="187" t="str">
        <f t="shared" si="6"/>
        <v/>
      </c>
      <c r="N70" s="187">
        <f t="shared" ca="1" si="7"/>
        <v>-93410718.620691642</v>
      </c>
      <c r="O70" s="187">
        <f t="shared" ca="1" si="8"/>
        <v>-94441131.730288789</v>
      </c>
      <c r="P70" s="187">
        <f t="shared" si="9"/>
        <v>-1641609.5884436793</v>
      </c>
      <c r="Q70" s="187">
        <f t="shared" ca="1" si="10"/>
        <v>0</v>
      </c>
      <c r="R70" s="187">
        <f t="shared" ca="1" si="11"/>
        <v>-57901020.162507616</v>
      </c>
      <c r="S70" s="187">
        <f ca="1">IF(B70="","",IF($B$31=0,"",-'Debt Financing Calculations'!E19))</f>
        <v>-36367019.774527282</v>
      </c>
      <c r="T70" s="187">
        <f t="shared" ca="1" si="12"/>
        <v>150551707.60186207</v>
      </c>
      <c r="U70" s="187">
        <f ca="1">IF(C70="","",IF(C70&lt;-1,0,IF(C70=anal_period,-LOOKUP(C70,depr_yr,depr_cost)-Depreciation!$C$141-Depreciation!$B$166,-LOOKUP(C70,depr_yr,depr_cost))))</f>
        <v>-117456945.08399285</v>
      </c>
      <c r="V70" s="187">
        <f t="shared" ca="1" si="13"/>
        <v>33094762.517869219</v>
      </c>
      <c r="W70" s="188">
        <f t="shared" si="14"/>
        <v>0.25739999999999996</v>
      </c>
      <c r="X70" s="187">
        <f t="shared" ca="1" si="15"/>
        <v>-8518591.8720995355</v>
      </c>
      <c r="Y70" s="187">
        <f t="shared" ca="1" si="16"/>
        <v>142033115.72976252</v>
      </c>
      <c r="Z70" s="187">
        <f>IF(C70="","",IF($B$31=0,"",-'Debt Financing Calculations'!F19))</f>
        <v>0</v>
      </c>
      <c r="AA70" s="187">
        <f t="shared" ca="1" si="17"/>
        <v>97896009.910794839</v>
      </c>
      <c r="AB70" s="187">
        <f t="shared" ca="1" si="23"/>
        <v>-556919461.73268056</v>
      </c>
      <c r="AC70" s="1143">
        <f t="shared" ca="1" si="18"/>
        <v>106414601.78289437</v>
      </c>
      <c r="AD70" s="134"/>
      <c r="AE70" s="1147">
        <f t="shared" ca="1" si="19"/>
        <v>203320476</v>
      </c>
      <c r="AF70" s="1143">
        <f t="shared" si="20"/>
        <v>0</v>
      </c>
    </row>
    <row r="71" spans="1:32" x14ac:dyDescent="0.25">
      <c r="A71" s="58">
        <f t="shared" si="21"/>
        <v>2018</v>
      </c>
      <c r="B71" s="185">
        <f>IF(MAX($B$65:B70)&lt;(construct+anal_period),B70+1,"")</f>
        <v>7</v>
      </c>
      <c r="C71" s="185">
        <f t="shared" si="22"/>
        <v>4</v>
      </c>
      <c r="D71" s="185">
        <f t="shared" si="1"/>
        <v>4</v>
      </c>
      <c r="E71" s="186">
        <f t="shared" si="2"/>
        <v>1.0580898589999999</v>
      </c>
      <c r="F71" s="59">
        <f t="shared" ca="1" si="3"/>
        <v>442565158.42040914</v>
      </c>
      <c r="G71" s="1156"/>
      <c r="H71" s="1165">
        <f t="shared" si="24"/>
        <v>0</v>
      </c>
      <c r="I71" s="187">
        <f ca="1">IF(OR(C71&lt;0,C71=""),"",-E71*INDEX('Replacement Costs'!$A$16:$H$57,MATCH(C71,'Replacement Costs'!$C$16:$C$57,0),MATCH("Total Yearly Replacement Costs",'Replacement Costs'!$A$16:$H$16,0)))</f>
        <v>-43480741.344139256</v>
      </c>
      <c r="J71" s="187">
        <f ca="1">IF(AND(C71&gt;=1,C71&lt;anal_period),WorkingCap*SUM(N71:R71)-WorkingCap*SUM(N70:R70),IF(C71&lt;0,0,IF(B71="","",-SUM(J$65:J70))))</f>
        <v>-956268.38623853773</v>
      </c>
      <c r="K71" s="187" t="str">
        <f t="shared" si="4"/>
        <v/>
      </c>
      <c r="L71" s="187" t="str">
        <f t="shared" si="5"/>
        <v/>
      </c>
      <c r="M71" s="187" t="str">
        <f t="shared" si="6"/>
        <v/>
      </c>
      <c r="N71" s="187">
        <f t="shared" ca="1" si="7"/>
        <v>-95185522.274484783</v>
      </c>
      <c r="O71" s="187">
        <f t="shared" ca="1" si="8"/>
        <v>-98408123.79837361</v>
      </c>
      <c r="P71" s="187">
        <f t="shared" si="9"/>
        <v>-1672800.1706241092</v>
      </c>
      <c r="Q71" s="187">
        <f t="shared" ca="1" si="10"/>
        <v>0</v>
      </c>
      <c r="R71" s="187">
        <f t="shared" ca="1" si="11"/>
        <v>-58503156.433372803</v>
      </c>
      <c r="S71" s="187">
        <f ca="1">IF(B71="","",IF($B$31=0,"",-'Debt Financing Calculations'!E20))</f>
        <v>-36367019.774527282</v>
      </c>
      <c r="T71" s="187">
        <f t="shared" ca="1" si="12"/>
        <v>152428535.96902657</v>
      </c>
      <c r="U71" s="187">
        <f ca="1">IF(C71="","",IF(C71&lt;-1,0,IF(C71=anal_period,-LOOKUP(C71,depr_yr,depr_cost)-Depreciation!$C$141-Depreciation!$B$166,-LOOKUP(C71,depr_yr,depr_cost))))</f>
        <v>-111891289.95969644</v>
      </c>
      <c r="V71" s="187">
        <f t="shared" ca="1" si="13"/>
        <v>40537246.009330124</v>
      </c>
      <c r="W71" s="188">
        <f t="shared" si="14"/>
        <v>0.25739999999999996</v>
      </c>
      <c r="X71" s="187">
        <f t="shared" ca="1" si="15"/>
        <v>-10434287.122801572</v>
      </c>
      <c r="Y71" s="187">
        <f t="shared" ca="1" si="16"/>
        <v>141994248.84622499</v>
      </c>
      <c r="Z71" s="187">
        <f>IF(C71="","",IF($B$31=0,"",-'Debt Financing Calculations'!F20))</f>
        <v>0</v>
      </c>
      <c r="AA71" s="187">
        <f t="shared" ca="1" si="17"/>
        <v>97557239.1158472</v>
      </c>
      <c r="AB71" s="187">
        <f t="shared" ca="1" si="23"/>
        <v>-459362222.61683333</v>
      </c>
      <c r="AC71" s="1143">
        <f t="shared" ca="1" si="18"/>
        <v>107991526.23864877</v>
      </c>
      <c r="AD71" s="134"/>
      <c r="AE71" s="1147">
        <f t="shared" ca="1" si="19"/>
        <v>203320476</v>
      </c>
      <c r="AF71" s="1143">
        <f t="shared" si="20"/>
        <v>0</v>
      </c>
    </row>
    <row r="72" spans="1:32" x14ac:dyDescent="0.25">
      <c r="A72" s="58">
        <f t="shared" si="21"/>
        <v>2019</v>
      </c>
      <c r="B72" s="185">
        <f>IF(MAX($B$65:B71)&lt;(construct+anal_period),B71+1,"")</f>
        <v>8</v>
      </c>
      <c r="C72" s="185">
        <f t="shared" si="22"/>
        <v>5</v>
      </c>
      <c r="D72" s="185">
        <f t="shared" si="1"/>
        <v>5</v>
      </c>
      <c r="E72" s="186">
        <f t="shared" si="2"/>
        <v>1.0781935663209998</v>
      </c>
      <c r="F72" s="59">
        <f t="shared" ca="1" si="3"/>
        <v>450973896.43039691</v>
      </c>
      <c r="G72" s="1156"/>
      <c r="H72" s="1165">
        <f t="shared" si="24"/>
        <v>0</v>
      </c>
      <c r="I72" s="187">
        <f ca="1">IF(OR(C72&lt;0,C72=""),"",-E72*INDEX('Replacement Costs'!$A$16:$H$57,MATCH(C72,'Replacement Costs'!$C$16:$C$57,0),MATCH("Total Yearly Replacement Costs",'Replacement Costs'!$A$16:$H$16,0)))</f>
        <v>-44306875.429677904</v>
      </c>
      <c r="J72" s="187">
        <f ca="1">IF(AND(C72&gt;=1,C72&lt;anal_period),WorkingCap*SUM(N72:R72)-WorkingCap*SUM(N71:R71),IF(C72&lt;0,0,IF(B72="","",-SUM(J$65:J71))))</f>
        <v>-1072319.4022117481</v>
      </c>
      <c r="K72" s="187" t="str">
        <f t="shared" si="4"/>
        <v/>
      </c>
      <c r="L72" s="187" t="str">
        <f t="shared" si="5"/>
        <v/>
      </c>
      <c r="M72" s="187" t="str">
        <f t="shared" si="6"/>
        <v/>
      </c>
      <c r="N72" s="187">
        <f t="shared" ca="1" si="7"/>
        <v>-96994047.197699979</v>
      </c>
      <c r="O72" s="187">
        <f t="shared" ca="1" si="8"/>
        <v>-102322921.43005295</v>
      </c>
      <c r="P72" s="187">
        <f t="shared" si="9"/>
        <v>-1704583.3738659672</v>
      </c>
      <c r="Q72" s="187">
        <f t="shared" ca="1" si="10"/>
        <v>0</v>
      </c>
      <c r="R72" s="187">
        <f t="shared" ca="1" si="11"/>
        <v>-59896846.689981379</v>
      </c>
      <c r="S72" s="187">
        <f ca="1">IF(B72="","",IF($B$31=0,"",-'Debt Financing Calculations'!E21))</f>
        <v>-36367019.774527282</v>
      </c>
      <c r="T72" s="187">
        <f t="shared" ca="1" si="12"/>
        <v>153688477.9642694</v>
      </c>
      <c r="U72" s="187">
        <f ca="1">IF(C72="","",IF(C72&lt;-1,0,IF(C72=anal_period,-LOOKUP(C72,depr_yr,depr_cost)-Depreciation!$C$141-Depreciation!$B$166,-LOOKUP(C72,depr_yr,depr_cost))))</f>
        <v>-106779415.0203627</v>
      </c>
      <c r="V72" s="187">
        <f t="shared" ca="1" si="13"/>
        <v>46909062.943906695</v>
      </c>
      <c r="W72" s="188">
        <f t="shared" si="14"/>
        <v>0.25739999999999996</v>
      </c>
      <c r="X72" s="187">
        <f t="shared" ca="1" si="15"/>
        <v>-12074392.801761581</v>
      </c>
      <c r="Y72" s="187">
        <f t="shared" ca="1" si="16"/>
        <v>141614085.16250783</v>
      </c>
      <c r="Z72" s="187">
        <f>IF(C72="","",IF($B$31=0,"",-'Debt Financing Calculations'!F21))</f>
        <v>0</v>
      </c>
      <c r="AA72" s="187">
        <f t="shared" ca="1" si="17"/>
        <v>96234890.330618158</v>
      </c>
      <c r="AB72" s="187">
        <f t="shared" ca="1" si="23"/>
        <v>-363127332.28621519</v>
      </c>
      <c r="AC72" s="1143">
        <f t="shared" ca="1" si="18"/>
        <v>108309283.13237974</v>
      </c>
      <c r="AD72" s="134"/>
      <c r="AE72" s="1147">
        <f t="shared" ca="1" si="19"/>
        <v>203320476</v>
      </c>
      <c r="AF72" s="1143">
        <f t="shared" si="20"/>
        <v>0</v>
      </c>
    </row>
    <row r="73" spans="1:32" x14ac:dyDescent="0.25">
      <c r="A73" s="58">
        <f t="shared" si="21"/>
        <v>2020</v>
      </c>
      <c r="B73" s="185">
        <f>IF(MAX($B$65:B72)&lt;(construct+anal_period),B72+1,"")</f>
        <v>9</v>
      </c>
      <c r="C73" s="185">
        <f t="shared" si="22"/>
        <v>6</v>
      </c>
      <c r="D73" s="185">
        <f t="shared" si="1"/>
        <v>6</v>
      </c>
      <c r="E73" s="186">
        <f t="shared" si="2"/>
        <v>1.0986792440810986</v>
      </c>
      <c r="F73" s="59">
        <f t="shared" ca="1" si="3"/>
        <v>459542400.46257436</v>
      </c>
      <c r="G73" s="1156"/>
      <c r="H73" s="1165">
        <f t="shared" si="24"/>
        <v>0</v>
      </c>
      <c r="I73" s="187">
        <f ca="1">IF(OR(C73&lt;0,C73=""),"",-E73*INDEX('Replacement Costs'!$A$16:$H$57,MATCH(C73,'Replacement Costs'!$C$16:$C$57,0),MATCH("Total Yearly Replacement Costs",'Replacement Costs'!$A$16:$H$16,0)))</f>
        <v>-45148706.062841773</v>
      </c>
      <c r="J73" s="187">
        <f ca="1">IF(AND(C73&gt;=1,C73&lt;anal_period),WorkingCap*SUM(N73:R73)-WorkingCap*SUM(N72:R72),IF(C73&lt;0,0,IF(B73="","",-SUM(J$65:J72))))</f>
        <v>-1043272.8018384427</v>
      </c>
      <c r="K73" s="187" t="str">
        <f t="shared" si="4"/>
        <v/>
      </c>
      <c r="L73" s="187" t="str">
        <f t="shared" si="5"/>
        <v/>
      </c>
      <c r="M73" s="187" t="str">
        <f t="shared" si="6"/>
        <v/>
      </c>
      <c r="N73" s="187">
        <f t="shared" ca="1" si="7"/>
        <v>-98836934.09445627</v>
      </c>
      <c r="O73" s="187">
        <f t="shared" ca="1" si="8"/>
        <v>-105844548.21853514</v>
      </c>
      <c r="P73" s="187">
        <f t="shared" si="9"/>
        <v>-1736970.4579694204</v>
      </c>
      <c r="Q73" s="187">
        <f t="shared" ca="1" si="10"/>
        <v>0</v>
      </c>
      <c r="R73" s="187">
        <f t="shared" ca="1" si="11"/>
        <v>-61455097.932895713</v>
      </c>
      <c r="S73" s="187">
        <f ca="1">IF(B73="","",IF($B$31=0,"",-'Debt Financing Calculations'!E22))</f>
        <v>-36367019.774527282</v>
      </c>
      <c r="T73" s="187">
        <f t="shared" ca="1" si="12"/>
        <v>155301829.98419052</v>
      </c>
      <c r="U73" s="187">
        <f ca="1">IF(C73="","",IF(C73&lt;-1,0,IF(C73=anal_period,-LOOKUP(C73,depr_yr,depr_cost)-Depreciation!$C$141-Depreciation!$B$166,-LOOKUP(C73,depr_yr,depr_cost))))</f>
        <v>-102133458.02999188</v>
      </c>
      <c r="V73" s="187">
        <f t="shared" ca="1" si="13"/>
        <v>53168371.954198644</v>
      </c>
      <c r="W73" s="188">
        <f t="shared" si="14"/>
        <v>0.25739999999999996</v>
      </c>
      <c r="X73" s="187">
        <f t="shared" ca="1" si="15"/>
        <v>-13685538.941010728</v>
      </c>
      <c r="Y73" s="187">
        <f t="shared" ca="1" si="16"/>
        <v>141616291.04317981</v>
      </c>
      <c r="Z73" s="187">
        <f>IF(C73="","",IF($B$31=0,"",-'Debt Financing Calculations'!F22))</f>
        <v>0</v>
      </c>
      <c r="AA73" s="187">
        <f t="shared" ca="1" si="17"/>
        <v>95424312.178499579</v>
      </c>
      <c r="AB73" s="187">
        <f t="shared" ca="1" si="23"/>
        <v>-267703020.10771561</v>
      </c>
      <c r="AC73" s="1143">
        <f t="shared" ca="1" si="18"/>
        <v>109109851.11951031</v>
      </c>
      <c r="AD73" s="134"/>
      <c r="AE73" s="1147">
        <f t="shared" ca="1" si="19"/>
        <v>203320476</v>
      </c>
      <c r="AF73" s="1143">
        <f t="shared" si="20"/>
        <v>0</v>
      </c>
    </row>
    <row r="74" spans="1:32" x14ac:dyDescent="0.25">
      <c r="A74" s="58">
        <f t="shared" si="21"/>
        <v>2021</v>
      </c>
      <c r="B74" s="185">
        <f>IF(MAX($B$65:B73)&lt;(construct+anal_period),B73+1,"")</f>
        <v>10</v>
      </c>
      <c r="C74" s="185">
        <f t="shared" si="22"/>
        <v>7</v>
      </c>
      <c r="D74" s="185">
        <f t="shared" si="1"/>
        <v>7</v>
      </c>
      <c r="E74" s="186">
        <f t="shared" si="2"/>
        <v>1.1195541497186396</v>
      </c>
      <c r="F74" s="59">
        <f t="shared" ca="1" si="3"/>
        <v>468273706.07136333</v>
      </c>
      <c r="G74" s="1156"/>
      <c r="H74" s="1165">
        <f t="shared" si="24"/>
        <v>0</v>
      </c>
      <c r="I74" s="187">
        <f ca="1">IF(OR(C74&lt;0,C74=""),"",-E74*INDEX('Replacement Costs'!$A$16:$H$57,MATCH(C74,'Replacement Costs'!$C$16:$C$57,0),MATCH("Total Yearly Replacement Costs",'Replacement Costs'!$A$16:$H$16,0)))</f>
        <v>-46006531.47803577</v>
      </c>
      <c r="J74" s="187">
        <f ca="1">IF(AND(C74&gt;=1,C74&lt;anal_period),WorkingCap*SUM(N74:R74)-WorkingCap*SUM(N73:R73),IF(C74&lt;0,0,IF(B74="","",-SUM(J$65:J73))))</f>
        <v>-804624.27332337201</v>
      </c>
      <c r="K74" s="187" t="str">
        <f t="shared" si="4"/>
        <v/>
      </c>
      <c r="L74" s="187" t="str">
        <f t="shared" si="5"/>
        <v/>
      </c>
      <c r="M74" s="187" t="str">
        <f t="shared" si="6"/>
        <v/>
      </c>
      <c r="N74" s="187">
        <f t="shared" ca="1" si="7"/>
        <v>-100714835.84225094</v>
      </c>
      <c r="O74" s="187">
        <f t="shared" ca="1" si="8"/>
        <v>-108001044.48880887</v>
      </c>
      <c r="P74" s="187">
        <f t="shared" si="9"/>
        <v>-1769972.8966708395</v>
      </c>
      <c r="Q74" s="187">
        <f t="shared" ca="1" si="10"/>
        <v>0</v>
      </c>
      <c r="R74" s="187">
        <f t="shared" ca="1" si="11"/>
        <v>-62751859.298281685</v>
      </c>
      <c r="S74" s="187">
        <f ca="1">IF(B74="","",IF($B$31=0,"",-'Debt Financing Calculations'!E23))</f>
        <v>-36367019.774527282</v>
      </c>
      <c r="T74" s="187">
        <f t="shared" ca="1" si="12"/>
        <v>158668973.77082372</v>
      </c>
      <c r="U74" s="187">
        <f ca="1">IF(C74="","",IF(C74&lt;-1,0,IF(C74=anal_period,-LOOKUP(C74,depr_yr,depr_cost)-Depreciation!$C$141-Depreciation!$B$166,-LOOKUP(C74,depr_yr,depr_cost))))</f>
        <v>-97881292.906340033</v>
      </c>
      <c r="V74" s="187">
        <f t="shared" ca="1" si="13"/>
        <v>60787680.864483684</v>
      </c>
      <c r="W74" s="188">
        <f t="shared" si="14"/>
        <v>0.25739999999999996</v>
      </c>
      <c r="X74" s="187">
        <f t="shared" ca="1" si="15"/>
        <v>-15646749.054518098</v>
      </c>
      <c r="Y74" s="187">
        <f t="shared" ca="1" si="16"/>
        <v>143022224.71630561</v>
      </c>
      <c r="Z74" s="187">
        <f>IF(C74="","",IF($B$31=0,"",-'Debt Financing Calculations'!F23))</f>
        <v>0</v>
      </c>
      <c r="AA74" s="187">
        <f t="shared" ca="1" si="17"/>
        <v>96211068.964946479</v>
      </c>
      <c r="AB74" s="187">
        <f t="shared" ca="1" si="23"/>
        <v>-171491951.14276913</v>
      </c>
      <c r="AC74" s="1143">
        <f t="shared" ca="1" si="18"/>
        <v>111857818.01946458</v>
      </c>
      <c r="AD74" s="134"/>
      <c r="AE74" s="1147">
        <f t="shared" ca="1" si="19"/>
        <v>203320476</v>
      </c>
      <c r="AF74" s="1143">
        <f t="shared" si="20"/>
        <v>0</v>
      </c>
    </row>
    <row r="75" spans="1:32" x14ac:dyDescent="0.25">
      <c r="A75" s="58">
        <f t="shared" si="21"/>
        <v>2022</v>
      </c>
      <c r="B75" s="185">
        <f>IF(MAX($B$65:B74)&lt;(construct+anal_period),B74+1,"")</f>
        <v>11</v>
      </c>
      <c r="C75" s="185">
        <f t="shared" si="22"/>
        <v>8</v>
      </c>
      <c r="D75" s="185">
        <f t="shared" si="1"/>
        <v>8</v>
      </c>
      <c r="E75" s="186">
        <f t="shared" si="2"/>
        <v>1.1408256785632938</v>
      </c>
      <c r="F75" s="59">
        <f t="shared" ca="1" si="3"/>
        <v>477170906.48671925</v>
      </c>
      <c r="G75" s="1156"/>
      <c r="H75" s="1165">
        <f t="shared" si="24"/>
        <v>0</v>
      </c>
      <c r="I75" s="187">
        <f ca="1">IF(OR(C75&lt;0,C75=""),"",-E75*INDEX('Replacement Costs'!$A$16:$H$57,MATCH(C75,'Replacement Costs'!$C$16:$C$57,0),MATCH("Total Yearly Replacement Costs",'Replacement Costs'!$A$16:$H$16,0)))</f>
        <v>-46880655.576118447</v>
      </c>
      <c r="J75" s="187">
        <f ca="1">IF(AND(C75&gt;=1,C75&lt;anal_period),WorkingCap*SUM(N75:R75)-WorkingCap*SUM(N74:R74),IF(C75&lt;0,0,IF(B75="","",-SUM(J$65:J74))))</f>
        <v>-969359.68536960334</v>
      </c>
      <c r="K75" s="187" t="str">
        <f t="shared" si="4"/>
        <v/>
      </c>
      <c r="L75" s="187" t="str">
        <f t="shared" si="5"/>
        <v/>
      </c>
      <c r="M75" s="187" t="str">
        <f t="shared" si="6"/>
        <v/>
      </c>
      <c r="N75" s="187">
        <f t="shared" ca="1" si="7"/>
        <v>-102628417.72325371</v>
      </c>
      <c r="O75" s="187">
        <f t="shared" ca="1" si="8"/>
        <v>-110548646.94920032</v>
      </c>
      <c r="P75" s="187">
        <f t="shared" si="9"/>
        <v>-1803602.3817075854</v>
      </c>
      <c r="Q75" s="187">
        <f t="shared" ca="1" si="10"/>
        <v>0</v>
      </c>
      <c r="R75" s="187">
        <f t="shared" ca="1" si="11"/>
        <v>-64719443.37431477</v>
      </c>
      <c r="S75" s="187">
        <f ca="1">IF(B75="","",IF($B$31=0,"",-'Debt Financing Calculations'!E24))</f>
        <v>-36367019.774527282</v>
      </c>
      <c r="T75" s="187">
        <f t="shared" ca="1" si="12"/>
        <v>161103776.28371561</v>
      </c>
      <c r="U75" s="187">
        <f ca="1">IF(C75="","",IF(C75&lt;-1,0,IF(C75=anal_period,-LOOKUP(C75,depr_yr,depr_cost)-Depreciation!$C$141-Depreciation!$B$166,-LOOKUP(C75,depr_yr,depr_cost))))</f>
        <v>-94033429.310293227</v>
      </c>
      <c r="V75" s="187">
        <f t="shared" ca="1" si="13"/>
        <v>67070346.973422378</v>
      </c>
      <c r="W75" s="188">
        <f t="shared" si="14"/>
        <v>0.25739999999999996</v>
      </c>
      <c r="X75" s="187">
        <f t="shared" ca="1" si="15"/>
        <v>-17263907.310958918</v>
      </c>
      <c r="Y75" s="187">
        <f t="shared" ca="1" si="16"/>
        <v>143839868.97275668</v>
      </c>
      <c r="Z75" s="187">
        <f>IF(C75="","",IF($B$31=0,"",-'Debt Financing Calculations'!F24))</f>
        <v>0</v>
      </c>
      <c r="AA75" s="187">
        <f t="shared" ca="1" si="17"/>
        <v>95989853.711268634</v>
      </c>
      <c r="AB75" s="187">
        <f t="shared" ca="1" si="23"/>
        <v>-75502097.431500494</v>
      </c>
      <c r="AC75" s="1143">
        <f t="shared" ca="1" si="18"/>
        <v>113253761.02222756</v>
      </c>
      <c r="AD75" s="134"/>
      <c r="AE75" s="1147">
        <f t="shared" ca="1" si="19"/>
        <v>203320476</v>
      </c>
      <c r="AF75" s="1143">
        <f t="shared" si="20"/>
        <v>0</v>
      </c>
    </row>
    <row r="76" spans="1:32" x14ac:dyDescent="0.25">
      <c r="A76" s="58">
        <f t="shared" si="21"/>
        <v>2023</v>
      </c>
      <c r="B76" s="185">
        <f>IF(MAX($B$65:B75)&lt;(construct+anal_period),B75+1,"")</f>
        <v>12</v>
      </c>
      <c r="C76" s="185">
        <f t="shared" si="22"/>
        <v>9</v>
      </c>
      <c r="D76" s="185">
        <f t="shared" si="1"/>
        <v>9</v>
      </c>
      <c r="E76" s="186">
        <f t="shared" si="2"/>
        <v>1.1625013664559962</v>
      </c>
      <c r="F76" s="59">
        <f t="shared" ca="1" si="3"/>
        <v>486237153.70996684</v>
      </c>
      <c r="G76" s="1156"/>
      <c r="H76" s="1165">
        <f t="shared" si="24"/>
        <v>0</v>
      </c>
      <c r="I76" s="187">
        <f ca="1">IF(OR(C76&lt;0,C76=""),"",-E76*INDEX('Replacement Costs'!$A$16:$H$57,MATCH(C76,'Replacement Costs'!$C$16:$C$57,0),MATCH("Total Yearly Replacement Costs",'Replacement Costs'!$A$16:$H$16,0)))</f>
        <v>-47771388.032064699</v>
      </c>
      <c r="J76" s="187">
        <f ca="1">IF(AND(C76&gt;=1,C76&lt;anal_period),WorkingCap*SUM(N76:R76)-WorkingCap*SUM(N75:R75),IF(C76&lt;0,0,IF(B76="","",-SUM(J$65:J75))))</f>
        <v>-856850.54788945615</v>
      </c>
      <c r="K76" s="187" t="str">
        <f t="shared" si="4"/>
        <v/>
      </c>
      <c r="L76" s="187" t="str">
        <f t="shared" si="5"/>
        <v/>
      </c>
      <c r="M76" s="187" t="str">
        <f t="shared" si="6"/>
        <v/>
      </c>
      <c r="N76" s="187">
        <f t="shared" ca="1" si="7"/>
        <v>-104578357.65999553</v>
      </c>
      <c r="O76" s="187">
        <f t="shared" ca="1" si="8"/>
        <v>-112967027.99065728</v>
      </c>
      <c r="P76" s="187">
        <f t="shared" si="9"/>
        <v>-1837870.8269600293</v>
      </c>
      <c r="Q76" s="187">
        <f t="shared" ca="1" si="10"/>
        <v>0</v>
      </c>
      <c r="R76" s="187">
        <f t="shared" ca="1" si="11"/>
        <v>-66029190.936793275</v>
      </c>
      <c r="S76" s="187">
        <f ca="1">IF(B76="","",IF($B$31=0,"",-'Debt Financing Calculations'!E25))</f>
        <v>-36367019.774527282</v>
      </c>
      <c r="T76" s="187">
        <f t="shared" ca="1" si="12"/>
        <v>164457686.52103347</v>
      </c>
      <c r="U76" s="187">
        <f ca="1">IF(C76="","",IF(C76&lt;-1,0,IF(C76=anal_period,-LOOKUP(C76,depr_yr,depr_cost)-Depreciation!$C$141-Depreciation!$B$166,-LOOKUP(C76,depr_yr,depr_cost))))</f>
        <v>-95247772.0931032</v>
      </c>
      <c r="V76" s="187">
        <f t="shared" ca="1" si="13"/>
        <v>69209914.427930266</v>
      </c>
      <c r="W76" s="188">
        <f t="shared" si="14"/>
        <v>0.25739999999999996</v>
      </c>
      <c r="X76" s="187">
        <f t="shared" ca="1" si="15"/>
        <v>-17814631.973749246</v>
      </c>
      <c r="Y76" s="187">
        <f t="shared" ca="1" si="16"/>
        <v>146643054.54728422</v>
      </c>
      <c r="Z76" s="187">
        <f>IF(C76="","",IF($B$31=0,"",-'Debt Financing Calculations'!F25))</f>
        <v>0</v>
      </c>
      <c r="AA76" s="187">
        <f t="shared" ca="1" si="17"/>
        <v>98014815.967330068</v>
      </c>
      <c r="AB76" s="187">
        <f t="shared" ca="1" si="23"/>
        <v>22512718.535829574</v>
      </c>
      <c r="AC76" s="1143">
        <f t="shared" ca="1" si="18"/>
        <v>115829447.94107932</v>
      </c>
      <c r="AD76" s="134"/>
      <c r="AE76" s="1147">
        <f t="shared" ca="1" si="19"/>
        <v>203320476</v>
      </c>
      <c r="AF76" s="1143">
        <f t="shared" si="20"/>
        <v>0</v>
      </c>
    </row>
    <row r="77" spans="1:32" x14ac:dyDescent="0.25">
      <c r="A77" s="58">
        <f t="shared" si="21"/>
        <v>2024</v>
      </c>
      <c r="B77" s="185">
        <f>IF(MAX($B$65:B76)&lt;(construct+anal_period),B76+1,"")</f>
        <v>13</v>
      </c>
      <c r="C77" s="185">
        <f t="shared" si="22"/>
        <v>10</v>
      </c>
      <c r="D77" s="185">
        <f t="shared" si="1"/>
        <v>10</v>
      </c>
      <c r="E77" s="186">
        <f t="shared" si="2"/>
        <v>1.1845888924186601</v>
      </c>
      <c r="F77" s="59">
        <f t="shared" ca="1" si="3"/>
        <v>495475659.63045615</v>
      </c>
      <c r="G77" s="1156"/>
      <c r="H77" s="1165">
        <f t="shared" si="24"/>
        <v>0</v>
      </c>
      <c r="I77" s="187">
        <f ca="1">IF(OR(C77&lt;0,C77=""),"",-E77*INDEX('Replacement Costs'!$A$16:$H$57,MATCH(C77,'Replacement Costs'!$C$16:$C$57,0),MATCH("Total Yearly Replacement Costs",'Replacement Costs'!$A$16:$H$16,0)))</f>
        <v>-48679044.404673919</v>
      </c>
      <c r="J77" s="187">
        <f ca="1">IF(AND(C77&gt;=1,C77&lt;anal_period),WorkingCap*SUM(N77:R77)-WorkingCap*SUM(N76:R76),IF(C77&lt;0,0,IF(B77="","",-SUM(J$65:J76))))</f>
        <v>-804909.11831892282</v>
      </c>
      <c r="K77" s="187" t="str">
        <f t="shared" si="4"/>
        <v/>
      </c>
      <c r="L77" s="187" t="str">
        <f t="shared" si="5"/>
        <v/>
      </c>
      <c r="M77" s="187" t="str">
        <f t="shared" si="6"/>
        <v/>
      </c>
      <c r="N77" s="187">
        <f t="shared" ca="1" si="7"/>
        <v>-106565346.45553543</v>
      </c>
      <c r="O77" s="187">
        <f t="shared" ca="1" si="8"/>
        <v>-115124711.8159911</v>
      </c>
      <c r="P77" s="187">
        <f t="shared" si="9"/>
        <v>-1872790.3726722698</v>
      </c>
      <c r="Q77" s="187">
        <f t="shared" ca="1" si="10"/>
        <v>0</v>
      </c>
      <c r="R77" s="187">
        <f t="shared" ca="1" si="11"/>
        <v>-67215659.55900012</v>
      </c>
      <c r="S77" s="187">
        <f ca="1">IF(B77="","",IF($B$31=0,"",-'Debt Financing Calculations'!E26))</f>
        <v>-36367019.774527282</v>
      </c>
      <c r="T77" s="187">
        <f t="shared" ca="1" si="12"/>
        <v>168330131.65272993</v>
      </c>
      <c r="U77" s="187">
        <f ca="1">IF(C77="","",IF(C77&lt;-1,0,IF(C77=anal_period,-LOOKUP(C77,depr_yr,depr_cost)-Depreciation!$C$141-Depreciation!$B$166,-LOOKUP(C77,depr_yr,depr_cost))))</f>
        <v>-97476362.160346612</v>
      </c>
      <c r="V77" s="187">
        <f t="shared" ca="1" si="13"/>
        <v>70853769.492383316</v>
      </c>
      <c r="W77" s="188">
        <f t="shared" si="14"/>
        <v>0.25739999999999996</v>
      </c>
      <c r="X77" s="187">
        <f t="shared" ca="1" si="15"/>
        <v>-18237760.267339464</v>
      </c>
      <c r="Y77" s="187">
        <f t="shared" ca="1" si="16"/>
        <v>150092371.38539046</v>
      </c>
      <c r="Z77" s="187">
        <f>IF(C77="","",IF($B$31=0,"",-'Debt Financing Calculations'!F26))</f>
        <v>0</v>
      </c>
      <c r="AA77" s="187">
        <f t="shared" ca="1" si="17"/>
        <v>100608417.86239761</v>
      </c>
      <c r="AB77" s="187">
        <f t="shared" ca="1" si="23"/>
        <v>123121136.39822719</v>
      </c>
      <c r="AC77" s="1143">
        <f t="shared" ca="1" si="18"/>
        <v>118846178.12973708</v>
      </c>
      <c r="AD77" s="134"/>
      <c r="AE77" s="1147">
        <f t="shared" ca="1" si="19"/>
        <v>203320476</v>
      </c>
      <c r="AF77" s="1143">
        <f t="shared" si="20"/>
        <v>0</v>
      </c>
    </row>
    <row r="78" spans="1:32" x14ac:dyDescent="0.25">
      <c r="A78" s="58">
        <f t="shared" si="21"/>
        <v>2025</v>
      </c>
      <c r="B78" s="185">
        <f>IF(MAX($B$65:B77)&lt;(construct+anal_period),B77+1,"")</f>
        <v>14</v>
      </c>
      <c r="C78" s="185">
        <f t="shared" si="22"/>
        <v>11</v>
      </c>
      <c r="D78" s="185">
        <f t="shared" si="1"/>
        <v>11</v>
      </c>
      <c r="E78" s="186">
        <f t="shared" si="2"/>
        <v>1.2070960813746145</v>
      </c>
      <c r="F78" s="59">
        <f t="shared" ca="1" si="3"/>
        <v>504889697.1634348</v>
      </c>
      <c r="G78" s="1156"/>
      <c r="H78" s="1165">
        <f t="shared" si="24"/>
        <v>0</v>
      </c>
      <c r="I78" s="187">
        <f ca="1">IF(OR(C78&lt;0,C78=""),"",-E78*INDEX('Replacement Costs'!$A$16:$H$57,MATCH(C78,'Replacement Costs'!$C$16:$C$57,0),MATCH("Total Yearly Replacement Costs",'Replacement Costs'!$A$16:$H$16,0)))</f>
        <v>-49603946.248362727</v>
      </c>
      <c r="J78" s="187">
        <f ca="1">IF(AND(C78&gt;=1,C78&lt;anal_period),WorkingCap*SUM(N78:R78)-WorkingCap*SUM(N77:R77),IF(C78&lt;0,0,IF(B78="","",-SUM(J$65:J77))))</f>
        <v>-912842.85413669795</v>
      </c>
      <c r="K78" s="187" t="str">
        <f t="shared" si="4"/>
        <v/>
      </c>
      <c r="L78" s="187" t="str">
        <f t="shared" si="5"/>
        <v/>
      </c>
      <c r="M78" s="187" t="str">
        <f t="shared" si="6"/>
        <v/>
      </c>
      <c r="N78" s="187">
        <f t="shared" ca="1" si="7"/>
        <v>-108590088.0381906</v>
      </c>
      <c r="O78" s="187">
        <f t="shared" ca="1" si="8"/>
        <v>-117242628.23594682</v>
      </c>
      <c r="P78" s="187">
        <f t="shared" si="9"/>
        <v>-1908373.3897530427</v>
      </c>
      <c r="Q78" s="187">
        <f t="shared" ca="1" si="10"/>
        <v>0</v>
      </c>
      <c r="R78" s="187">
        <f t="shared" ca="1" si="11"/>
        <v>-69123037.56688641</v>
      </c>
      <c r="S78" s="187">
        <f ca="1">IF(B78="","",IF($B$31=0,"",-'Debt Financing Calculations'!E27))</f>
        <v>-36367019.774527282</v>
      </c>
      <c r="T78" s="187">
        <f t="shared" ca="1" si="12"/>
        <v>171658550.15813059</v>
      </c>
      <c r="U78" s="187">
        <f ca="1">IF(C78="","",IF(C78&lt;-1,0,IF(C78=anal_period,-LOOKUP(C78,depr_yr,depr_cost)-Depreciation!$C$141-Depreciation!$B$166,-LOOKUP(C78,depr_yr,depr_cost))))</f>
        <v>-99780995.559358254</v>
      </c>
      <c r="V78" s="187">
        <f t="shared" ca="1" si="13"/>
        <v>71877554.598772332</v>
      </c>
      <c r="W78" s="188">
        <f t="shared" si="14"/>
        <v>0.25739999999999996</v>
      </c>
      <c r="X78" s="187">
        <f t="shared" ca="1" si="15"/>
        <v>-18501282.553723995</v>
      </c>
      <c r="Y78" s="187">
        <f t="shared" ca="1" si="16"/>
        <v>153157267.6044066</v>
      </c>
      <c r="Z78" s="187">
        <f>IF(C78="","",IF($B$31=0,"",-'Debt Financing Calculations'!F27))</f>
        <v>0</v>
      </c>
      <c r="AA78" s="187">
        <f t="shared" ca="1" si="17"/>
        <v>102640478.50190717</v>
      </c>
      <c r="AB78" s="187">
        <f t="shared" ca="1" si="23"/>
        <v>225761614.90013435</v>
      </c>
      <c r="AC78" s="1143">
        <f t="shared" ca="1" si="18"/>
        <v>121141761.05563116</v>
      </c>
      <c r="AD78" s="134"/>
      <c r="AE78" s="1147">
        <f t="shared" ca="1" si="19"/>
        <v>203320476</v>
      </c>
      <c r="AF78" s="1143">
        <f t="shared" si="20"/>
        <v>0</v>
      </c>
    </row>
    <row r="79" spans="1:32" x14ac:dyDescent="0.25">
      <c r="A79" s="58">
        <f t="shared" si="21"/>
        <v>2026</v>
      </c>
      <c r="B79" s="185">
        <f>IF(MAX($B$65:B78)&lt;(construct+anal_period),B78+1,"")</f>
        <v>15</v>
      </c>
      <c r="C79" s="185">
        <f t="shared" si="22"/>
        <v>12</v>
      </c>
      <c r="D79" s="185">
        <f t="shared" si="1"/>
        <v>12</v>
      </c>
      <c r="E79" s="186">
        <f t="shared" si="2"/>
        <v>1.2300309069207322</v>
      </c>
      <c r="F79" s="59">
        <f t="shared" ca="1" si="3"/>
        <v>514482601.40954012</v>
      </c>
      <c r="G79" s="1156"/>
      <c r="H79" s="1165">
        <f t="shared" si="24"/>
        <v>0</v>
      </c>
      <c r="I79" s="187">
        <f ca="1">IF(OR(C79&lt;0,C79=""),"",-E79*INDEX('Replacement Costs'!$A$16:$H$57,MATCH(C79,'Replacement Costs'!$C$16:$C$57,0),MATCH("Total Yearly Replacement Costs",'Replacement Costs'!$A$16:$H$16,0)))</f>
        <v>-50546421.227081619</v>
      </c>
      <c r="J79" s="187">
        <f ca="1">IF(AND(C79&gt;=1,C79&lt;anal_period),WorkingCap*SUM(N79:R79)-WorkingCap*SUM(N78:R78),IF(C79&lt;0,0,IF(B79="","",-SUM(J$65:J78))))</f>
        <v>-876078.04870140553</v>
      </c>
      <c r="K79" s="187" t="str">
        <f t="shared" si="4"/>
        <v/>
      </c>
      <c r="L79" s="187" t="str">
        <f t="shared" si="5"/>
        <v/>
      </c>
      <c r="M79" s="187" t="str">
        <f t="shared" si="6"/>
        <v/>
      </c>
      <c r="N79" s="187">
        <f t="shared" ca="1" si="7"/>
        <v>-110653299.71091622</v>
      </c>
      <c r="O79" s="187">
        <f t="shared" ca="1" si="8"/>
        <v>-119392183.04924169</v>
      </c>
      <c r="P79" s="187">
        <f t="shared" si="9"/>
        <v>-1944632.4841583506</v>
      </c>
      <c r="Q79" s="187">
        <f t="shared" ca="1" si="10"/>
        <v>0</v>
      </c>
      <c r="R79" s="187">
        <f t="shared" ca="1" si="11"/>
        <v>-70714532.311136693</v>
      </c>
      <c r="S79" s="187">
        <f ca="1">IF(B79="","",IF($B$31=0,"",-'Debt Financing Calculations'!E28))</f>
        <v>-36367019.774527282</v>
      </c>
      <c r="T79" s="187">
        <f t="shared" ca="1" si="12"/>
        <v>175410934.07955986</v>
      </c>
      <c r="U79" s="187">
        <f ca="1">IF(C79="","",IF(C79&lt;-1,0,IF(C79=anal_period,-LOOKUP(C79,depr_yr,depr_cost)-Depreciation!$C$141-Depreciation!$B$166,-LOOKUP(C79,depr_yr,depr_cost))))</f>
        <v>-102095716.87246047</v>
      </c>
      <c r="V79" s="187">
        <f t="shared" ca="1" si="13"/>
        <v>73315217.207099393</v>
      </c>
      <c r="W79" s="188">
        <f t="shared" si="14"/>
        <v>0.25739999999999996</v>
      </c>
      <c r="X79" s="187">
        <f t="shared" ca="1" si="15"/>
        <v>-18871336.90910738</v>
      </c>
      <c r="Y79" s="187">
        <f t="shared" ca="1" si="16"/>
        <v>156539597.17045248</v>
      </c>
      <c r="Z79" s="187">
        <f>IF(C79="","",IF($B$31=0,"",-'Debt Financing Calculations'!F28))</f>
        <v>0</v>
      </c>
      <c r="AA79" s="187">
        <f t="shared" ca="1" si="17"/>
        <v>105117097.89466944</v>
      </c>
      <c r="AB79" s="187">
        <f t="shared" ca="1" si="23"/>
        <v>330878712.7948038</v>
      </c>
      <c r="AC79" s="1143">
        <f t="shared" ca="1" si="18"/>
        <v>123988434.80377683</v>
      </c>
      <c r="AD79" s="134"/>
      <c r="AE79" s="1147">
        <f t="shared" ca="1" si="19"/>
        <v>203320476</v>
      </c>
      <c r="AF79" s="1143">
        <f t="shared" si="20"/>
        <v>0</v>
      </c>
    </row>
    <row r="80" spans="1:32" x14ac:dyDescent="0.25">
      <c r="A80" s="58">
        <f t="shared" si="21"/>
        <v>2027</v>
      </c>
      <c r="B80" s="185">
        <f>IF(MAX($B$65:B79)&lt;(construct+anal_period),B79+1,"")</f>
        <v>16</v>
      </c>
      <c r="C80" s="185">
        <f t="shared" si="22"/>
        <v>13</v>
      </c>
      <c r="D80" s="185">
        <f t="shared" si="1"/>
        <v>13</v>
      </c>
      <c r="E80" s="186">
        <f t="shared" si="2"/>
        <v>1.253401494152226</v>
      </c>
      <c r="F80" s="59">
        <f t="shared" ca="1" si="3"/>
        <v>524257770.83632129</v>
      </c>
      <c r="G80" s="1156"/>
      <c r="H80" s="1165">
        <f t="shared" si="24"/>
        <v>0</v>
      </c>
      <c r="I80" s="187">
        <f ca="1">IF(OR(C80&lt;0,C80=""),"",-E80*INDEX('Replacement Costs'!$A$16:$H$57,MATCH(C80,'Replacement Costs'!$C$16:$C$57,0),MATCH("Total Yearly Replacement Costs",'Replacement Costs'!$A$16:$H$16,0)))</f>
        <v>-51506803.230396159</v>
      </c>
      <c r="J80" s="187">
        <f ca="1">IF(AND(C80&gt;=1,C80&lt;anal_period),WorkingCap*SUM(N80:R80)-WorkingCap*SUM(N79:R79),IF(C80&lt;0,0,IF(B80="","",-SUM(J$65:J79))))</f>
        <v>-829232.2046623081</v>
      </c>
      <c r="K80" s="187" t="str">
        <f t="shared" si="4"/>
        <v/>
      </c>
      <c r="L80" s="187" t="str">
        <f t="shared" si="5"/>
        <v/>
      </c>
      <c r="M80" s="187" t="str">
        <f t="shared" si="6"/>
        <v/>
      </c>
      <c r="N80" s="187">
        <f t="shared" ca="1" si="7"/>
        <v>-112755712.40542361</v>
      </c>
      <c r="O80" s="187">
        <f t="shared" ca="1" si="8"/>
        <v>-121275015.49936453</v>
      </c>
      <c r="P80" s="187">
        <f t="shared" si="9"/>
        <v>-1981580.5013573591</v>
      </c>
      <c r="Q80" s="187">
        <f t="shared" ca="1" si="10"/>
        <v>0</v>
      </c>
      <c r="R80" s="187">
        <f t="shared" ca="1" si="11"/>
        <v>-72220553.847056195</v>
      </c>
      <c r="S80" s="187">
        <f ca="1">IF(B80="","",IF($B$31=0,"",-'Debt Financing Calculations'!E29))</f>
        <v>-36367019.774527282</v>
      </c>
      <c r="T80" s="187">
        <f t="shared" ca="1" si="12"/>
        <v>179657888.80859238</v>
      </c>
      <c r="U80" s="187">
        <f ca="1">IF(C80="","",IF(C80&lt;-1,0,IF(C80=anal_period,-LOOKUP(C80,depr_yr,depr_cost)-Depreciation!$C$141-Depreciation!$B$166,-LOOKUP(C80,depr_yr,depr_cost))))</f>
        <v>-104488118.01100226</v>
      </c>
      <c r="V80" s="187">
        <f t="shared" ca="1" si="13"/>
        <v>75169770.797590122</v>
      </c>
      <c r="W80" s="188">
        <f t="shared" si="14"/>
        <v>0.25739999999999996</v>
      </c>
      <c r="X80" s="187">
        <f t="shared" ca="1" si="15"/>
        <v>-19348699.003299695</v>
      </c>
      <c r="Y80" s="187">
        <f t="shared" ca="1" si="16"/>
        <v>160309189.8052927</v>
      </c>
      <c r="Z80" s="187">
        <f>IF(C80="","",IF($B$31=0,"",-'Debt Financing Calculations'!F29))</f>
        <v>0</v>
      </c>
      <c r="AA80" s="187">
        <f t="shared" ca="1" si="17"/>
        <v>107973154.37023421</v>
      </c>
      <c r="AB80" s="187">
        <f t="shared" ca="1" si="23"/>
        <v>438851867.16503799</v>
      </c>
      <c r="AC80" s="1143">
        <f t="shared" ca="1" si="18"/>
        <v>127321853.3735339</v>
      </c>
      <c r="AD80" s="134"/>
      <c r="AE80" s="1147">
        <f t="shared" ca="1" si="19"/>
        <v>203320476</v>
      </c>
      <c r="AF80" s="1143">
        <f t="shared" si="20"/>
        <v>0</v>
      </c>
    </row>
    <row r="81" spans="1:32" x14ac:dyDescent="0.25">
      <c r="A81" s="58">
        <f t="shared" si="21"/>
        <v>2028</v>
      </c>
      <c r="B81" s="185">
        <f>IF(MAX($B$65:B80)&lt;(construct+anal_period),B80+1,"")</f>
        <v>17</v>
      </c>
      <c r="C81" s="185">
        <f t="shared" si="22"/>
        <v>14</v>
      </c>
      <c r="D81" s="185">
        <f t="shared" si="1"/>
        <v>14</v>
      </c>
      <c r="E81" s="186">
        <f t="shared" si="2"/>
        <v>1.277216122541118</v>
      </c>
      <c r="F81" s="59">
        <f t="shared" ca="1" si="3"/>
        <v>534218668.48221129</v>
      </c>
      <c r="G81" s="1156"/>
      <c r="H81" s="1165">
        <f t="shared" si="24"/>
        <v>0</v>
      </c>
      <c r="I81" s="187">
        <f ca="1">IF(OR(C81&lt;0,C81=""),"",-E81*INDEX('Replacement Costs'!$A$16:$H$57,MATCH(C81,'Replacement Costs'!$C$16:$C$57,0),MATCH("Total Yearly Replacement Costs",'Replacement Costs'!$A$16:$H$16,0)))</f>
        <v>-52485432.49177368</v>
      </c>
      <c r="J81" s="187">
        <f ca="1">IF(AND(C81&gt;=1,C81&lt;anal_period),WorkingCap*SUM(N81:R81)-WorkingCap*SUM(N80:R80),IF(C81&lt;0,0,IF(B81="","",-SUM(J$65:J80))))</f>
        <v>-829056.21999723464</v>
      </c>
      <c r="K81" s="187" t="str">
        <f t="shared" si="4"/>
        <v/>
      </c>
      <c r="L81" s="187" t="str">
        <f t="shared" si="5"/>
        <v/>
      </c>
      <c r="M81" s="187" t="str">
        <f t="shared" si="6"/>
        <v/>
      </c>
      <c r="N81" s="187">
        <f t="shared" ca="1" si="7"/>
        <v>-114898070.94112664</v>
      </c>
      <c r="O81" s="187">
        <f t="shared" ca="1" si="8"/>
        <v>-123062111.56763035</v>
      </c>
      <c r="P81" s="187">
        <f t="shared" si="9"/>
        <v>-2019230.5308831485</v>
      </c>
      <c r="Q81" s="187">
        <f t="shared" ca="1" si="10"/>
        <v>0</v>
      </c>
      <c r="R81" s="187">
        <f t="shared" ca="1" si="11"/>
        <v>-73780490.680209741</v>
      </c>
      <c r="S81" s="187">
        <f ca="1">IF(B81="","",IF($B$31=0,"",-'Debt Financing Calculations'!E30))</f>
        <v>-36367019.774527282</v>
      </c>
      <c r="T81" s="187">
        <f t="shared" ca="1" si="12"/>
        <v>184091744.98783416</v>
      </c>
      <c r="U81" s="187">
        <f ca="1">IF(C81="","",IF(C81&lt;-1,0,IF(C81=anal_period,-LOOKUP(C81,depr_yr,depr_cost)-Depreciation!$C$141-Depreciation!$B$166,-LOOKUP(C81,depr_yr,depr_cost))))</f>
        <v>-106892274.65068577</v>
      </c>
      <c r="V81" s="187">
        <f t="shared" ca="1" si="13"/>
        <v>77199470.337148383</v>
      </c>
      <c r="W81" s="188">
        <f t="shared" si="14"/>
        <v>0.25739999999999996</v>
      </c>
      <c r="X81" s="187">
        <f t="shared" ca="1" si="15"/>
        <v>-19871143.664781991</v>
      </c>
      <c r="Y81" s="187">
        <f t="shared" ca="1" si="16"/>
        <v>164220601.32305217</v>
      </c>
      <c r="Z81" s="187">
        <f>IF(C81="","",IF($B$31=0,"",-'Debt Financing Calculations'!F30))</f>
        <v>0</v>
      </c>
      <c r="AA81" s="187">
        <f t="shared" ca="1" si="17"/>
        <v>110906112.61128125</v>
      </c>
      <c r="AB81" s="187">
        <f t="shared" ca="1" si="23"/>
        <v>549757979.77631927</v>
      </c>
      <c r="AC81" s="1143">
        <f t="shared" ca="1" si="18"/>
        <v>130777256.27606323</v>
      </c>
      <c r="AD81" s="134"/>
      <c r="AE81" s="1147">
        <f t="shared" ca="1" si="19"/>
        <v>203320476</v>
      </c>
      <c r="AF81" s="1143">
        <f t="shared" si="20"/>
        <v>0</v>
      </c>
    </row>
    <row r="82" spans="1:32" x14ac:dyDescent="0.25">
      <c r="A82" s="58">
        <f t="shared" si="21"/>
        <v>2029</v>
      </c>
      <c r="B82" s="185">
        <f>IF(MAX($B$65:B81)&lt;(construct+anal_period),B81+1,"")</f>
        <v>18</v>
      </c>
      <c r="C82" s="185">
        <f t="shared" si="22"/>
        <v>15</v>
      </c>
      <c r="D82" s="185">
        <f t="shared" si="1"/>
        <v>15</v>
      </c>
      <c r="E82" s="186">
        <f t="shared" si="2"/>
        <v>1.3014832288693996</v>
      </c>
      <c r="F82" s="59">
        <f t="shared" ca="1" si="3"/>
        <v>544368823.18337345</v>
      </c>
      <c r="G82" s="1156"/>
      <c r="H82" s="1165">
        <f t="shared" si="24"/>
        <v>0</v>
      </c>
      <c r="I82" s="187">
        <f ca="1">IF(OR(C82&lt;0,C82=""),"",-E82*INDEX('Replacement Costs'!$A$16:$H$57,MATCH(C82,'Replacement Costs'!$C$16:$C$57,0),MATCH("Total Yearly Replacement Costs",'Replacement Costs'!$A$16:$H$16,0)))</f>
        <v>-53482655.70911739</v>
      </c>
      <c r="J82" s="187">
        <f ca="1">IF(AND(C82&gt;=1,C82&lt;anal_period),WorkingCap*SUM(N82:R82)-WorkingCap*SUM(N81:R81),IF(C82&lt;0,0,IF(B82="","",-SUM(J$65:J81))))</f>
        <v>-823873.37163514644</v>
      </c>
      <c r="K82" s="187" t="str">
        <f t="shared" si="4"/>
        <v/>
      </c>
      <c r="L82" s="187" t="str">
        <f t="shared" si="5"/>
        <v/>
      </c>
      <c r="M82" s="187" t="str">
        <f t="shared" si="6"/>
        <v/>
      </c>
      <c r="N82" s="187">
        <f t="shared" ca="1" si="7"/>
        <v>-117081134.28900808</v>
      </c>
      <c r="O82" s="187">
        <f t="shared" ca="1" si="8"/>
        <v>-124781034.47131927</v>
      </c>
      <c r="P82" s="187">
        <f t="shared" si="9"/>
        <v>-2057595.9109699288</v>
      </c>
      <c r="Q82" s="187">
        <f t="shared" ca="1" si="10"/>
        <v>0</v>
      </c>
      <c r="R82" s="187">
        <f t="shared" ca="1" si="11"/>
        <v>-75332628.192786887</v>
      </c>
      <c r="S82" s="187">
        <f ca="1">IF(B82="","",IF($B$31=0,"",-'Debt Financing Calculations'!E31))</f>
        <v>-36367019.774527282</v>
      </c>
      <c r="T82" s="187">
        <f t="shared" ca="1" si="12"/>
        <v>188749410.54476202</v>
      </c>
      <c r="U82" s="187">
        <f ca="1">IF(C82="","",IF(C82&lt;-1,0,IF(C82=anal_period,-LOOKUP(C82,depr_yr,depr_cost)-Depreciation!$C$141-Depreciation!$B$166,-LOOKUP(C82,depr_yr,depr_cost))))</f>
        <v>-109375810.38701381</v>
      </c>
      <c r="V82" s="187">
        <f t="shared" ca="1" si="13"/>
        <v>79373600.157748207</v>
      </c>
      <c r="W82" s="188">
        <f t="shared" si="14"/>
        <v>0.25739999999999996</v>
      </c>
      <c r="X82" s="187">
        <f t="shared" ca="1" si="15"/>
        <v>-20430764.680604387</v>
      </c>
      <c r="Y82" s="187">
        <f t="shared" ca="1" si="16"/>
        <v>168318645.86415762</v>
      </c>
      <c r="Z82" s="187">
        <f>IF(C82="","",IF($B$31=0,"",-'Debt Financing Calculations'!F31))</f>
        <v>0</v>
      </c>
      <c r="AA82" s="187">
        <f t="shared" ca="1" si="17"/>
        <v>114012116.78340508</v>
      </c>
      <c r="AB82" s="187">
        <f t="shared" ca="1" si="23"/>
        <v>663770096.55972433</v>
      </c>
      <c r="AC82" s="1143">
        <f t="shared" ca="1" si="18"/>
        <v>134442881.46400946</v>
      </c>
      <c r="AD82" s="134"/>
      <c r="AE82" s="1147">
        <f t="shared" ca="1" si="19"/>
        <v>203320476</v>
      </c>
      <c r="AF82" s="1143">
        <f t="shared" si="20"/>
        <v>0</v>
      </c>
    </row>
    <row r="83" spans="1:32" x14ac:dyDescent="0.25">
      <c r="A83" s="58">
        <f t="shared" si="21"/>
        <v>2030</v>
      </c>
      <c r="B83" s="185">
        <f>IF(MAX($B$65:B82)&lt;(construct+anal_period),B82+1,"")</f>
        <v>19</v>
      </c>
      <c r="C83" s="185">
        <f t="shared" si="22"/>
        <v>16</v>
      </c>
      <c r="D83" s="185">
        <f t="shared" si="1"/>
        <v>16</v>
      </c>
      <c r="E83" s="186">
        <f t="shared" si="2"/>
        <v>1.3262114102179181</v>
      </c>
      <c r="F83" s="59">
        <f t="shared" ca="1" si="3"/>
        <v>554711830.82385755</v>
      </c>
      <c r="G83" s="1156"/>
      <c r="H83" s="1165">
        <f t="shared" si="24"/>
        <v>0</v>
      </c>
      <c r="I83" s="187">
        <f ca="1">IF(OR(C83&lt;0,C83=""),"",-E83*INDEX('Replacement Costs'!$A$16:$H$57,MATCH(C83,'Replacement Costs'!$C$16:$C$57,0),MATCH("Total Yearly Replacement Costs",'Replacement Costs'!$A$16:$H$16,0)))</f>
        <v>-54498826.167590618</v>
      </c>
      <c r="J83" s="187">
        <f ca="1">IF(AND(C83&gt;=1,C83&lt;anal_period),WorkingCap*SUM(N83:R83)-WorkingCap*SUM(N82:R82),IF(C83&lt;0,0,IF(B83="","",-SUM(J$65:J82))))</f>
        <v>-905136.51899404079</v>
      </c>
      <c r="K83" s="187" t="str">
        <f t="shared" si="4"/>
        <v/>
      </c>
      <c r="L83" s="187" t="str">
        <f t="shared" si="5"/>
        <v/>
      </c>
      <c r="M83" s="187" t="str">
        <f t="shared" si="6"/>
        <v/>
      </c>
      <c r="N83" s="187">
        <f t="shared" ca="1" si="7"/>
        <v>-119305675.84049922</v>
      </c>
      <c r="O83" s="187">
        <f t="shared" ca="1" si="8"/>
        <v>-127013913.85265982</v>
      </c>
      <c r="P83" s="187">
        <f t="shared" si="9"/>
        <v>-2096690.2332783574</v>
      </c>
      <c r="Q83" s="187">
        <f t="shared" ca="1" si="10"/>
        <v>0</v>
      </c>
      <c r="R83" s="187">
        <f t="shared" ca="1" si="11"/>
        <v>-76870356.397607088</v>
      </c>
      <c r="S83" s="187">
        <f ca="1">IF(B83="","",IF($B$31=0,"",-'Debt Financing Calculations'!E32))</f>
        <v>-36367019.774527282</v>
      </c>
      <c r="T83" s="187">
        <f t="shared" ca="1" si="12"/>
        <v>193058174.72528577</v>
      </c>
      <c r="U83" s="187">
        <f ca="1">IF(C83="","",IF(C83&lt;-1,0,IF(C83=anal_period,-LOOKUP(C83,depr_yr,depr_cost)-Depreciation!$C$141-Depreciation!$B$166,-LOOKUP(C83,depr_yr,depr_cost))))</f>
        <v>-111872833.18184154</v>
      </c>
      <c r="V83" s="187">
        <f t="shared" ca="1" si="13"/>
        <v>81185341.543444231</v>
      </c>
      <c r="W83" s="188">
        <f t="shared" si="14"/>
        <v>0.25739999999999996</v>
      </c>
      <c r="X83" s="187">
        <f t="shared" ca="1" si="15"/>
        <v>-20897106.913282543</v>
      </c>
      <c r="Y83" s="187">
        <f t="shared" ca="1" si="16"/>
        <v>172161067.81200323</v>
      </c>
      <c r="Z83" s="187">
        <f>IF(C83="","",IF($B$31=0,"",-'Debt Financing Calculations'!F32))</f>
        <v>0</v>
      </c>
      <c r="AA83" s="187">
        <f t="shared" ca="1" si="17"/>
        <v>116757105.12541857</v>
      </c>
      <c r="AB83" s="187">
        <f t="shared" ca="1" si="23"/>
        <v>780527201.68514287</v>
      </c>
      <c r="AC83" s="1143">
        <f t="shared" ca="1" si="18"/>
        <v>137654212.03870112</v>
      </c>
      <c r="AD83" s="134"/>
      <c r="AE83" s="1147">
        <f t="shared" ca="1" si="19"/>
        <v>203320476</v>
      </c>
      <c r="AF83" s="1143">
        <f t="shared" si="20"/>
        <v>0</v>
      </c>
    </row>
    <row r="84" spans="1:32" x14ac:dyDescent="0.25">
      <c r="A84" s="58">
        <f t="shared" si="21"/>
        <v>2031</v>
      </c>
      <c r="B84" s="185">
        <f>IF(MAX($B$65:B83)&lt;(construct+anal_period),B83+1,"")</f>
        <v>20</v>
      </c>
      <c r="C84" s="185">
        <f t="shared" si="22"/>
        <v>17</v>
      </c>
      <c r="D84" s="185">
        <f t="shared" si="1"/>
        <v>17</v>
      </c>
      <c r="E84" s="186">
        <f t="shared" si="2"/>
        <v>1.3514094270120585</v>
      </c>
      <c r="F84" s="59">
        <f t="shared" ca="1" si="3"/>
        <v>565251355.60951078</v>
      </c>
      <c r="G84" s="1156"/>
      <c r="H84" s="1165">
        <f t="shared" si="24"/>
        <v>0</v>
      </c>
      <c r="I84" s="187">
        <f ca="1">IF(OR(C84&lt;0,C84=""),"",-E84*INDEX('Replacement Costs'!$A$16:$H$57,MATCH(C84,'Replacement Costs'!$C$16:$C$57,0),MATCH("Total Yearly Replacement Costs",'Replacement Costs'!$A$16:$H$16,0)))</f>
        <v>-55534303.864774838</v>
      </c>
      <c r="J84" s="187">
        <f ca="1">IF(AND(C84&gt;=1,C84&lt;anal_period),WorkingCap*SUM(N84:R84)-WorkingCap*SUM(N83:R83),IF(C84&lt;0,0,IF(B84="","",-SUM(J$65:J83))))</f>
        <v>-938864.1272238642</v>
      </c>
      <c r="K84" s="187" t="str">
        <f t="shared" si="4"/>
        <v/>
      </c>
      <c r="L84" s="187" t="str">
        <f t="shared" si="5"/>
        <v/>
      </c>
      <c r="M84" s="187" t="str">
        <f t="shared" si="6"/>
        <v/>
      </c>
      <c r="N84" s="187">
        <f t="shared" ca="1" si="7"/>
        <v>-121572483.6814687</v>
      </c>
      <c r="O84" s="187">
        <f t="shared" ca="1" si="8"/>
        <v>-129466507.23394915</v>
      </c>
      <c r="P84" s="187">
        <f t="shared" si="9"/>
        <v>-2136527.3477106458</v>
      </c>
      <c r="Q84" s="187">
        <f t="shared" ca="1" si="10"/>
        <v>0</v>
      </c>
      <c r="R84" s="187">
        <f t="shared" ca="1" si="11"/>
        <v>-78370212.242408425</v>
      </c>
      <c r="S84" s="187">
        <f ca="1">IF(B84="","",IF($B$31=0,"",-'Debt Financing Calculations'!E33))</f>
        <v>-36367019.774527282</v>
      </c>
      <c r="T84" s="187">
        <f t="shared" ca="1" si="12"/>
        <v>197338605.32944655</v>
      </c>
      <c r="U84" s="187">
        <f ca="1">IF(C84="","",IF(C84&lt;-1,0,IF(C84=anal_period,-LOOKUP(C84,depr_yr,depr_cost)-Depreciation!$C$141-Depreciation!$B$166,-LOOKUP(C84,depr_yr,depr_cost))))</f>
        <v>-114450999.53026155</v>
      </c>
      <c r="V84" s="187">
        <f t="shared" ca="1" si="13"/>
        <v>82887605.799185008</v>
      </c>
      <c r="W84" s="188">
        <f t="shared" si="14"/>
        <v>0.25739999999999996</v>
      </c>
      <c r="X84" s="187">
        <f t="shared" ca="1" si="15"/>
        <v>-21335269.732710216</v>
      </c>
      <c r="Y84" s="187">
        <f t="shared" ca="1" si="16"/>
        <v>176003335.59673634</v>
      </c>
      <c r="Z84" s="187">
        <f>IF(C84="","",IF($B$31=0,"",-'Debt Financing Calculations'!F33))</f>
        <v>0</v>
      </c>
      <c r="AA84" s="187">
        <f t="shared" ca="1" si="17"/>
        <v>119530167.60473764</v>
      </c>
      <c r="AB84" s="187">
        <f t="shared" ca="1" si="23"/>
        <v>900057369.28988051</v>
      </c>
      <c r="AC84" s="1143">
        <f t="shared" ca="1" si="18"/>
        <v>140865437.33744785</v>
      </c>
      <c r="AD84" s="134"/>
      <c r="AE84" s="1147">
        <f t="shared" ca="1" si="19"/>
        <v>203320476</v>
      </c>
      <c r="AF84" s="1143">
        <f t="shared" si="20"/>
        <v>0</v>
      </c>
    </row>
    <row r="85" spans="1:32" x14ac:dyDescent="0.25">
      <c r="A85" s="58">
        <f t="shared" si="21"/>
        <v>2032</v>
      </c>
      <c r="B85" s="185">
        <f>IF(MAX($B$65:B84)&lt;(construct+anal_period),B84+1,"")</f>
        <v>21</v>
      </c>
      <c r="C85" s="185">
        <f t="shared" si="22"/>
        <v>18</v>
      </c>
      <c r="D85" s="185">
        <f t="shared" si="1"/>
        <v>18</v>
      </c>
      <c r="E85" s="186">
        <f t="shared" si="2"/>
        <v>1.3770862061252875</v>
      </c>
      <c r="F85" s="59">
        <f t="shared" ca="1" si="3"/>
        <v>575991131.36609149</v>
      </c>
      <c r="G85" s="1156"/>
      <c r="H85" s="1165">
        <f t="shared" si="24"/>
        <v>0</v>
      </c>
      <c r="I85" s="187">
        <f ca="1">IF(OR(C85&lt;0,C85=""),"",-E85*INDEX('Replacement Costs'!$A$16:$H$57,MATCH(C85,'Replacement Costs'!$C$16:$C$57,0),MATCH("Total Yearly Replacement Costs",'Replacement Costs'!$A$16:$H$16,0)))</f>
        <v>-56589455.638205558</v>
      </c>
      <c r="J85" s="187">
        <f ca="1">IF(AND(C85&gt;=1,C85&lt;anal_period),WorkingCap*SUM(N85:R85)-WorkingCap*SUM(N84:R84),IF(C85&lt;0,0,IF(B85="","",-SUM(J$65:J84))))</f>
        <v>-962411.62787679583</v>
      </c>
      <c r="K85" s="187" t="str">
        <f t="shared" si="4"/>
        <v/>
      </c>
      <c r="L85" s="187" t="str">
        <f t="shared" si="5"/>
        <v/>
      </c>
      <c r="M85" s="187" t="str">
        <f t="shared" si="6"/>
        <v/>
      </c>
      <c r="N85" s="187">
        <f t="shared" ca="1" si="7"/>
        <v>-123882360.8714166</v>
      </c>
      <c r="O85" s="187">
        <f t="shared" ca="1" si="8"/>
        <v>-132115326.46265835</v>
      </c>
      <c r="P85" s="187">
        <f t="shared" si="9"/>
        <v>-2177121.367317148</v>
      </c>
      <c r="Q85" s="187">
        <f t="shared" ca="1" si="10"/>
        <v>0</v>
      </c>
      <c r="R85" s="187">
        <f t="shared" ca="1" si="11"/>
        <v>-79786999.323323429</v>
      </c>
      <c r="S85" s="187">
        <f ca="1">IF(B85="","",IF($B$31=0,"",-'Debt Financing Calculations'!E34))</f>
        <v>-36367019.774527282</v>
      </c>
      <c r="T85" s="187">
        <f t="shared" ca="1" si="12"/>
        <v>201662303.56684864</v>
      </c>
      <c r="U85" s="187">
        <f ca="1">IF(C85="","",IF(C85&lt;-1,0,IF(C85=anal_period,-LOOKUP(C85,depr_yr,depr_cost)-Depreciation!$C$141-Depreciation!$B$166,-LOOKUP(C85,depr_yr,depr_cost))))</f>
        <v>-117044450.91881099</v>
      </c>
      <c r="V85" s="187">
        <f t="shared" ca="1" si="13"/>
        <v>84617852.648037642</v>
      </c>
      <c r="W85" s="188">
        <f t="shared" si="14"/>
        <v>0.25739999999999996</v>
      </c>
      <c r="X85" s="187">
        <f t="shared" ca="1" si="15"/>
        <v>-21780635.271604884</v>
      </c>
      <c r="Y85" s="187">
        <f t="shared" ca="1" si="16"/>
        <v>179881668.29524374</v>
      </c>
      <c r="Z85" s="187">
        <f>IF(C85="","",IF($B$31=0,"",-'Debt Financing Calculations'!F34))</f>
        <v>0</v>
      </c>
      <c r="AA85" s="187">
        <f t="shared" ca="1" si="17"/>
        <v>122329801.02916141</v>
      </c>
      <c r="AB85" s="187">
        <f t="shared" ca="1" si="23"/>
        <v>1022387170.319042</v>
      </c>
      <c r="AC85" s="1143">
        <f t="shared" ca="1" si="18"/>
        <v>144110436.30076629</v>
      </c>
      <c r="AD85" s="134"/>
      <c r="AE85" s="1147">
        <f t="shared" ca="1" si="19"/>
        <v>203320476</v>
      </c>
      <c r="AF85" s="1143">
        <f t="shared" si="20"/>
        <v>0</v>
      </c>
    </row>
    <row r="86" spans="1:32" x14ac:dyDescent="0.25">
      <c r="A86" s="58">
        <f t="shared" si="21"/>
        <v>2033</v>
      </c>
      <c r="B86" s="185">
        <f>IF(MAX($B$65:B85)&lt;(construct+anal_period),B85+1,"")</f>
        <v>22</v>
      </c>
      <c r="C86" s="185">
        <f t="shared" si="22"/>
        <v>19</v>
      </c>
      <c r="D86" s="185">
        <f t="shared" si="1"/>
        <v>19</v>
      </c>
      <c r="E86" s="186">
        <f t="shared" si="2"/>
        <v>1.4032508440416678</v>
      </c>
      <c r="F86" s="59">
        <f t="shared" ca="1" si="3"/>
        <v>586934962.86204708</v>
      </c>
      <c r="G86" s="1156"/>
      <c r="H86" s="1165">
        <f t="shared" si="24"/>
        <v>0</v>
      </c>
      <c r="I86" s="187">
        <f ca="1">IF(OR(C86&lt;0,C86=""),"",-E86*INDEX('Replacement Costs'!$A$16:$H$57,MATCH(C86,'Replacement Costs'!$C$16:$C$57,0),MATCH("Total Yearly Replacement Costs",'Replacement Costs'!$A$16:$H$16,0)))</f>
        <v>-57664655.295331456</v>
      </c>
      <c r="J86" s="187">
        <f ca="1">IF(AND(C86&gt;=1,C86&lt;anal_period),WorkingCap*SUM(N86:R86)-WorkingCap*SUM(N85:R85),IF(C86&lt;0,0,IF(B86="","",-SUM(J$65:J85))))</f>
        <v>-994355.78221122921</v>
      </c>
      <c r="K86" s="187" t="str">
        <f t="shared" si="4"/>
        <v/>
      </c>
      <c r="L86" s="187" t="str">
        <f t="shared" si="5"/>
        <v/>
      </c>
      <c r="M86" s="187" t="str">
        <f t="shared" si="6"/>
        <v/>
      </c>
      <c r="N86" s="187">
        <f t="shared" ca="1" si="7"/>
        <v>-126236125.72797349</v>
      </c>
      <c r="O86" s="187">
        <f t="shared" ca="1" si="8"/>
        <v>-134948357.96769586</v>
      </c>
      <c r="P86" s="187">
        <f t="shared" si="9"/>
        <v>-2218486.6732961736</v>
      </c>
      <c r="Q86" s="187">
        <f t="shared" ca="1" si="10"/>
        <v>0</v>
      </c>
      <c r="R86" s="187">
        <f t="shared" ca="1" si="11"/>
        <v>-81187876.203824863</v>
      </c>
      <c r="S86" s="187">
        <f ca="1">IF(B86="","",IF($B$31=0,"",-'Debt Financing Calculations'!E35))</f>
        <v>-36367019.774527282</v>
      </c>
      <c r="T86" s="187">
        <f t="shared" ca="1" si="12"/>
        <v>205977096.51472938</v>
      </c>
      <c r="U86" s="187">
        <f ca="1">IF(C86="","",IF(C86&lt;-1,0,IF(C86=anal_period,-LOOKUP(C86,depr_yr,depr_cost)-Depreciation!$C$141-Depreciation!$B$166,-LOOKUP(C86,depr_yr,depr_cost))))</f>
        <v>-119720878.00423342</v>
      </c>
      <c r="V86" s="187">
        <f t="shared" ca="1" si="13"/>
        <v>86256218.510495961</v>
      </c>
      <c r="W86" s="188">
        <f t="shared" si="14"/>
        <v>0.25739999999999996</v>
      </c>
      <c r="X86" s="187">
        <f t="shared" ca="1" si="15"/>
        <v>-22202350.644601658</v>
      </c>
      <c r="Y86" s="187">
        <f t="shared" ca="1" si="16"/>
        <v>183774745.87012774</v>
      </c>
      <c r="Z86" s="187">
        <f>IF(C86="","",IF($B$31=0,"",-'Debt Financing Calculations'!F35))</f>
        <v>0</v>
      </c>
      <c r="AA86" s="187">
        <f t="shared" ca="1" si="17"/>
        <v>125115734.79258503</v>
      </c>
      <c r="AB86" s="187">
        <f t="shared" ca="1" si="23"/>
        <v>1147502905.1116271</v>
      </c>
      <c r="AC86" s="1143">
        <f t="shared" ca="1" si="18"/>
        <v>147318085.43718669</v>
      </c>
      <c r="AD86" s="134"/>
      <c r="AE86" s="1147">
        <f t="shared" ca="1" si="19"/>
        <v>203320476</v>
      </c>
      <c r="AF86" s="1143">
        <f t="shared" si="20"/>
        <v>0</v>
      </c>
    </row>
    <row r="87" spans="1:32" x14ac:dyDescent="0.25">
      <c r="A87" s="58">
        <f t="shared" si="21"/>
        <v>2034</v>
      </c>
      <c r="B87" s="185">
        <f>IF(MAX($B$65:B86)&lt;(construct+anal_period),B86+1,"")</f>
        <v>23</v>
      </c>
      <c r="C87" s="185">
        <f t="shared" si="22"/>
        <v>20</v>
      </c>
      <c r="D87" s="185">
        <f t="shared" si="1"/>
        <v>20</v>
      </c>
      <c r="E87" s="186">
        <f t="shared" si="2"/>
        <v>1.4299126100784596</v>
      </c>
      <c r="F87" s="59">
        <f t="shared" ca="1" si="3"/>
        <v>598086727.15642607</v>
      </c>
      <c r="G87" s="1156"/>
      <c r="H87" s="1165">
        <f t="shared" si="24"/>
        <v>0</v>
      </c>
      <c r="I87" s="187">
        <f ca="1">IF(OR(C87&lt;0,C87=""),"",-E87*INDEX('Replacement Costs'!$A$16:$H$57,MATCH(C87,'Replacement Costs'!$C$16:$C$57,0),MATCH("Total Yearly Replacement Costs",'Replacement Costs'!$A$16:$H$16,0)))</f>
        <v>-58760283.745942757</v>
      </c>
      <c r="J87" s="187">
        <f ca="1">IF(AND(C87&gt;=1,C87&lt;anal_period),WorkingCap*SUM(N87:R87)-WorkingCap*SUM(N86:R86),IF(C87&lt;0,0,IF(B87="","",-SUM(J$65:J86))))</f>
        <v>-1073125.3593226522</v>
      </c>
      <c r="K87" s="187" t="str">
        <f t="shared" si="4"/>
        <v/>
      </c>
      <c r="L87" s="187" t="str">
        <f t="shared" si="5"/>
        <v/>
      </c>
      <c r="M87" s="187" t="str">
        <f t="shared" si="6"/>
        <v/>
      </c>
      <c r="N87" s="187">
        <f t="shared" ca="1" si="7"/>
        <v>-128634612.116805</v>
      </c>
      <c r="O87" s="187">
        <f t="shared" ca="1" si="8"/>
        <v>-138214323.67580751</v>
      </c>
      <c r="P87" s="187">
        <f t="shared" si="9"/>
        <v>-2260637.9200888011</v>
      </c>
      <c r="Q87" s="187">
        <f t="shared" ca="1" si="10"/>
        <v>0</v>
      </c>
      <c r="R87" s="187">
        <f t="shared" ca="1" si="11"/>
        <v>-82635441.922240093</v>
      </c>
      <c r="S87" s="187">
        <f ca="1">IF(B87="","",IF($B$31=0,"",-'Debt Financing Calculations'!E36))</f>
        <v>-36367019.774527282</v>
      </c>
      <c r="T87" s="187">
        <f t="shared" ca="1" si="12"/>
        <v>209974691.74695742</v>
      </c>
      <c r="U87" s="187">
        <f ca="1">IF(C87="","",IF(C87&lt;-1,0,IF(C87=anal_period,-LOOKUP(C87,depr_yr,depr_cost)-Depreciation!$C$141-Depreciation!$B$166,-LOOKUP(C87,depr_yr,depr_cost))))</f>
        <v>-122414457.08378832</v>
      </c>
      <c r="V87" s="187">
        <f t="shared" ca="1" si="13"/>
        <v>87560234.663169101</v>
      </c>
      <c r="W87" s="188">
        <f t="shared" si="14"/>
        <v>0.25739999999999996</v>
      </c>
      <c r="X87" s="187">
        <f t="shared" ca="1" si="15"/>
        <v>-22538004.402299725</v>
      </c>
      <c r="Y87" s="187">
        <f t="shared" ca="1" si="16"/>
        <v>187436687.34465769</v>
      </c>
      <c r="Z87" s="187">
        <f>IF(C87="","",IF($B$31=0,"",-'Debt Financing Calculations'!F36))</f>
        <v>0</v>
      </c>
      <c r="AA87" s="187">
        <f t="shared" ca="1" si="17"/>
        <v>127603278.23939228</v>
      </c>
      <c r="AB87" s="187">
        <f t="shared" ca="1" si="23"/>
        <v>1275106183.3510194</v>
      </c>
      <c r="AC87" s="1143">
        <f t="shared" ca="1" si="18"/>
        <v>150141282.64169201</v>
      </c>
      <c r="AD87" s="134"/>
      <c r="AE87" s="1147">
        <f t="shared" ca="1" si="19"/>
        <v>203320476</v>
      </c>
      <c r="AF87" s="1143">
        <f t="shared" si="20"/>
        <v>0</v>
      </c>
    </row>
    <row r="88" spans="1:32" x14ac:dyDescent="0.25">
      <c r="A88" s="58">
        <f t="shared" si="21"/>
        <v>2035</v>
      </c>
      <c r="B88" s="185">
        <f>IF(MAX($B$65:B87)&lt;(construct+anal_period),B87+1,"")</f>
        <v>24</v>
      </c>
      <c r="C88" s="185">
        <f t="shared" si="22"/>
        <v>21</v>
      </c>
      <c r="D88" s="185">
        <f t="shared" si="1"/>
        <v>21</v>
      </c>
      <c r="E88" s="186">
        <f t="shared" si="2"/>
        <v>1.4570809496699502</v>
      </c>
      <c r="F88" s="59">
        <f t="shared" ca="1" si="3"/>
        <v>609450374.97239804</v>
      </c>
      <c r="G88" s="1156"/>
      <c r="H88" s="1165">
        <f t="shared" si="24"/>
        <v>0</v>
      </c>
      <c r="I88" s="187">
        <f ca="1">IF(OR(C88&lt;0,C88=""),"",-E88*INDEX('Replacement Costs'!$A$16:$H$57,MATCH(C88,'Replacement Costs'!$C$16:$C$57,0),MATCH("Total Yearly Replacement Costs",'Replacement Costs'!$A$16:$H$16,0)))</f>
        <v>-59876729.137115657</v>
      </c>
      <c r="J88" s="187">
        <f ca="1">IF(AND(C88&gt;=1,C88&lt;anal_period),WorkingCap*SUM(N88:R88)-WorkingCap*SUM(N87:R87),IF(C88&lt;0,0,IF(B88="","",-SUM(J$65:J87))))</f>
        <v>-1065434.3731532544</v>
      </c>
      <c r="K88" s="187" t="str">
        <f t="shared" si="4"/>
        <v/>
      </c>
      <c r="L88" s="187" t="str">
        <f t="shared" si="5"/>
        <v/>
      </c>
      <c r="M88" s="187" t="str">
        <f t="shared" si="6"/>
        <v/>
      </c>
      <c r="N88" s="187">
        <f t="shared" ca="1" si="7"/>
        <v>-131078669.74702428</v>
      </c>
      <c r="O88" s="187">
        <f t="shared" ca="1" si="8"/>
        <v>-141142693.48797289</v>
      </c>
      <c r="P88" s="187">
        <f t="shared" si="9"/>
        <v>-2303590.0405704882</v>
      </c>
      <c r="Q88" s="187">
        <f t="shared" ca="1" si="10"/>
        <v>0</v>
      </c>
      <c r="R88" s="187">
        <f t="shared" ca="1" si="11"/>
        <v>-84322958.180395454</v>
      </c>
      <c r="S88" s="187">
        <f ca="1">IF(B88="","",IF($B$31=0,"",-'Debt Financing Calculations'!E37))</f>
        <v>-36367019.774527282</v>
      </c>
      <c r="T88" s="187">
        <f t="shared" ca="1" si="12"/>
        <v>214235443.7419076</v>
      </c>
      <c r="U88" s="187">
        <f ca="1">IF(C88="","",IF(C88&lt;-1,0,IF(C88=anal_period,-LOOKUP(C88,depr_yr,depr_cost)-Depreciation!$C$141-Depreciation!$B$166,-LOOKUP(C88,depr_yr,depr_cost))))</f>
        <v>-87491484.556561574</v>
      </c>
      <c r="V88" s="187">
        <f t="shared" ca="1" si="13"/>
        <v>126743959.18534602</v>
      </c>
      <c r="W88" s="188">
        <f t="shared" si="14"/>
        <v>0.25739999999999996</v>
      </c>
      <c r="X88" s="187">
        <f t="shared" ca="1" si="15"/>
        <v>-32623895.09430806</v>
      </c>
      <c r="Y88" s="187">
        <f t="shared" ca="1" si="16"/>
        <v>181611548.64759955</v>
      </c>
      <c r="Z88" s="187">
        <f>IF(C88="","",IF($B$31=0,"",-'Debt Financing Calculations'!F37))</f>
        <v>0</v>
      </c>
      <c r="AA88" s="187">
        <f t="shared" ca="1" si="17"/>
        <v>120669385.13733061</v>
      </c>
      <c r="AB88" s="187">
        <f t="shared" ca="1" si="23"/>
        <v>1395775568.4883499</v>
      </c>
      <c r="AC88" s="1143">
        <f t="shared" ca="1" si="18"/>
        <v>153293280.23163867</v>
      </c>
      <c r="AD88" s="134"/>
      <c r="AE88" s="1147">
        <f t="shared" ca="1" si="19"/>
        <v>203320476</v>
      </c>
      <c r="AF88" s="1143">
        <f t="shared" si="20"/>
        <v>0</v>
      </c>
    </row>
    <row r="89" spans="1:32" x14ac:dyDescent="0.25">
      <c r="A89" s="58">
        <f t="shared" si="21"/>
        <v>2036</v>
      </c>
      <c r="B89" s="185">
        <f>IF(MAX($B$65:B88)&lt;(construct+anal_period),B88+1,"")</f>
        <v>25</v>
      </c>
      <c r="C89" s="185">
        <f t="shared" si="22"/>
        <v>22</v>
      </c>
      <c r="D89" s="185">
        <f t="shared" si="1"/>
        <v>22</v>
      </c>
      <c r="E89" s="186">
        <f t="shared" si="2"/>
        <v>1.4847654877136791</v>
      </c>
      <c r="F89" s="59">
        <f t="shared" ca="1" si="3"/>
        <v>621029932.09687352</v>
      </c>
      <c r="G89" s="1156"/>
      <c r="H89" s="1165">
        <f t="shared" si="24"/>
        <v>0</v>
      </c>
      <c r="I89" s="187">
        <f ca="1">IF(OR(C89&lt;0,C89=""),"",-E89*INDEX('Replacement Costs'!$A$16:$H$57,MATCH(C89,'Replacement Costs'!$C$16:$C$57,0),MATCH("Total Yearly Replacement Costs",'Replacement Costs'!$A$16:$H$16,0)))</f>
        <v>-61014386.990720853</v>
      </c>
      <c r="J89" s="187">
        <f ca="1">IF(AND(C89&gt;=1,C89&lt;anal_period),WorkingCap*SUM(N89:R89)-WorkingCap*SUM(N88:R88),IF(C89&lt;0,0,IF(B89="","",-SUM(J$65:J88))))</f>
        <v>-1195393.7972669452</v>
      </c>
      <c r="K89" s="187" t="str">
        <f t="shared" si="4"/>
        <v/>
      </c>
      <c r="L89" s="187" t="str">
        <f t="shared" si="5"/>
        <v/>
      </c>
      <c r="M89" s="187" t="str">
        <f t="shared" si="6"/>
        <v/>
      </c>
      <c r="N89" s="187">
        <f t="shared" ca="1" si="7"/>
        <v>-133569164.47221774</v>
      </c>
      <c r="O89" s="187">
        <f t="shared" ca="1" si="8"/>
        <v>-144852096.36814529</v>
      </c>
      <c r="P89" s="187">
        <f t="shared" si="9"/>
        <v>-2347358.2513413271</v>
      </c>
      <c r="Q89" s="187">
        <f t="shared" ca="1" si="10"/>
        <v>0</v>
      </c>
      <c r="R89" s="187">
        <f t="shared" ca="1" si="11"/>
        <v>-86048584.346038416</v>
      </c>
      <c r="S89" s="187">
        <f ca="1">IF(B89="","",IF($B$31=0,"",-'Debt Financing Calculations'!E38))</f>
        <v>-36367019.774527282</v>
      </c>
      <c r="T89" s="187">
        <f t="shared" ca="1" si="12"/>
        <v>217845708.8846035</v>
      </c>
      <c r="U89" s="187">
        <f ca="1">IF(C89="","",IF(C89&lt;-1,0,IF(C89=anal_period,-LOOKUP(C89,depr_yr,depr_cost)-Depreciation!$C$141-Depreciation!$B$166,-LOOKUP(C89,depr_yr,depr_cost))))</f>
        <v>-51670283.678465798</v>
      </c>
      <c r="V89" s="187">
        <f t="shared" ca="1" si="13"/>
        <v>166175425.20613772</v>
      </c>
      <c r="W89" s="188">
        <f t="shared" si="14"/>
        <v>0.25739999999999996</v>
      </c>
      <c r="X89" s="187">
        <f t="shared" ca="1" si="15"/>
        <v>-42773554.448059842</v>
      </c>
      <c r="Y89" s="187">
        <f t="shared" ca="1" si="16"/>
        <v>175072154.43654364</v>
      </c>
      <c r="Z89" s="187">
        <f>IF(C89="","",IF($B$31=0,"",-'Debt Financing Calculations'!F38))</f>
        <v>0</v>
      </c>
      <c r="AA89" s="187">
        <f t="shared" ca="1" si="17"/>
        <v>112862373.64855586</v>
      </c>
      <c r="AB89" s="187">
        <f t="shared" ca="1" si="23"/>
        <v>1508637942.1369057</v>
      </c>
      <c r="AC89" s="1143">
        <f t="shared" ca="1" si="18"/>
        <v>155635928.0966157</v>
      </c>
      <c r="AD89" s="134"/>
      <c r="AE89" s="1147">
        <f t="shared" ca="1" si="19"/>
        <v>203320476</v>
      </c>
      <c r="AF89" s="1143">
        <f t="shared" si="20"/>
        <v>0</v>
      </c>
    </row>
    <row r="90" spans="1:32" x14ac:dyDescent="0.25">
      <c r="A90" s="58">
        <f t="shared" si="21"/>
        <v>2037</v>
      </c>
      <c r="B90" s="185">
        <f>IF(MAX($B$65:B89)&lt;(construct+anal_period),B89+1,"")</f>
        <v>26</v>
      </c>
      <c r="C90" s="185">
        <f t="shared" si="22"/>
        <v>23</v>
      </c>
      <c r="D90" s="185">
        <f t="shared" si="1"/>
        <v>23</v>
      </c>
      <c r="E90" s="186">
        <f t="shared" si="2"/>
        <v>1.5129760319802392</v>
      </c>
      <c r="F90" s="59">
        <f t="shared" ca="1" si="3"/>
        <v>632829500.8067143</v>
      </c>
      <c r="G90" s="1156"/>
      <c r="H90" s="1165">
        <f t="shared" si="24"/>
        <v>0</v>
      </c>
      <c r="I90" s="187">
        <f ca="1">IF(OR(C90&lt;0,C90=""),"",-E90*INDEX('Replacement Costs'!$A$16:$H$57,MATCH(C90,'Replacement Costs'!$C$16:$C$57,0),MATCH("Total Yearly Replacement Costs",'Replacement Costs'!$A$16:$H$16,0)))</f>
        <v>-62173660.343544558</v>
      </c>
      <c r="J90" s="187">
        <f ca="1">IF(AND(C90&gt;=1,C90&lt;anal_period),WorkingCap*SUM(N90:R90)-WorkingCap*SUM(N89:R89),IF(C90&lt;0,0,IF(B90="","",-SUM(J$65:J89))))</f>
        <v>-1070122.3027779013</v>
      </c>
      <c r="K90" s="187" t="str">
        <f t="shared" si="4"/>
        <v/>
      </c>
      <c r="L90" s="187" t="str">
        <f t="shared" si="5"/>
        <v/>
      </c>
      <c r="M90" s="187" t="str">
        <f t="shared" si="6"/>
        <v/>
      </c>
      <c r="N90" s="187">
        <f t="shared" ca="1" si="7"/>
        <v>-136106978.5971899</v>
      </c>
      <c r="O90" s="187">
        <f t="shared" ca="1" si="8"/>
        <v>-147795171.15804785</v>
      </c>
      <c r="P90" s="187">
        <f t="shared" si="9"/>
        <v>-2391958.0581168127</v>
      </c>
      <c r="Q90" s="187">
        <f t="shared" ca="1" si="10"/>
        <v>0</v>
      </c>
      <c r="R90" s="187">
        <f t="shared" ca="1" si="11"/>
        <v>-87657244.309574172</v>
      </c>
      <c r="S90" s="187">
        <f ca="1">IF(B90="","",IF($B$31=0,"",-'Debt Financing Calculations'!E39))</f>
        <v>-36367019.774527282</v>
      </c>
      <c r="T90" s="187">
        <f t="shared" ca="1" si="12"/>
        <v>222511128.90925825</v>
      </c>
      <c r="U90" s="187">
        <f ca="1">IF(C90="","",IF(C90&lt;-1,0,IF(C90=anal_period,-LOOKUP(C90,depr_yr,depr_cost)-Depreciation!$C$141-Depreciation!$B$166,-LOOKUP(C90,depr_yr,depr_cost))))</f>
        <v>-52652019.068356648</v>
      </c>
      <c r="V90" s="187">
        <f t="shared" ca="1" si="13"/>
        <v>169859109.84090161</v>
      </c>
      <c r="W90" s="188">
        <f t="shared" si="14"/>
        <v>0.25739999999999996</v>
      </c>
      <c r="X90" s="187">
        <f t="shared" ca="1" si="15"/>
        <v>-43721734.873048067</v>
      </c>
      <c r="Y90" s="187">
        <f t="shared" ca="1" si="16"/>
        <v>178789394.03621018</v>
      </c>
      <c r="Z90" s="187">
        <f>IF(C90="","",IF($B$31=0,"",-'Debt Financing Calculations'!F39))</f>
        <v>0</v>
      </c>
      <c r="AA90" s="187">
        <f t="shared" ca="1" si="17"/>
        <v>115545611.38988772</v>
      </c>
      <c r="AB90" s="187">
        <f t="shared" ca="1" si="23"/>
        <v>1624183553.5267935</v>
      </c>
      <c r="AC90" s="1143">
        <f t="shared" ca="1" si="18"/>
        <v>159267346.26293579</v>
      </c>
      <c r="AD90" s="134"/>
      <c r="AE90" s="1147">
        <f t="shared" ca="1" si="19"/>
        <v>203320476</v>
      </c>
      <c r="AF90" s="1143">
        <f t="shared" si="20"/>
        <v>0</v>
      </c>
    </row>
    <row r="91" spans="1:32" x14ac:dyDescent="0.25">
      <c r="A91" s="58">
        <f t="shared" si="21"/>
        <v>2038</v>
      </c>
      <c r="B91" s="185">
        <f>IF(MAX($B$65:B90)&lt;(construct+anal_period),B90+1,"")</f>
        <v>27</v>
      </c>
      <c r="C91" s="185">
        <f t="shared" si="22"/>
        <v>24</v>
      </c>
      <c r="D91" s="185">
        <f t="shared" si="1"/>
        <v>24</v>
      </c>
      <c r="E91" s="186">
        <f t="shared" si="2"/>
        <v>1.5417225765878635</v>
      </c>
      <c r="F91" s="59">
        <f t="shared" ca="1" si="3"/>
        <v>644853261.32204175</v>
      </c>
      <c r="G91" s="1156"/>
      <c r="H91" s="1165">
        <f t="shared" si="24"/>
        <v>0</v>
      </c>
      <c r="I91" s="187">
        <f ca="1">IF(OR(C91&lt;0,C91=""),"",-E91*INDEX('Replacement Costs'!$A$16:$H$57,MATCH(C91,'Replacement Costs'!$C$16:$C$57,0),MATCH("Total Yearly Replacement Costs",'Replacement Costs'!$A$16:$H$16,0)))</f>
        <v>-63354959.890071891</v>
      </c>
      <c r="J91" s="187">
        <f ca="1">IF(AND(C91&gt;=1,C91&lt;anal_period),WorkingCap*SUM(N91:R91)-WorkingCap*SUM(N90:R90),IF(C91&lt;0,0,IF(B91="","",-SUM(J$65:J90))))</f>
        <v>-1151162.8036575243</v>
      </c>
      <c r="K91" s="187" t="str">
        <f t="shared" si="4"/>
        <v/>
      </c>
      <c r="L91" s="187" t="str">
        <f t="shared" si="5"/>
        <v/>
      </c>
      <c r="M91" s="187" t="str">
        <f t="shared" si="6"/>
        <v/>
      </c>
      <c r="N91" s="187">
        <f t="shared" ca="1" si="7"/>
        <v>-138693011.19053647</v>
      </c>
      <c r="O91" s="187">
        <f t="shared" ca="1" si="8"/>
        <v>-151164766.63353547</v>
      </c>
      <c r="P91" s="187">
        <f t="shared" si="9"/>
        <v>-2437405.2612210317</v>
      </c>
      <c r="Q91" s="187">
        <f t="shared" ca="1" si="10"/>
        <v>0</v>
      </c>
      <c r="R91" s="187">
        <f t="shared" ca="1" si="11"/>
        <v>-89330587.728685886</v>
      </c>
      <c r="S91" s="187">
        <f ca="1">IF(B91="","",IF($B$31=0,"",-'Debt Financing Calculations'!E40))</f>
        <v>-36367019.774527282</v>
      </c>
      <c r="T91" s="187">
        <f t="shared" ca="1" si="12"/>
        <v>226860470.73353553</v>
      </c>
      <c r="U91" s="187">
        <f ca="1">IF(C91="","",IF(C91&lt;-1,0,IF(C91=anal_period,-LOOKUP(C91,depr_yr,depr_cost)-Depreciation!$C$141-Depreciation!$B$166,-LOOKUP(C91,depr_yr,depr_cost))))</f>
        <v>-53652407.430655412</v>
      </c>
      <c r="V91" s="187">
        <f t="shared" ca="1" si="13"/>
        <v>173208063.30288011</v>
      </c>
      <c r="W91" s="188">
        <f t="shared" si="14"/>
        <v>0.25739999999999996</v>
      </c>
      <c r="X91" s="187">
        <f t="shared" ca="1" si="15"/>
        <v>-44583755.49416133</v>
      </c>
      <c r="Y91" s="187">
        <f t="shared" ca="1" si="16"/>
        <v>182276715.23937419</v>
      </c>
      <c r="Z91" s="187">
        <f>IF(C91="","",IF($B$31=0,"",-'Debt Financing Calculations'!F40))</f>
        <v>0</v>
      </c>
      <c r="AA91" s="187">
        <f t="shared" ca="1" si="17"/>
        <v>117770592.54564479</v>
      </c>
      <c r="AB91" s="187">
        <f t="shared" ca="1" si="23"/>
        <v>1741954146.0724382</v>
      </c>
      <c r="AC91" s="1143">
        <f t="shared" ca="1" si="18"/>
        <v>162354348.03980613</v>
      </c>
      <c r="AD91" s="134"/>
      <c r="AE91" s="1147">
        <f t="shared" ca="1" si="19"/>
        <v>203320476</v>
      </c>
      <c r="AF91" s="1143">
        <f t="shared" si="20"/>
        <v>0</v>
      </c>
    </row>
    <row r="92" spans="1:32" x14ac:dyDescent="0.25">
      <c r="A92" s="58">
        <f t="shared" si="21"/>
        <v>2039</v>
      </c>
      <c r="B92" s="185">
        <f>IF(MAX($B$65:B91)&lt;(construct+anal_period),B91+1,"")</f>
        <v>28</v>
      </c>
      <c r="C92" s="185">
        <f t="shared" si="22"/>
        <v>25</v>
      </c>
      <c r="D92" s="185">
        <f t="shared" si="1"/>
        <v>25</v>
      </c>
      <c r="E92" s="186">
        <f t="shared" si="2"/>
        <v>1.5710153055430329</v>
      </c>
      <c r="F92" s="59">
        <f t="shared" ca="1" si="3"/>
        <v>657105473.28716052</v>
      </c>
      <c r="G92" s="1156"/>
      <c r="H92" s="1165">
        <f t="shared" si="24"/>
        <v>0</v>
      </c>
      <c r="I92" s="187">
        <f ca="1">IF(OR(C92&lt;0,C92=""),"",-E92*INDEX('Replacement Costs'!$A$16:$H$57,MATCH(C92,'Replacement Costs'!$C$16:$C$57,0),MATCH("Total Yearly Replacement Costs",'Replacement Costs'!$A$16:$H$16,0)))</f>
        <v>-64558704.127983265</v>
      </c>
      <c r="J92" s="187">
        <f ca="1">IF(AND(C92&gt;=1,C92&lt;anal_period),WorkingCap*SUM(N92:R92)-WorkingCap*SUM(N91:R91),IF(C92&lt;0,0,IF(B92="","",-SUM(J$65:J91))))</f>
        <v>-1155809.9632517174</v>
      </c>
      <c r="K92" s="187" t="str">
        <f t="shared" si="4"/>
        <v/>
      </c>
      <c r="L92" s="187" t="str">
        <f t="shared" si="5"/>
        <v/>
      </c>
      <c r="M92" s="187" t="str">
        <f t="shared" si="6"/>
        <v/>
      </c>
      <c r="N92" s="187">
        <f t="shared" ca="1" si="7"/>
        <v>-141328178.40315667</v>
      </c>
      <c r="O92" s="187">
        <f t="shared" ca="1" si="8"/>
        <v>-154463508.37827903</v>
      </c>
      <c r="P92" s="187">
        <f t="shared" si="9"/>
        <v>-2483715.9611842316</v>
      </c>
      <c r="Q92" s="187">
        <f t="shared" ca="1" si="10"/>
        <v>0</v>
      </c>
      <c r="R92" s="187">
        <f t="shared" ca="1" si="11"/>
        <v>-91055767.826370448</v>
      </c>
      <c r="S92" s="187">
        <f ca="1">IF(B92="","",IF($B$31=0,"",-'Debt Financing Calculations'!E41))</f>
        <v>-36367019.774527282</v>
      </c>
      <c r="T92" s="187">
        <f t="shared" ca="1" si="12"/>
        <v>231407282.94364285</v>
      </c>
      <c r="U92" s="187">
        <f ca="1">IF(C92="","",IF(C92&lt;-1,0,IF(C92=anal_period,-LOOKUP(C92,depr_yr,depr_cost)-Depreciation!$C$141-Depreciation!$B$166,-LOOKUP(C92,depr_yr,depr_cost))))</f>
        <v>-54671803.171837866</v>
      </c>
      <c r="V92" s="187">
        <f t="shared" ca="1" si="13"/>
        <v>176735479.77180499</v>
      </c>
      <c r="W92" s="188">
        <f t="shared" si="14"/>
        <v>0.25739999999999996</v>
      </c>
      <c r="X92" s="187">
        <f t="shared" ca="1" si="15"/>
        <v>-45491712.493262596</v>
      </c>
      <c r="Y92" s="187">
        <f t="shared" ca="1" si="16"/>
        <v>185915570.45038027</v>
      </c>
      <c r="Z92" s="187">
        <f>IF(C92="","",IF($B$31=0,"",-'Debt Financing Calculations'!F41))</f>
        <v>0</v>
      </c>
      <c r="AA92" s="187">
        <f t="shared" ca="1" si="17"/>
        <v>120201056.35914528</v>
      </c>
      <c r="AB92" s="187">
        <f t="shared" ca="1" si="23"/>
        <v>1862155202.4315834</v>
      </c>
      <c r="AC92" s="1143">
        <f t="shared" ca="1" si="18"/>
        <v>165692768.85240787</v>
      </c>
      <c r="AD92" s="134"/>
      <c r="AE92" s="1147">
        <f t="shared" ca="1" si="19"/>
        <v>203320476</v>
      </c>
      <c r="AF92" s="1143">
        <f t="shared" si="20"/>
        <v>0</v>
      </c>
    </row>
    <row r="93" spans="1:32" x14ac:dyDescent="0.25">
      <c r="A93" s="58">
        <f t="shared" si="21"/>
        <v>2040</v>
      </c>
      <c r="B93" s="185">
        <f>IF(MAX($B$65:B92)&lt;(construct+anal_period),B92+1,"")</f>
        <v>29</v>
      </c>
      <c r="C93" s="185">
        <f t="shared" si="22"/>
        <v>26</v>
      </c>
      <c r="D93" s="185">
        <f t="shared" si="1"/>
        <v>26</v>
      </c>
      <c r="E93" s="186">
        <f t="shared" si="2"/>
        <v>1.6008645963483503</v>
      </c>
      <c r="F93" s="59">
        <f t="shared" ca="1" si="3"/>
        <v>669590477.27961648</v>
      </c>
      <c r="G93" s="1156"/>
      <c r="H93" s="1165">
        <f t="shared" si="24"/>
        <v>0</v>
      </c>
      <c r="I93" s="187">
        <f ca="1">IF(OR(C93&lt;0,C93=""),"",-E93*INDEX('Replacement Costs'!$A$16:$H$57,MATCH(C93,'Replacement Costs'!$C$16:$C$57,0),MATCH("Total Yearly Replacement Costs",'Replacement Costs'!$A$16:$H$16,0)))</f>
        <v>-65785319.506414935</v>
      </c>
      <c r="J93" s="187">
        <f ca="1">IF(AND(C93&gt;=1,C93&lt;anal_period),WorkingCap*SUM(N93:R93)-WorkingCap*SUM(N92:R92),IF(C93&lt;0,0,IF(B93="","",-SUM(J$65:J92))))</f>
        <v>-1234428.1188621968</v>
      </c>
      <c r="K93" s="187" t="str">
        <f t="shared" si="4"/>
        <v/>
      </c>
      <c r="L93" s="187" t="str">
        <f t="shared" si="5"/>
        <v/>
      </c>
      <c r="M93" s="187" t="str">
        <f t="shared" si="6"/>
        <v/>
      </c>
      <c r="N93" s="187">
        <f t="shared" ca="1" si="7"/>
        <v>-144013413.79281664</v>
      </c>
      <c r="O93" s="187">
        <f t="shared" ca="1" si="8"/>
        <v>-158316740.19416234</v>
      </c>
      <c r="P93" s="187">
        <f t="shared" si="9"/>
        <v>-2530906.5644467315</v>
      </c>
      <c r="Q93" s="187">
        <f t="shared" ca="1" si="10"/>
        <v>0</v>
      </c>
      <c r="R93" s="187">
        <f t="shared" ca="1" si="11"/>
        <v>-92699630.80997923</v>
      </c>
      <c r="S93" s="187">
        <f ca="1">IF(B93="","",IF($B$31=0,"",-'Debt Financing Calculations'!E42))</f>
        <v>-36367019.774527282</v>
      </c>
      <c r="T93" s="187">
        <f t="shared" ca="1" si="12"/>
        <v>235662766.14368415</v>
      </c>
      <c r="U93" s="187">
        <f ca="1">IF(C93="","",IF(C93&lt;-1,0,IF(C93=anal_period,-LOOKUP(C93,depr_yr,depr_cost)-Depreciation!$C$141-Depreciation!$B$166,-LOOKUP(C93,depr_yr,depr_cost))))</f>
        <v>-55710567.432102785</v>
      </c>
      <c r="V93" s="187">
        <f t="shared" ca="1" si="13"/>
        <v>179952198.71158135</v>
      </c>
      <c r="W93" s="188">
        <f t="shared" si="14"/>
        <v>0.25739999999999996</v>
      </c>
      <c r="X93" s="187">
        <f t="shared" ca="1" si="15"/>
        <v>-46319695.948361032</v>
      </c>
      <c r="Y93" s="187">
        <f t="shared" ca="1" si="16"/>
        <v>189343070.19532311</v>
      </c>
      <c r="Z93" s="187">
        <f>IF(C93="","",IF($B$31=0,"",-'Debt Financing Calculations'!F42))</f>
        <v>0</v>
      </c>
      <c r="AA93" s="187">
        <f t="shared" ca="1" si="17"/>
        <v>122323322.57004598</v>
      </c>
      <c r="AB93" s="187">
        <f t="shared" ca="1" si="23"/>
        <v>1984478525.0016294</v>
      </c>
      <c r="AC93" s="1143">
        <f t="shared" ca="1" si="18"/>
        <v>168643018.51840702</v>
      </c>
      <c r="AD93" s="134"/>
      <c r="AE93" s="1147">
        <f t="shared" ca="1" si="19"/>
        <v>203320476</v>
      </c>
      <c r="AF93" s="1143">
        <f t="shared" si="20"/>
        <v>0</v>
      </c>
    </row>
    <row r="94" spans="1:32" x14ac:dyDescent="0.25">
      <c r="A94" s="58">
        <f t="shared" si="21"/>
        <v>2041</v>
      </c>
      <c r="B94" s="185">
        <f>IF(MAX($B$65:B93)&lt;(construct+anal_period),B93+1,"")</f>
        <v>30</v>
      </c>
      <c r="C94" s="185">
        <f t="shared" si="22"/>
        <v>27</v>
      </c>
      <c r="D94" s="185">
        <f t="shared" si="1"/>
        <v>27</v>
      </c>
      <c r="E94" s="186">
        <f t="shared" si="2"/>
        <v>1.631281023678969</v>
      </c>
      <c r="F94" s="59">
        <f t="shared" ca="1" si="3"/>
        <v>682312696.34792924</v>
      </c>
      <c r="G94" s="1156"/>
      <c r="H94" s="1165">
        <f t="shared" si="24"/>
        <v>0</v>
      </c>
      <c r="I94" s="187">
        <f ca="1">IF(OR(C94&lt;0,C94=""),"",-E94*INDEX('Replacement Costs'!$A$16:$H$57,MATCH(C94,'Replacement Costs'!$C$16:$C$57,0),MATCH("Total Yearly Replacement Costs",'Replacement Costs'!$A$16:$H$16,0)))</f>
        <v>-67035240.57703682</v>
      </c>
      <c r="J94" s="187">
        <f ca="1">IF(AND(C94&gt;=1,C94&lt;anal_period),WorkingCap*SUM(N94:R94)-WorkingCap*SUM(N93:R93),IF(C94&lt;0,0,IF(B94="","",-SUM(J$65:J93))))</f>
        <v>-1128549.0304633379</v>
      </c>
      <c r="K94" s="187" t="str">
        <f t="shared" si="4"/>
        <v/>
      </c>
      <c r="L94" s="187" t="str">
        <f t="shared" si="5"/>
        <v/>
      </c>
      <c r="M94" s="187" t="str">
        <f t="shared" si="6"/>
        <v/>
      </c>
      <c r="N94" s="187">
        <f t="shared" ca="1" si="7"/>
        <v>-146749668.65488014</v>
      </c>
      <c r="O94" s="187">
        <f t="shared" ca="1" si="8"/>
        <v>-161404674.92941689</v>
      </c>
      <c r="P94" s="187">
        <f t="shared" si="9"/>
        <v>-2578993.7891712193</v>
      </c>
      <c r="Q94" s="187">
        <f t="shared" ca="1" si="10"/>
        <v>0</v>
      </c>
      <c r="R94" s="187">
        <f t="shared" ca="1" si="11"/>
        <v>-94351014.191025659</v>
      </c>
      <c r="S94" s="187">
        <f ca="1">IF(B94="","",IF($B$31=0,"",-'Debt Financing Calculations'!E43))</f>
        <v>-36367019.774527282</v>
      </c>
      <c r="T94" s="187">
        <f t="shared" ca="1" si="12"/>
        <v>240861325.00890803</v>
      </c>
      <c r="U94" s="187">
        <f ca="1">IF(C94="","",IF(C94&lt;-1,0,IF(C94=anal_period,-LOOKUP(C94,depr_yr,depr_cost)-Depreciation!$C$141-Depreciation!$B$166,-LOOKUP(C94,depr_yr,depr_cost))))</f>
        <v>-56769068.213312723</v>
      </c>
      <c r="V94" s="187">
        <f t="shared" ca="1" si="13"/>
        <v>184092256.79559532</v>
      </c>
      <c r="W94" s="188">
        <f t="shared" si="14"/>
        <v>0.25739999999999996</v>
      </c>
      <c r="X94" s="187">
        <f t="shared" ca="1" si="15"/>
        <v>-47385346.899186231</v>
      </c>
      <c r="Y94" s="187">
        <f t="shared" ca="1" si="16"/>
        <v>193475978.10972181</v>
      </c>
      <c r="Z94" s="187">
        <f>IF(C94="","",IF($B$31=0,"",-'Debt Financing Calculations'!F43))</f>
        <v>0</v>
      </c>
      <c r="AA94" s="187">
        <f t="shared" ca="1" si="17"/>
        <v>125312188.50222164</v>
      </c>
      <c r="AB94" s="187">
        <f t="shared" ca="1" si="23"/>
        <v>2109790713.5038509</v>
      </c>
      <c r="AC94" s="1143">
        <f t="shared" ca="1" si="18"/>
        <v>172697535.40140787</v>
      </c>
      <c r="AD94" s="134"/>
      <c r="AE94" s="1147">
        <f t="shared" ca="1" si="19"/>
        <v>203320476</v>
      </c>
      <c r="AF94" s="1143">
        <f t="shared" si="20"/>
        <v>0</v>
      </c>
    </row>
    <row r="95" spans="1:32" x14ac:dyDescent="0.25">
      <c r="A95" s="58">
        <f t="shared" si="21"/>
        <v>2042</v>
      </c>
      <c r="B95" s="185">
        <f>IF(MAX($B$65:B94)&lt;(construct+anal_period),B94+1,"")</f>
        <v>31</v>
      </c>
      <c r="C95" s="185">
        <f t="shared" si="22"/>
        <v>28</v>
      </c>
      <c r="D95" s="185">
        <f t="shared" si="1"/>
        <v>28</v>
      </c>
      <c r="E95" s="186">
        <f t="shared" si="2"/>
        <v>1.6622753631288694</v>
      </c>
      <c r="F95" s="59">
        <f t="shared" ca="1" si="3"/>
        <v>695276637.57853985</v>
      </c>
      <c r="G95" s="1156"/>
      <c r="H95" s="1165">
        <f t="shared" si="24"/>
        <v>0</v>
      </c>
      <c r="I95" s="187">
        <f ca="1">IF(OR(C95&lt;0,C95=""),"",-E95*INDEX('Replacement Costs'!$A$16:$H$57,MATCH(C95,'Replacement Costs'!$C$16:$C$57,0),MATCH("Total Yearly Replacement Costs",'Replacement Costs'!$A$16:$H$16,0)))</f>
        <v>-68308910.148000523</v>
      </c>
      <c r="J95" s="187">
        <f ca="1">IF(AND(C95&gt;=1,C95&lt;anal_period),WorkingCap*SUM(N95:R95)-WorkingCap*SUM(N94:R94),IF(C95&lt;0,0,IF(B95="","",-SUM(J$65:J94))))</f>
        <v>-1165743.3846945092</v>
      </c>
      <c r="K95" s="187" t="str">
        <f t="shared" si="4"/>
        <v/>
      </c>
      <c r="L95" s="187" t="str">
        <f t="shared" si="5"/>
        <v/>
      </c>
      <c r="M95" s="187" t="str">
        <f t="shared" si="6"/>
        <v/>
      </c>
      <c r="N95" s="187">
        <f t="shared" ca="1" si="7"/>
        <v>-149537912.35932288</v>
      </c>
      <c r="O95" s="187">
        <f t="shared" ca="1" si="8"/>
        <v>-164502343.73986849</v>
      </c>
      <c r="P95" s="187">
        <f t="shared" si="9"/>
        <v>-2627994.6711654724</v>
      </c>
      <c r="Q95" s="187">
        <f t="shared" ca="1" si="10"/>
        <v>0</v>
      </c>
      <c r="R95" s="187">
        <f t="shared" ca="1" si="11"/>
        <v>-96187723.358767137</v>
      </c>
      <c r="S95" s="187">
        <f ca="1">IF(B95="","",IF($B$31=0,"",-'Debt Financing Calculations'!E44))</f>
        <v>-36367019.774527282</v>
      </c>
      <c r="T95" s="187">
        <f t="shared" ca="1" si="12"/>
        <v>246053643.67488861</v>
      </c>
      <c r="U95" s="187">
        <f ca="1">IF(C95="","",IF(C95&lt;-1,0,IF(C95=anal_period,-LOOKUP(C95,depr_yr,depr_cost)-Depreciation!$C$141-Depreciation!$B$166,-LOOKUP(C95,depr_yr,depr_cost))))</f>
        <v>-57847680.50936567</v>
      </c>
      <c r="V95" s="187">
        <f t="shared" ca="1" si="13"/>
        <v>188205963.16552293</v>
      </c>
      <c r="W95" s="188">
        <f t="shared" si="14"/>
        <v>0.25739999999999996</v>
      </c>
      <c r="X95" s="187">
        <f t="shared" ca="1" si="15"/>
        <v>-48444214.918805599</v>
      </c>
      <c r="Y95" s="187">
        <f t="shared" ca="1" si="16"/>
        <v>197609428.75608301</v>
      </c>
      <c r="Z95" s="187">
        <f>IF(C95="","",IF($B$31=0,"",-'Debt Financing Calculations'!F44))</f>
        <v>0</v>
      </c>
      <c r="AA95" s="187">
        <f t="shared" ca="1" si="17"/>
        <v>128134775.22338799</v>
      </c>
      <c r="AB95" s="187">
        <f t="shared" ca="1" si="23"/>
        <v>2237925488.7272391</v>
      </c>
      <c r="AC95" s="1143">
        <f t="shared" ca="1" si="18"/>
        <v>176578990.14219359</v>
      </c>
      <c r="AD95" s="134"/>
      <c r="AE95" s="1147">
        <f t="shared" ca="1" si="19"/>
        <v>203320476</v>
      </c>
      <c r="AF95" s="1143">
        <f t="shared" si="20"/>
        <v>0</v>
      </c>
    </row>
    <row r="96" spans="1:32" x14ac:dyDescent="0.25">
      <c r="A96" s="58">
        <f t="shared" si="21"/>
        <v>2043</v>
      </c>
      <c r="B96" s="185">
        <f>IF(MAX($B$65:B95)&lt;(construct+anal_period),B95+1,"")</f>
        <v>32</v>
      </c>
      <c r="C96" s="185">
        <f t="shared" si="22"/>
        <v>29</v>
      </c>
      <c r="D96" s="185">
        <f t="shared" si="1"/>
        <v>29</v>
      </c>
      <c r="E96" s="186">
        <f t="shared" si="2"/>
        <v>1.6938585950283176</v>
      </c>
      <c r="F96" s="59">
        <f t="shared" ca="1" si="3"/>
        <v>708486893.69253194</v>
      </c>
      <c r="G96" s="1156"/>
      <c r="H96" s="1165">
        <f t="shared" si="24"/>
        <v>0</v>
      </c>
      <c r="I96" s="187">
        <f ca="1">IF(OR(C96&lt;0,C96=""),"",-E96*INDEX('Replacement Costs'!$A$16:$H$57,MATCH(C96,'Replacement Costs'!$C$16:$C$57,0),MATCH("Total Yearly Replacement Costs",'Replacement Costs'!$A$16:$H$16,0)))</f>
        <v>-69606779.440812513</v>
      </c>
      <c r="J96" s="187">
        <f ca="1">IF(AND(C96&gt;=1,C96&lt;anal_period),WorkingCap*SUM(N96:R96)-WorkingCap*SUM(N95:R95),IF(C96&lt;0,0,IF(B96="","",-SUM(J$65:J95))))</f>
        <v>-1247297.0266433507</v>
      </c>
      <c r="K96" s="187" t="str">
        <f t="shared" si="4"/>
        <v/>
      </c>
      <c r="L96" s="187" t="str">
        <f t="shared" si="5"/>
        <v/>
      </c>
      <c r="M96" s="187" t="str">
        <f t="shared" si="6"/>
        <v/>
      </c>
      <c r="N96" s="187">
        <f t="shared" ca="1" si="7"/>
        <v>-152379132.69414997</v>
      </c>
      <c r="O96" s="187">
        <f t="shared" ca="1" si="8"/>
        <v>-167980722.18207237</v>
      </c>
      <c r="P96" s="187">
        <f t="shared" si="9"/>
        <v>-2677926.569917616</v>
      </c>
      <c r="Q96" s="187">
        <f t="shared" ca="1" si="10"/>
        <v>0</v>
      </c>
      <c r="R96" s="187">
        <f t="shared" ca="1" si="11"/>
        <v>-98133506.193939671</v>
      </c>
      <c r="S96" s="187">
        <f ca="1">IF(B96="","",IF($B$31=0,"",-'Debt Financing Calculations'!E45))</f>
        <v>-36367019.774527282</v>
      </c>
      <c r="T96" s="187">
        <f t="shared" ca="1" si="12"/>
        <v>250948586.27792501</v>
      </c>
      <c r="U96" s="187">
        <f ca="1">IF(C96="","",IF(C96&lt;-1,0,IF(C96=anal_period,-LOOKUP(C96,depr_yr,depr_cost)-Depreciation!$C$141-Depreciation!$B$166,-LOOKUP(C96,depr_yr,depr_cost))))</f>
        <v>-58946786.439043626</v>
      </c>
      <c r="V96" s="187">
        <f t="shared" ca="1" si="13"/>
        <v>192001799.83888137</v>
      </c>
      <c r="W96" s="188">
        <f t="shared" si="14"/>
        <v>0.25739999999999996</v>
      </c>
      <c r="X96" s="187">
        <f t="shared" ca="1" si="15"/>
        <v>-49421263.278528057</v>
      </c>
      <c r="Y96" s="187">
        <f t="shared" ca="1" si="16"/>
        <v>201527322.99939695</v>
      </c>
      <c r="Z96" s="187">
        <f>IF(C96="","",IF($B$31=0,"",-'Debt Financing Calculations'!F45))</f>
        <v>0</v>
      </c>
      <c r="AA96" s="187">
        <f t="shared" ca="1" si="17"/>
        <v>130673246.53194109</v>
      </c>
      <c r="AB96" s="187">
        <f t="shared" ca="1" si="23"/>
        <v>2368598735.2591801</v>
      </c>
      <c r="AC96" s="1143">
        <f t="shared" ca="1" si="18"/>
        <v>180094509.81046915</v>
      </c>
      <c r="AD96" s="134"/>
      <c r="AE96" s="1147">
        <f t="shared" ca="1" si="19"/>
        <v>203320476</v>
      </c>
      <c r="AF96" s="1143">
        <f t="shared" si="20"/>
        <v>0</v>
      </c>
    </row>
    <row r="97" spans="1:32" x14ac:dyDescent="0.25">
      <c r="A97" s="58">
        <f t="shared" si="21"/>
        <v>2044</v>
      </c>
      <c r="B97" s="185">
        <f>IF(MAX($B$65:B96)&lt;(construct+anal_period),B96+1,"")</f>
        <v>33</v>
      </c>
      <c r="C97" s="185">
        <f t="shared" si="22"/>
        <v>30</v>
      </c>
      <c r="D97" s="185">
        <f t="shared" ref="D97:D113" si="25">IF(C97="","",IF(C97&lt;=plant_life,C97,IF(D96=plant_life,1,D96+1)))</f>
        <v>30</v>
      </c>
      <c r="E97" s="186">
        <f t="shared" ref="E97:E113" si="26">IF(C97="","",(1+inflation_rate)^(A97-$B$25))</f>
        <v>1.7260419083338554</v>
      </c>
      <c r="F97" s="59">
        <f t="shared" ref="F97:F113" ca="1" si="27">IF(C97="","",IF(C97&lt;0,0,IF(AND(C97=1,start_time&lt;1),E97*(H2_price_nominal*output_kgyear*start_time*percnt_revs+H2_price_nominal*output_kgyear*(1-start_time)),IF(C97&lt;=start_time,H2_price_nominal*E97*output_kgyear*percnt_revs,H2_price_nominal*output_kgyear*E97))))</f>
        <v>721948144.67269003</v>
      </c>
      <c r="G97" s="1156"/>
      <c r="H97" s="1165">
        <f t="shared" si="24"/>
        <v>0</v>
      </c>
      <c r="I97" s="187">
        <f ca="1">IF(OR(C97&lt;0,C97=""),"",-E97*INDEX('Replacement Costs'!$A$16:$H$57,MATCH(C97,'Replacement Costs'!$C$16:$C$57,0),MATCH("Total Yearly Replacement Costs",'Replacement Costs'!$A$16:$H$16,0)))</f>
        <v>-70929308.250187948</v>
      </c>
      <c r="J97" s="187">
        <f ca="1">IF(AND(C97&gt;=1,C97&lt;anal_period),WorkingCap*SUM(N97:R97)-WorkingCap*SUM(N96:R96),IF(C97&lt;0,0,IF(B97="","",-SUM(J$65:J96))))</f>
        <v>63175693.146011949</v>
      </c>
      <c r="K97" s="187" t="str">
        <f t="shared" ref="K97:K113" si="28">IF(C97=-construct,-E97*non_dep_infl,"")</f>
        <v/>
      </c>
      <c r="L97" s="187">
        <f t="shared" ref="L97:L113" ca="1" si="29">IF(C97=anal_period,salvage*E97,"")</f>
        <v>299351788.36488336</v>
      </c>
      <c r="M97" s="187">
        <f t="shared" ref="M97:M113" ca="1" si="30">IF(D97=plant_life,-E97*decom,"")</f>
        <v>-299177291.72813737</v>
      </c>
      <c r="N97" s="187">
        <f t="shared" ref="N97:N113" ca="1" si="31">IF(C97="","",IF(C97&lt;0,0,IF(AND(C97=1,start_time&lt;1),-(inflated_fixed*percnt_fixed*start_time+(inflated_fixed*(1-start_time))),IF(C97&lt;=start_time,-inflated_fixed*percnt_fixed*E97,-inflated_fixed*E97))))</f>
        <v>-155274336.2153388</v>
      </c>
      <c r="O97" s="187">
        <f t="shared" ref="O97:O109" ca="1" si="32">IF(C97="","",IF(C97&lt;0,0,IF(AND(C97=1,start_time&lt;1),-(SUM(B171:E171)*output_kgyear*E97*percnt_var*start_time+SUM(B171:E171)*output_kgyear*E97*(1-start_time)),IF(C97&lt;=start_time,-SUM(B171:E171)*output_kgyear*E97*percnt_var,-SUM(B171:E171)*output_kgyear*E97))))</f>
        <v>-171141482.86568317</v>
      </c>
      <c r="P97" s="187">
        <f t="shared" ref="P97:P113" si="33">IF(C97="","",IF(C97&lt;0,0,IF(AND(C97=1,start_time&lt;1),-(inflated_otherraw*E97*percnt_var*start_time+inflated_otherraw*E97*(1-start_time)),IF(C97&lt;=start_time,-inflated_otherraw*E97*percnt_var,-(inflated_otherraw*E97)))))</f>
        <v>-2728807.1747460505</v>
      </c>
      <c r="Q97" s="187">
        <f t="shared" ca="1" si="10"/>
        <v>0</v>
      </c>
      <c r="R97" s="187">
        <f t="shared" ref="R97:R109" ca="1" si="34">IF(C97="","",IF(C97&lt;0,0,IF(AND(C97=1,start_time&lt;1),-((SUM(F171:J171,P171:R171)*output_kgyear+inflated_othervar)*E97*percnt_var*start_time+(SUM(F171:J171,P171:R171)*output_kgyear+inflated_othervar)*E97*(1-start_time)),IF(C97&lt;=start_time,-(SUM(F171:J171,P171:R171)*output_kgyear+inflated_othervar)*E97*percnt_var,-E97*(SUM(F171:J171,P171:R171)*output_kgyear+inflated_othervar)))))</f>
        <v>-100147225.15233126</v>
      </c>
      <c r="S97" s="187">
        <f ca="1">IF(B97="","",IF($B$31=0,"",-'Debt Financing Calculations'!E46))</f>
        <v>-36367019.774527282</v>
      </c>
      <c r="T97" s="187">
        <f t="shared" ref="T97:T113" ca="1" si="35">IF(C97="","",F97+SUM(L97:S97))</f>
        <v>256463770.12680948</v>
      </c>
      <c r="U97" s="187">
        <f ca="1">IF(C97="","",IF(C97&lt;-1,0,IF(C97=anal_period,-LOOKUP(C97,depr_yr,depr_cost)-Depreciation!$C$141-Depreciation!$B$166,-LOOKUP(C97,depr_yr,depr_cost))))</f>
        <v>-642641564.50295281</v>
      </c>
      <c r="V97" s="187">
        <f t="shared" ref="V97:V113" ca="1" si="36">IF(C97="","",SUM(T97:U97))</f>
        <v>-386177794.37614334</v>
      </c>
      <c r="W97" s="188">
        <f t="shared" ref="W97:W113" si="37">IF(C97="","",$B$33)</f>
        <v>0.25739999999999996</v>
      </c>
      <c r="X97" s="187">
        <f t="shared" ref="X97:X113" ca="1" si="38">IF(C97="","",tax_credit-(V97*W97 +Upstream_CO2_taxpYear + Proc_CO2_taxpYear))</f>
        <v>99402164.272419274</v>
      </c>
      <c r="Y97" s="187">
        <f t="shared" ref="Y97:Y113" ca="1" si="39">IF(C97="","",SUM(T97,X97))</f>
        <v>355865934.39922875</v>
      </c>
      <c r="Z97" s="187">
        <f ca="1">IF(C97="","",IF($B$31=0,"",-'Debt Financing Calculations'!F46))</f>
        <v>-982892426.33857512</v>
      </c>
      <c r="AA97" s="187">
        <f t="shared" ref="AA97:AA113" ca="1" si="40">IF(C97="","",SUM(H97,I97,J97,K97,T97,X97,Z97))</f>
        <v>-634780107.04352236</v>
      </c>
      <c r="AB97" s="187">
        <f t="shared" ca="1" si="23"/>
        <v>1733818628.2156577</v>
      </c>
      <c r="AC97" s="1143">
        <f t="shared" ref="AC97:AC113" ca="1" si="41">IF(C97="","",SUM(H97,I97,J97,K97,T97,Z97))</f>
        <v>-734182271.31594157</v>
      </c>
      <c r="AD97" s="134"/>
      <c r="AE97" s="1147">
        <f t="shared" ref="AE97:AE113" ca="1" si="42">IF(C97="","",IF(C97&lt;0,0,IF(AND(C97=1,start_time&lt;1),(output_kgyear*start_time*percnt_revs+output_kgyear*(1-start_time)),IF(C97&lt;=start_time,output_kgyear*percnt_revs,output_kgyear))))</f>
        <v>203320476</v>
      </c>
      <c r="AF97" s="1143">
        <f t="shared" ref="AF97:AF113" si="43">IF(C97="","",tax_credit)</f>
        <v>0</v>
      </c>
    </row>
    <row r="98" spans="1:32" x14ac:dyDescent="0.25">
      <c r="A98" s="58" t="str">
        <f t="shared" si="21"/>
        <v/>
      </c>
      <c r="B98" s="185" t="str">
        <f>IF(MAX($B$65:B97)&lt;(construct+anal_period),B97+1,"")</f>
        <v/>
      </c>
      <c r="C98" s="185" t="str">
        <f t="shared" si="22"/>
        <v/>
      </c>
      <c r="D98" s="185" t="str">
        <f t="shared" si="25"/>
        <v/>
      </c>
      <c r="E98" s="186" t="str">
        <f t="shared" si="26"/>
        <v/>
      </c>
      <c r="F98" s="59" t="str">
        <f t="shared" si="27"/>
        <v/>
      </c>
      <c r="G98" s="1156"/>
      <c r="H98" s="1165" t="str">
        <f t="shared" si="24"/>
        <v/>
      </c>
      <c r="I98" s="187" t="str">
        <f>IF(OR(C98&lt;0,C98=""),"",-E98*INDEX('Replacement Costs'!$A$16:$H$57,MATCH(C98,'Replacement Costs'!$C$16:$C$57,0),MATCH("Total Yearly Replacement Costs",'Replacement Costs'!$A$16:$H$16,0)))</f>
        <v/>
      </c>
      <c r="J98" s="187" t="str">
        <f>IF(AND(C98&gt;=1,C98&lt;anal_period),WorkingCap*SUM(N98:R98)-WorkingCap*SUM(N97:R97),IF(C98&lt;0,0,IF(B98="","",-SUM(J$65:J97))))</f>
        <v/>
      </c>
      <c r="K98" s="187" t="str">
        <f t="shared" si="28"/>
        <v/>
      </c>
      <c r="L98" s="187" t="str">
        <f t="shared" si="29"/>
        <v/>
      </c>
      <c r="M98" s="187" t="str">
        <f t="shared" si="30"/>
        <v/>
      </c>
      <c r="N98" s="187" t="str">
        <f t="shared" si="31"/>
        <v/>
      </c>
      <c r="O98" s="187" t="str">
        <f t="shared" si="32"/>
        <v/>
      </c>
      <c r="P98" s="187" t="str">
        <f t="shared" si="33"/>
        <v/>
      </c>
      <c r="Q98" s="187" t="str">
        <f t="shared" si="10"/>
        <v/>
      </c>
      <c r="R98" s="187" t="str">
        <f t="shared" si="34"/>
        <v/>
      </c>
      <c r="S98" s="187" t="str">
        <f>IF(B98="","",IF($B$31=0,"",-'Debt Financing Calculations'!E47))</f>
        <v/>
      </c>
      <c r="T98" s="187" t="str">
        <f t="shared" si="35"/>
        <v/>
      </c>
      <c r="U98" s="187" t="str">
        <f>IF(C98="","",IF(C98&lt;-1,0,IF(C98=anal_period,-LOOKUP(C98,depr_yr,depr_cost)-Depreciation!$C$141-Depreciation!$B$166,-LOOKUP(C98,depr_yr,depr_cost))))</f>
        <v/>
      </c>
      <c r="V98" s="187" t="str">
        <f t="shared" si="36"/>
        <v/>
      </c>
      <c r="W98" s="188" t="str">
        <f t="shared" si="37"/>
        <v/>
      </c>
      <c r="X98" s="187" t="str">
        <f t="shared" si="38"/>
        <v/>
      </c>
      <c r="Y98" s="187" t="str">
        <f t="shared" si="39"/>
        <v/>
      </c>
      <c r="Z98" s="187" t="str">
        <f>IF(C98="","",IF($B$31=0,"",-'Debt Financing Calculations'!F47))</f>
        <v/>
      </c>
      <c r="AA98" s="187" t="str">
        <f t="shared" si="40"/>
        <v/>
      </c>
      <c r="AB98" s="187" t="str">
        <f t="shared" si="23"/>
        <v/>
      </c>
      <c r="AC98" s="1143" t="str">
        <f t="shared" si="41"/>
        <v/>
      </c>
      <c r="AD98" s="134"/>
      <c r="AE98" s="1147" t="str">
        <f t="shared" si="42"/>
        <v/>
      </c>
      <c r="AF98" s="1143" t="str">
        <f t="shared" si="43"/>
        <v/>
      </c>
    </row>
    <row r="99" spans="1:32" x14ac:dyDescent="0.25">
      <c r="A99" s="58" t="str">
        <f t="shared" si="21"/>
        <v/>
      </c>
      <c r="B99" s="185" t="str">
        <f>IF(MAX($B$65:B98)&lt;(construct+anal_period),B98+1,"")</f>
        <v/>
      </c>
      <c r="C99" s="185" t="str">
        <f t="shared" si="22"/>
        <v/>
      </c>
      <c r="D99" s="185" t="str">
        <f t="shared" si="25"/>
        <v/>
      </c>
      <c r="E99" s="186" t="str">
        <f t="shared" si="26"/>
        <v/>
      </c>
      <c r="F99" s="59" t="str">
        <f t="shared" si="27"/>
        <v/>
      </c>
      <c r="G99" s="1156"/>
      <c r="H99" s="1165" t="str">
        <f t="shared" si="24"/>
        <v/>
      </c>
      <c r="I99" s="187" t="str">
        <f>IF(OR(C99&lt;0,C99=""),"",-E99*INDEX('Replacement Costs'!$A$16:$H$57,MATCH(C99,'Replacement Costs'!$C$16:$C$57,0),MATCH("Total Yearly Replacement Costs",'Replacement Costs'!$A$16:$H$16,0)))</f>
        <v/>
      </c>
      <c r="J99" s="187" t="str">
        <f>IF(AND(C99&gt;=1,C99&lt;anal_period),WorkingCap*SUM(N99:R99)-WorkingCap*SUM(N98:R98),IF(C99&lt;0,0,IF(B99="","",-SUM(J$65:J98))))</f>
        <v/>
      </c>
      <c r="K99" s="187" t="str">
        <f t="shared" si="28"/>
        <v/>
      </c>
      <c r="L99" s="187" t="str">
        <f t="shared" si="29"/>
        <v/>
      </c>
      <c r="M99" s="187" t="str">
        <f t="shared" si="30"/>
        <v/>
      </c>
      <c r="N99" s="187" t="str">
        <f t="shared" si="31"/>
        <v/>
      </c>
      <c r="O99" s="187" t="str">
        <f t="shared" si="32"/>
        <v/>
      </c>
      <c r="P99" s="187" t="str">
        <f t="shared" si="33"/>
        <v/>
      </c>
      <c r="Q99" s="187" t="str">
        <f t="shared" si="10"/>
        <v/>
      </c>
      <c r="R99" s="187" t="str">
        <f t="shared" si="34"/>
        <v/>
      </c>
      <c r="S99" s="187" t="str">
        <f>IF(B99="","",IF($B$31=0,"",-'Debt Financing Calculations'!E48))</f>
        <v/>
      </c>
      <c r="T99" s="187" t="str">
        <f t="shared" si="35"/>
        <v/>
      </c>
      <c r="U99" s="187" t="str">
        <f>IF(C99="","",IF(C99&lt;-1,0,IF(C99=anal_period,-LOOKUP(C99,depr_yr,depr_cost)-Depreciation!$C$141-Depreciation!$B$166,-LOOKUP(C99,depr_yr,depr_cost))))</f>
        <v/>
      </c>
      <c r="V99" s="187" t="str">
        <f t="shared" si="36"/>
        <v/>
      </c>
      <c r="W99" s="188" t="str">
        <f t="shared" si="37"/>
        <v/>
      </c>
      <c r="X99" s="187" t="str">
        <f t="shared" si="38"/>
        <v/>
      </c>
      <c r="Y99" s="187" t="str">
        <f t="shared" si="39"/>
        <v/>
      </c>
      <c r="Z99" s="187" t="str">
        <f>IF(C99="","",IF($B$31=0,"",-'Debt Financing Calculations'!F48))</f>
        <v/>
      </c>
      <c r="AA99" s="187" t="str">
        <f t="shared" si="40"/>
        <v/>
      </c>
      <c r="AB99" s="187" t="str">
        <f t="shared" si="23"/>
        <v/>
      </c>
      <c r="AC99" s="1143" t="str">
        <f t="shared" si="41"/>
        <v/>
      </c>
      <c r="AD99" s="134"/>
      <c r="AE99" s="1147" t="str">
        <f t="shared" si="42"/>
        <v/>
      </c>
      <c r="AF99" s="1143" t="str">
        <f t="shared" si="43"/>
        <v/>
      </c>
    </row>
    <row r="100" spans="1:32" x14ac:dyDescent="0.25">
      <c r="A100" s="58" t="str">
        <f t="shared" si="21"/>
        <v/>
      </c>
      <c r="B100" s="185" t="str">
        <f>IF(MAX($B$65:B99)&lt;(construct+anal_period),B99+1,"")</f>
        <v/>
      </c>
      <c r="C100" s="185" t="str">
        <f t="shared" si="22"/>
        <v/>
      </c>
      <c r="D100" s="185" t="str">
        <f t="shared" si="25"/>
        <v/>
      </c>
      <c r="E100" s="186" t="str">
        <f t="shared" si="26"/>
        <v/>
      </c>
      <c r="F100" s="59" t="str">
        <f t="shared" si="27"/>
        <v/>
      </c>
      <c r="G100" s="1156"/>
      <c r="H100" s="1165" t="str">
        <f t="shared" si="24"/>
        <v/>
      </c>
      <c r="I100" s="187" t="str">
        <f>IF(OR(C100&lt;0,C100=""),"",-E100*INDEX('Replacement Costs'!$A$16:$H$57,MATCH(C100,'Replacement Costs'!$C$16:$C$57,0),MATCH("Total Yearly Replacement Costs",'Replacement Costs'!$A$16:$H$16,0)))</f>
        <v/>
      </c>
      <c r="J100" s="187" t="str">
        <f>IF(AND(C100&gt;=1,C100&lt;anal_period),WorkingCap*SUM(N100:R100)-WorkingCap*SUM(N99:R99),IF(C100&lt;0,0,IF(B100="","",-SUM(J$65:J99))))</f>
        <v/>
      </c>
      <c r="K100" s="187" t="str">
        <f t="shared" si="28"/>
        <v/>
      </c>
      <c r="L100" s="187" t="str">
        <f t="shared" si="29"/>
        <v/>
      </c>
      <c r="M100" s="187" t="str">
        <f t="shared" si="30"/>
        <v/>
      </c>
      <c r="N100" s="187" t="str">
        <f t="shared" si="31"/>
        <v/>
      </c>
      <c r="O100" s="187" t="str">
        <f t="shared" si="32"/>
        <v/>
      </c>
      <c r="P100" s="187" t="str">
        <f t="shared" si="33"/>
        <v/>
      </c>
      <c r="Q100" s="187" t="str">
        <f t="shared" si="10"/>
        <v/>
      </c>
      <c r="R100" s="187" t="str">
        <f t="shared" si="34"/>
        <v/>
      </c>
      <c r="S100" s="187" t="str">
        <f>IF(B100="","",IF($B$31=0,"",-'Debt Financing Calculations'!E49))</f>
        <v/>
      </c>
      <c r="T100" s="187" t="str">
        <f t="shared" si="35"/>
        <v/>
      </c>
      <c r="U100" s="187" t="str">
        <f>IF(C100="","",IF(C100&lt;-1,0,IF(C100=anal_period,-LOOKUP(C100,depr_yr,depr_cost)-Depreciation!$C$141-Depreciation!$B$166,-LOOKUP(C100,depr_yr,depr_cost))))</f>
        <v/>
      </c>
      <c r="V100" s="187" t="str">
        <f t="shared" si="36"/>
        <v/>
      </c>
      <c r="W100" s="188" t="str">
        <f t="shared" si="37"/>
        <v/>
      </c>
      <c r="X100" s="187" t="str">
        <f t="shared" si="38"/>
        <v/>
      </c>
      <c r="Y100" s="187" t="str">
        <f t="shared" si="39"/>
        <v/>
      </c>
      <c r="Z100" s="187" t="str">
        <f>IF(C100="","",IF($B$31=0,"",-'Debt Financing Calculations'!F49))</f>
        <v/>
      </c>
      <c r="AA100" s="187" t="str">
        <f t="shared" si="40"/>
        <v/>
      </c>
      <c r="AB100" s="187" t="str">
        <f t="shared" si="23"/>
        <v/>
      </c>
      <c r="AC100" s="1143" t="str">
        <f t="shared" si="41"/>
        <v/>
      </c>
      <c r="AD100" s="134"/>
      <c r="AE100" s="1147" t="str">
        <f t="shared" si="42"/>
        <v/>
      </c>
      <c r="AF100" s="1143" t="str">
        <f t="shared" si="43"/>
        <v/>
      </c>
    </row>
    <row r="101" spans="1:32" x14ac:dyDescent="0.25">
      <c r="A101" s="58" t="str">
        <f t="shared" si="21"/>
        <v/>
      </c>
      <c r="B101" s="185" t="str">
        <f>IF(MAX($B$65:B100)&lt;(construct+anal_period),B100+1,"")</f>
        <v/>
      </c>
      <c r="C101" s="185" t="str">
        <f t="shared" si="22"/>
        <v/>
      </c>
      <c r="D101" s="185" t="str">
        <f t="shared" si="25"/>
        <v/>
      </c>
      <c r="E101" s="186" t="str">
        <f t="shared" si="26"/>
        <v/>
      </c>
      <c r="F101" s="59" t="str">
        <f t="shared" si="27"/>
        <v/>
      </c>
      <c r="G101" s="1156"/>
      <c r="H101" s="1165" t="str">
        <f t="shared" si="24"/>
        <v/>
      </c>
      <c r="I101" s="187" t="str">
        <f>IF(OR(C101&lt;0,C101=""),"",-E101*INDEX('Replacement Costs'!$A$16:$H$57,MATCH(C101,'Replacement Costs'!$C$16:$C$57,0),MATCH("Total Yearly Replacement Costs",'Replacement Costs'!$A$16:$H$16,0)))</f>
        <v/>
      </c>
      <c r="J101" s="187" t="str">
        <f>IF(AND(C101&gt;=1,C101&lt;anal_period),WorkingCap*SUM(N101:R101)-WorkingCap*SUM(N100:R100),IF(C101&lt;0,0,IF(B101="","",-SUM(J$65:J100))))</f>
        <v/>
      </c>
      <c r="K101" s="187" t="str">
        <f t="shared" si="28"/>
        <v/>
      </c>
      <c r="L101" s="187" t="str">
        <f t="shared" si="29"/>
        <v/>
      </c>
      <c r="M101" s="187" t="str">
        <f t="shared" si="30"/>
        <v/>
      </c>
      <c r="N101" s="187" t="str">
        <f t="shared" si="31"/>
        <v/>
      </c>
      <c r="O101" s="187" t="str">
        <f t="shared" si="32"/>
        <v/>
      </c>
      <c r="P101" s="187" t="str">
        <f t="shared" si="33"/>
        <v/>
      </c>
      <c r="Q101" s="187" t="str">
        <f t="shared" si="10"/>
        <v/>
      </c>
      <c r="R101" s="187" t="str">
        <f t="shared" si="34"/>
        <v/>
      </c>
      <c r="S101" s="187" t="str">
        <f>IF(B101="","",IF($B$31=0,"",-'Debt Financing Calculations'!E50))</f>
        <v/>
      </c>
      <c r="T101" s="187" t="str">
        <f t="shared" si="35"/>
        <v/>
      </c>
      <c r="U101" s="187" t="str">
        <f>IF(C101="","",IF(C101&lt;-1,0,IF(C101=anal_period,-LOOKUP(C101,depr_yr,depr_cost)-Depreciation!$C$141-Depreciation!$B$166,-LOOKUP(C101,depr_yr,depr_cost))))</f>
        <v/>
      </c>
      <c r="V101" s="187" t="str">
        <f t="shared" si="36"/>
        <v/>
      </c>
      <c r="W101" s="188" t="str">
        <f t="shared" si="37"/>
        <v/>
      </c>
      <c r="X101" s="187" t="str">
        <f t="shared" si="38"/>
        <v/>
      </c>
      <c r="Y101" s="187" t="str">
        <f t="shared" si="39"/>
        <v/>
      </c>
      <c r="Z101" s="187" t="str">
        <f>IF(C101="","",IF($B$31=0,"",-'Debt Financing Calculations'!F50))</f>
        <v/>
      </c>
      <c r="AA101" s="187" t="str">
        <f t="shared" si="40"/>
        <v/>
      </c>
      <c r="AB101" s="187" t="str">
        <f t="shared" si="23"/>
        <v/>
      </c>
      <c r="AC101" s="1143" t="str">
        <f t="shared" si="41"/>
        <v/>
      </c>
      <c r="AD101" s="134"/>
      <c r="AE101" s="1147" t="str">
        <f t="shared" si="42"/>
        <v/>
      </c>
      <c r="AF101" s="1143" t="str">
        <f t="shared" si="43"/>
        <v/>
      </c>
    </row>
    <row r="102" spans="1:32" x14ac:dyDescent="0.25">
      <c r="A102" s="58" t="str">
        <f t="shared" si="21"/>
        <v/>
      </c>
      <c r="B102" s="185" t="str">
        <f>IF(MAX($B$65:B101)&lt;(construct+anal_period),B101+1,"")</f>
        <v/>
      </c>
      <c r="C102" s="185" t="str">
        <f t="shared" si="22"/>
        <v/>
      </c>
      <c r="D102" s="185" t="str">
        <f t="shared" si="25"/>
        <v/>
      </c>
      <c r="E102" s="186" t="str">
        <f t="shared" si="26"/>
        <v/>
      </c>
      <c r="F102" s="59" t="str">
        <f t="shared" si="27"/>
        <v/>
      </c>
      <c r="G102" s="1156"/>
      <c r="H102" s="1165" t="str">
        <f t="shared" si="24"/>
        <v/>
      </c>
      <c r="I102" s="187" t="str">
        <f>IF(OR(C102&lt;0,C102=""),"",-E102*INDEX('Replacement Costs'!$A$16:$H$57,MATCH(C102,'Replacement Costs'!$C$16:$C$57,0),MATCH("Total Yearly Replacement Costs",'Replacement Costs'!$A$16:$H$16,0)))</f>
        <v/>
      </c>
      <c r="J102" s="187" t="str">
        <f>IF(AND(C102&gt;=1,C102&lt;anal_period),WorkingCap*SUM(N102:R102)-WorkingCap*SUM(N101:R101),IF(C102&lt;0,0,IF(B102="","",-SUM(J$65:J101))))</f>
        <v/>
      </c>
      <c r="K102" s="187" t="str">
        <f t="shared" si="28"/>
        <v/>
      </c>
      <c r="L102" s="187" t="str">
        <f t="shared" si="29"/>
        <v/>
      </c>
      <c r="M102" s="187" t="str">
        <f t="shared" si="30"/>
        <v/>
      </c>
      <c r="N102" s="187" t="str">
        <f t="shared" si="31"/>
        <v/>
      </c>
      <c r="O102" s="187" t="str">
        <f t="shared" si="32"/>
        <v/>
      </c>
      <c r="P102" s="187" t="str">
        <f t="shared" si="33"/>
        <v/>
      </c>
      <c r="Q102" s="187" t="str">
        <f t="shared" si="10"/>
        <v/>
      </c>
      <c r="R102" s="187" t="str">
        <f t="shared" si="34"/>
        <v/>
      </c>
      <c r="S102" s="187" t="str">
        <f>IF(B102="","",IF($B$31=0,"",-'Debt Financing Calculations'!E51))</f>
        <v/>
      </c>
      <c r="T102" s="187" t="str">
        <f t="shared" si="35"/>
        <v/>
      </c>
      <c r="U102" s="187" t="str">
        <f>IF(C102="","",IF(C102&lt;-1,0,IF(C102=anal_period,-LOOKUP(C102,depr_yr,depr_cost)-Depreciation!$C$141-Depreciation!$B$166,-LOOKUP(C102,depr_yr,depr_cost))))</f>
        <v/>
      </c>
      <c r="V102" s="187" t="str">
        <f t="shared" si="36"/>
        <v/>
      </c>
      <c r="W102" s="188" t="str">
        <f t="shared" si="37"/>
        <v/>
      </c>
      <c r="X102" s="187" t="str">
        <f t="shared" si="38"/>
        <v/>
      </c>
      <c r="Y102" s="187" t="str">
        <f t="shared" si="39"/>
        <v/>
      </c>
      <c r="Z102" s="187" t="str">
        <f>IF(C102="","",IF($B$31=0,"",-'Debt Financing Calculations'!F51))</f>
        <v/>
      </c>
      <c r="AA102" s="187" t="str">
        <f t="shared" si="40"/>
        <v/>
      </c>
      <c r="AB102" s="187" t="str">
        <f t="shared" si="23"/>
        <v/>
      </c>
      <c r="AC102" s="1143" t="str">
        <f t="shared" si="41"/>
        <v/>
      </c>
      <c r="AD102" s="134"/>
      <c r="AE102" s="1147" t="str">
        <f t="shared" si="42"/>
        <v/>
      </c>
      <c r="AF102" s="1143" t="str">
        <f t="shared" si="43"/>
        <v/>
      </c>
    </row>
    <row r="103" spans="1:32" x14ac:dyDescent="0.25">
      <c r="A103" s="58" t="str">
        <f t="shared" si="21"/>
        <v/>
      </c>
      <c r="B103" s="185" t="str">
        <f>IF(MAX($B$65:B102)&lt;(construct+anal_period),B102+1,"")</f>
        <v/>
      </c>
      <c r="C103" s="185" t="str">
        <f t="shared" si="22"/>
        <v/>
      </c>
      <c r="D103" s="185" t="str">
        <f t="shared" si="25"/>
        <v/>
      </c>
      <c r="E103" s="186" t="str">
        <f t="shared" si="26"/>
        <v/>
      </c>
      <c r="F103" s="59" t="str">
        <f t="shared" si="27"/>
        <v/>
      </c>
      <c r="G103" s="1156"/>
      <c r="H103" s="1165" t="str">
        <f t="shared" si="24"/>
        <v/>
      </c>
      <c r="I103" s="187" t="str">
        <f>IF(OR(C103&lt;0,C103=""),"",-E103*INDEX('Replacement Costs'!$A$16:$H$57,MATCH(C103,'Replacement Costs'!$C$16:$C$57,0),MATCH("Total Yearly Replacement Costs",'Replacement Costs'!$A$16:$H$16,0)))</f>
        <v/>
      </c>
      <c r="J103" s="187" t="str">
        <f>IF(AND(C103&gt;=1,C103&lt;anal_period),WorkingCap*SUM(N103:R103)-WorkingCap*SUM(N102:R102),IF(C103&lt;0,0,IF(B103="","",-SUM(J$65:J102))))</f>
        <v/>
      </c>
      <c r="K103" s="187" t="str">
        <f t="shared" si="28"/>
        <v/>
      </c>
      <c r="L103" s="187" t="str">
        <f t="shared" si="29"/>
        <v/>
      </c>
      <c r="M103" s="187" t="str">
        <f t="shared" si="30"/>
        <v/>
      </c>
      <c r="N103" s="187" t="str">
        <f t="shared" si="31"/>
        <v/>
      </c>
      <c r="O103" s="187" t="str">
        <f t="shared" si="32"/>
        <v/>
      </c>
      <c r="P103" s="187" t="str">
        <f t="shared" si="33"/>
        <v/>
      </c>
      <c r="Q103" s="187" t="str">
        <f t="shared" si="10"/>
        <v/>
      </c>
      <c r="R103" s="187" t="str">
        <f t="shared" si="34"/>
        <v/>
      </c>
      <c r="S103" s="187" t="str">
        <f>IF(B103="","",IF($B$31=0,"",-'Debt Financing Calculations'!E52))</f>
        <v/>
      </c>
      <c r="T103" s="187" t="str">
        <f t="shared" si="35"/>
        <v/>
      </c>
      <c r="U103" s="187" t="str">
        <f>IF(C103="","",IF(C103&lt;-1,0,IF(C103=anal_period,-LOOKUP(C103,depr_yr,depr_cost)-Depreciation!$C$141-Depreciation!$B$166,-LOOKUP(C103,depr_yr,depr_cost))))</f>
        <v/>
      </c>
      <c r="V103" s="187" t="str">
        <f t="shared" si="36"/>
        <v/>
      </c>
      <c r="W103" s="188" t="str">
        <f t="shared" si="37"/>
        <v/>
      </c>
      <c r="X103" s="187" t="str">
        <f t="shared" si="38"/>
        <v/>
      </c>
      <c r="Y103" s="187" t="str">
        <f t="shared" si="39"/>
        <v/>
      </c>
      <c r="Z103" s="187" t="str">
        <f>IF(C103="","",IF($B$31=0,"",-'Debt Financing Calculations'!F52))</f>
        <v/>
      </c>
      <c r="AA103" s="187" t="str">
        <f t="shared" si="40"/>
        <v/>
      </c>
      <c r="AB103" s="187" t="str">
        <f t="shared" si="23"/>
        <v/>
      </c>
      <c r="AC103" s="1143" t="str">
        <f t="shared" si="41"/>
        <v/>
      </c>
      <c r="AD103" s="134"/>
      <c r="AE103" s="1147" t="str">
        <f t="shared" si="42"/>
        <v/>
      </c>
      <c r="AF103" s="1143" t="str">
        <f t="shared" si="43"/>
        <v/>
      </c>
    </row>
    <row r="104" spans="1:32" x14ac:dyDescent="0.25">
      <c r="A104" s="58" t="str">
        <f t="shared" si="21"/>
        <v/>
      </c>
      <c r="B104" s="185" t="str">
        <f>IF(MAX($B$65:B103)&lt;(construct+anal_period),B103+1,"")</f>
        <v/>
      </c>
      <c r="C104" s="185" t="str">
        <f t="shared" si="22"/>
        <v/>
      </c>
      <c r="D104" s="185" t="str">
        <f t="shared" si="25"/>
        <v/>
      </c>
      <c r="E104" s="186" t="str">
        <f t="shared" si="26"/>
        <v/>
      </c>
      <c r="F104" s="59" t="str">
        <f t="shared" si="27"/>
        <v/>
      </c>
      <c r="G104" s="1156"/>
      <c r="H104" s="1165" t="str">
        <f t="shared" si="24"/>
        <v/>
      </c>
      <c r="I104" s="187" t="str">
        <f>IF(OR(C104&lt;0,C104=""),"",-E104*INDEX('Replacement Costs'!$A$16:$H$57,MATCH(C104,'Replacement Costs'!$C$16:$C$57,0),MATCH("Total Yearly Replacement Costs",'Replacement Costs'!$A$16:$H$16,0)))</f>
        <v/>
      </c>
      <c r="J104" s="187" t="str">
        <f>IF(AND(C104&gt;=1,C104&lt;anal_period),WorkingCap*SUM(N104:R104)-WorkingCap*SUM(N103:R103),IF(C104&lt;0,0,IF(B104="","",-SUM(J$65:J103))))</f>
        <v/>
      </c>
      <c r="K104" s="187" t="str">
        <f t="shared" si="28"/>
        <v/>
      </c>
      <c r="L104" s="187" t="str">
        <f t="shared" si="29"/>
        <v/>
      </c>
      <c r="M104" s="187" t="str">
        <f t="shared" si="30"/>
        <v/>
      </c>
      <c r="N104" s="187" t="str">
        <f t="shared" si="31"/>
        <v/>
      </c>
      <c r="O104" s="187" t="str">
        <f t="shared" si="32"/>
        <v/>
      </c>
      <c r="P104" s="187" t="str">
        <f t="shared" si="33"/>
        <v/>
      </c>
      <c r="Q104" s="187" t="str">
        <f t="shared" si="10"/>
        <v/>
      </c>
      <c r="R104" s="187" t="str">
        <f t="shared" si="34"/>
        <v/>
      </c>
      <c r="S104" s="187" t="str">
        <f>IF(B104="","",IF($B$31=0,"",-'Debt Financing Calculations'!E53))</f>
        <v/>
      </c>
      <c r="T104" s="187" t="str">
        <f t="shared" si="35"/>
        <v/>
      </c>
      <c r="U104" s="187" t="str">
        <f>IF(C104="","",IF(C104&lt;-1,0,IF(C104=anal_period,-LOOKUP(C104,depr_yr,depr_cost)-Depreciation!$C$141-Depreciation!$B$166,-LOOKUP(C104,depr_yr,depr_cost))))</f>
        <v/>
      </c>
      <c r="V104" s="187" t="str">
        <f t="shared" si="36"/>
        <v/>
      </c>
      <c r="W104" s="188" t="str">
        <f t="shared" si="37"/>
        <v/>
      </c>
      <c r="X104" s="187" t="str">
        <f t="shared" si="38"/>
        <v/>
      </c>
      <c r="Y104" s="187" t="str">
        <f t="shared" si="39"/>
        <v/>
      </c>
      <c r="Z104" s="187" t="str">
        <f>IF(C104="","",IF($B$31=0,"",-'Debt Financing Calculations'!F53))</f>
        <v/>
      </c>
      <c r="AA104" s="187" t="str">
        <f t="shared" si="40"/>
        <v/>
      </c>
      <c r="AB104" s="187" t="str">
        <f t="shared" si="23"/>
        <v/>
      </c>
      <c r="AC104" s="1143" t="str">
        <f t="shared" si="41"/>
        <v/>
      </c>
      <c r="AD104" s="134"/>
      <c r="AE104" s="1147" t="str">
        <f t="shared" si="42"/>
        <v/>
      </c>
      <c r="AF104" s="1143" t="str">
        <f t="shared" si="43"/>
        <v/>
      </c>
    </row>
    <row r="105" spans="1:32" x14ac:dyDescent="0.25">
      <c r="A105" s="58" t="str">
        <f t="shared" si="21"/>
        <v/>
      </c>
      <c r="B105" s="185" t="str">
        <f>IF(MAX($B$65:B104)&lt;(construct+anal_period),B104+1,"")</f>
        <v/>
      </c>
      <c r="C105" s="185" t="str">
        <f t="shared" si="22"/>
        <v/>
      </c>
      <c r="D105" s="185" t="str">
        <f t="shared" si="25"/>
        <v/>
      </c>
      <c r="E105" s="186" t="str">
        <f t="shared" si="26"/>
        <v/>
      </c>
      <c r="F105" s="59" t="str">
        <f t="shared" si="27"/>
        <v/>
      </c>
      <c r="G105" s="1156"/>
      <c r="H105" s="1165" t="str">
        <f t="shared" si="24"/>
        <v/>
      </c>
      <c r="I105" s="187" t="str">
        <f>IF(OR(C105&lt;0,C105=""),"",-E105*INDEX('Replacement Costs'!$A$16:$H$57,MATCH(C105,'Replacement Costs'!$C$16:$C$57,0),MATCH("Total Yearly Replacement Costs",'Replacement Costs'!$A$16:$H$16,0)))</f>
        <v/>
      </c>
      <c r="J105" s="187" t="str">
        <f>IF(AND(C105&gt;=1,C105&lt;anal_period),WorkingCap*SUM(N105:R105)-WorkingCap*SUM(N104:R104),IF(C105&lt;0,0,IF(B105="","",-SUM(J$65:J104))))</f>
        <v/>
      </c>
      <c r="K105" s="187" t="str">
        <f t="shared" si="28"/>
        <v/>
      </c>
      <c r="L105" s="187" t="str">
        <f t="shared" si="29"/>
        <v/>
      </c>
      <c r="M105" s="187" t="str">
        <f t="shared" si="30"/>
        <v/>
      </c>
      <c r="N105" s="187" t="str">
        <f t="shared" si="31"/>
        <v/>
      </c>
      <c r="O105" s="187" t="str">
        <f t="shared" si="32"/>
        <v/>
      </c>
      <c r="P105" s="187" t="str">
        <f t="shared" si="33"/>
        <v/>
      </c>
      <c r="Q105" s="187" t="str">
        <f t="shared" si="10"/>
        <v/>
      </c>
      <c r="R105" s="187" t="str">
        <f t="shared" si="34"/>
        <v/>
      </c>
      <c r="S105" s="187" t="str">
        <f>IF(B105="","",IF($B$31=0,"",-'Debt Financing Calculations'!E54))</f>
        <v/>
      </c>
      <c r="T105" s="187" t="str">
        <f t="shared" si="35"/>
        <v/>
      </c>
      <c r="U105" s="187" t="str">
        <f>IF(C105="","",IF(C105&lt;-1,0,IF(C105=anal_period,-LOOKUP(C105,depr_yr,depr_cost)-Depreciation!$C$141-Depreciation!$B$166,-LOOKUP(C105,depr_yr,depr_cost))))</f>
        <v/>
      </c>
      <c r="V105" s="187" t="str">
        <f t="shared" si="36"/>
        <v/>
      </c>
      <c r="W105" s="188" t="str">
        <f t="shared" si="37"/>
        <v/>
      </c>
      <c r="X105" s="187" t="str">
        <f t="shared" si="38"/>
        <v/>
      </c>
      <c r="Y105" s="187" t="str">
        <f t="shared" si="39"/>
        <v/>
      </c>
      <c r="Z105" s="187" t="str">
        <f>IF(C105="","",IF($B$31=0,"",-'Debt Financing Calculations'!F54))</f>
        <v/>
      </c>
      <c r="AA105" s="187" t="str">
        <f t="shared" si="40"/>
        <v/>
      </c>
      <c r="AB105" s="187" t="str">
        <f t="shared" si="23"/>
        <v/>
      </c>
      <c r="AC105" s="1143" t="str">
        <f t="shared" si="41"/>
        <v/>
      </c>
      <c r="AD105" s="134"/>
      <c r="AE105" s="1147" t="str">
        <f t="shared" si="42"/>
        <v/>
      </c>
      <c r="AF105" s="1143" t="str">
        <f t="shared" si="43"/>
        <v/>
      </c>
    </row>
    <row r="106" spans="1:32" x14ac:dyDescent="0.25">
      <c r="A106" s="58" t="str">
        <f t="shared" si="21"/>
        <v/>
      </c>
      <c r="B106" s="185" t="str">
        <f>IF(MAX($B$65:B105)&lt;(construct+anal_period),B105+1,"")</f>
        <v/>
      </c>
      <c r="C106" s="185" t="str">
        <f t="shared" si="22"/>
        <v/>
      </c>
      <c r="D106" s="185" t="str">
        <f t="shared" si="25"/>
        <v/>
      </c>
      <c r="E106" s="186" t="str">
        <f t="shared" si="26"/>
        <v/>
      </c>
      <c r="F106" s="59" t="str">
        <f t="shared" si="27"/>
        <v/>
      </c>
      <c r="G106" s="1156"/>
      <c r="H106" s="1165" t="str">
        <f t="shared" si="24"/>
        <v/>
      </c>
      <c r="I106" s="187" t="str">
        <f>IF(OR(C106&lt;0,C106=""),"",-E106*INDEX('Replacement Costs'!$A$16:$H$57,MATCH(C106,'Replacement Costs'!$C$16:$C$57,0),MATCH("Total Yearly Replacement Costs",'Replacement Costs'!$A$16:$H$16,0)))</f>
        <v/>
      </c>
      <c r="J106" s="187" t="str">
        <f>IF(AND(C106&gt;=1,C106&lt;anal_period),WorkingCap*SUM(N106:R106)-WorkingCap*SUM(N105:R105),IF(C106&lt;0,0,IF(B106="","",-SUM(J$65:J105))))</f>
        <v/>
      </c>
      <c r="K106" s="187" t="str">
        <f t="shared" si="28"/>
        <v/>
      </c>
      <c r="L106" s="187" t="str">
        <f t="shared" si="29"/>
        <v/>
      </c>
      <c r="M106" s="187" t="str">
        <f t="shared" si="30"/>
        <v/>
      </c>
      <c r="N106" s="187" t="str">
        <f t="shared" si="31"/>
        <v/>
      </c>
      <c r="O106" s="187" t="str">
        <f t="shared" si="32"/>
        <v/>
      </c>
      <c r="P106" s="187" t="str">
        <f t="shared" si="33"/>
        <v/>
      </c>
      <c r="Q106" s="187" t="str">
        <f t="shared" si="10"/>
        <v/>
      </c>
      <c r="R106" s="187" t="str">
        <f t="shared" si="34"/>
        <v/>
      </c>
      <c r="S106" s="187" t="str">
        <f>IF(B106="","",IF($B$31=0,"",-'Debt Financing Calculations'!E55))</f>
        <v/>
      </c>
      <c r="T106" s="187" t="str">
        <f>IF(C106="","",F106+SUM(L106:S106))</f>
        <v/>
      </c>
      <c r="U106" s="187" t="str">
        <f>IF(C106="","",IF(C106&lt;-1,0,IF(C106=anal_period,-LOOKUP(C106,depr_yr,depr_cost)-Depreciation!$C$141-Depreciation!$B$166,-LOOKUP(C106,depr_yr,depr_cost))))</f>
        <v/>
      </c>
      <c r="V106" s="187" t="str">
        <f t="shared" si="36"/>
        <v/>
      </c>
      <c r="W106" s="188" t="str">
        <f t="shared" si="37"/>
        <v/>
      </c>
      <c r="X106" s="187" t="str">
        <f t="shared" si="38"/>
        <v/>
      </c>
      <c r="Y106" s="187" t="str">
        <f t="shared" si="39"/>
        <v/>
      </c>
      <c r="Z106" s="187" t="str">
        <f>IF(C106="","",IF($B$31=0,"",-'Debt Financing Calculations'!F55))</f>
        <v/>
      </c>
      <c r="AA106" s="187" t="str">
        <f t="shared" si="40"/>
        <v/>
      </c>
      <c r="AB106" s="187" t="str">
        <f t="shared" si="23"/>
        <v/>
      </c>
      <c r="AC106" s="1143" t="str">
        <f>IF(C106="","",SUM(H106,I106,J106,K106,T106,Z106))</f>
        <v/>
      </c>
      <c r="AD106" s="134"/>
      <c r="AE106" s="1147" t="str">
        <f t="shared" si="42"/>
        <v/>
      </c>
      <c r="AF106" s="1143" t="str">
        <f t="shared" si="43"/>
        <v/>
      </c>
    </row>
    <row r="107" spans="1:32" x14ac:dyDescent="0.25">
      <c r="A107" s="58" t="str">
        <f t="shared" si="21"/>
        <v/>
      </c>
      <c r="B107" s="185" t="str">
        <f>IF(MAX($B$65:B106)&lt;(construct+anal_period),B106+1,"")</f>
        <v/>
      </c>
      <c r="C107" s="185" t="str">
        <f t="shared" si="22"/>
        <v/>
      </c>
      <c r="D107" s="185" t="str">
        <f t="shared" si="25"/>
        <v/>
      </c>
      <c r="E107" s="186" t="str">
        <f t="shared" si="26"/>
        <v/>
      </c>
      <c r="F107" s="59" t="str">
        <f t="shared" si="27"/>
        <v/>
      </c>
      <c r="G107" s="1156"/>
      <c r="H107" s="1165" t="str">
        <f t="shared" si="24"/>
        <v/>
      </c>
      <c r="I107" s="187" t="str">
        <f>IF(OR(C107&lt;0,C107=""),"",-E107*INDEX('Replacement Costs'!$A$16:$H$57,MATCH(C107,'Replacement Costs'!$C$16:$C$57,0),MATCH("Total Yearly Replacement Costs",'Replacement Costs'!$A$16:$H$16,0)))</f>
        <v/>
      </c>
      <c r="J107" s="187" t="str">
        <f>IF(AND(C107&gt;=1,C107&lt;anal_period),WorkingCap*SUM(N107:R107)-WorkingCap*SUM(N106:R106),IF(C107&lt;0,0,IF(B107="","",-SUM(J$65:J106))))</f>
        <v/>
      </c>
      <c r="K107" s="187" t="str">
        <f t="shared" si="28"/>
        <v/>
      </c>
      <c r="L107" s="187" t="str">
        <f t="shared" si="29"/>
        <v/>
      </c>
      <c r="M107" s="187" t="str">
        <f t="shared" si="30"/>
        <v/>
      </c>
      <c r="N107" s="187" t="str">
        <f t="shared" si="31"/>
        <v/>
      </c>
      <c r="O107" s="187" t="str">
        <f t="shared" si="32"/>
        <v/>
      </c>
      <c r="P107" s="187" t="str">
        <f t="shared" si="33"/>
        <v/>
      </c>
      <c r="Q107" s="187" t="str">
        <f t="shared" si="10"/>
        <v/>
      </c>
      <c r="R107" s="187" t="str">
        <f t="shared" si="34"/>
        <v/>
      </c>
      <c r="S107" s="187" t="str">
        <f>IF(B107="","",IF($B$31=0,"",-'Debt Financing Calculations'!E56))</f>
        <v/>
      </c>
      <c r="T107" s="187" t="str">
        <f t="shared" si="35"/>
        <v/>
      </c>
      <c r="U107" s="187" t="str">
        <f>IF(C107="","",IF(C107&lt;-1,0,IF(C107=anal_period,-LOOKUP(C107,depr_yr,depr_cost)-Depreciation!$C$141-Depreciation!$B$166,-LOOKUP(C107,depr_yr,depr_cost))))</f>
        <v/>
      </c>
      <c r="V107" s="187" t="str">
        <f t="shared" si="36"/>
        <v/>
      </c>
      <c r="W107" s="188" t="str">
        <f t="shared" si="37"/>
        <v/>
      </c>
      <c r="X107" s="187" t="str">
        <f t="shared" si="38"/>
        <v/>
      </c>
      <c r="Y107" s="187" t="str">
        <f t="shared" si="39"/>
        <v/>
      </c>
      <c r="Z107" s="187" t="str">
        <f>IF(C107="","",IF($B$31=0,"",-'Debt Financing Calculations'!F56))</f>
        <v/>
      </c>
      <c r="AA107" s="187" t="str">
        <f t="shared" si="40"/>
        <v/>
      </c>
      <c r="AB107" s="187" t="str">
        <f t="shared" si="23"/>
        <v/>
      </c>
      <c r="AC107" s="1143" t="str">
        <f t="shared" si="41"/>
        <v/>
      </c>
      <c r="AD107" s="134"/>
      <c r="AE107" s="1147" t="str">
        <f t="shared" si="42"/>
        <v/>
      </c>
      <c r="AF107" s="1143" t="str">
        <f t="shared" si="43"/>
        <v/>
      </c>
    </row>
    <row r="108" spans="1:32" x14ac:dyDescent="0.25">
      <c r="A108" s="58" t="str">
        <f t="shared" si="21"/>
        <v/>
      </c>
      <c r="B108" s="185" t="str">
        <f>IF(MAX($B$65:B107)&lt;(construct+anal_period),B107+1,"")</f>
        <v/>
      </c>
      <c r="C108" s="185" t="str">
        <f t="shared" si="22"/>
        <v/>
      </c>
      <c r="D108" s="185" t="str">
        <f t="shared" si="25"/>
        <v/>
      </c>
      <c r="E108" s="186" t="str">
        <f t="shared" si="26"/>
        <v/>
      </c>
      <c r="F108" s="59" t="str">
        <f t="shared" si="27"/>
        <v/>
      </c>
      <c r="G108" s="1156"/>
      <c r="H108" s="1165" t="str">
        <f t="shared" si="24"/>
        <v/>
      </c>
      <c r="I108" s="187" t="str">
        <f>IF(OR(C108&lt;0,C108=""),"",-E108*INDEX('Replacement Costs'!$A$16:$H$57,MATCH(C108,'Replacement Costs'!$C$16:$C$57,0),MATCH("Total Yearly Replacement Costs",'Replacement Costs'!$A$16:$H$16,0)))</f>
        <v/>
      </c>
      <c r="J108" s="187" t="str">
        <f>IF(AND(C108&gt;=1,C108&lt;anal_period),WorkingCap*SUM(N108:R108)-WorkingCap*SUM(N107:R107),IF(C108&lt;0,0,IF(B108="","",-SUM(J$65:J107))))</f>
        <v/>
      </c>
      <c r="K108" s="187" t="str">
        <f t="shared" si="28"/>
        <v/>
      </c>
      <c r="L108" s="187" t="str">
        <f t="shared" si="29"/>
        <v/>
      </c>
      <c r="M108" s="187" t="str">
        <f t="shared" si="30"/>
        <v/>
      </c>
      <c r="N108" s="187" t="str">
        <f t="shared" si="31"/>
        <v/>
      </c>
      <c r="O108" s="187" t="str">
        <f t="shared" si="32"/>
        <v/>
      </c>
      <c r="P108" s="187" t="str">
        <f t="shared" si="33"/>
        <v/>
      </c>
      <c r="Q108" s="187" t="str">
        <f t="shared" si="10"/>
        <v/>
      </c>
      <c r="R108" s="187" t="str">
        <f t="shared" si="34"/>
        <v/>
      </c>
      <c r="S108" s="187" t="str">
        <f>IF(B108="","",IF($B$31=0,"",-'Debt Financing Calculations'!E57))</f>
        <v/>
      </c>
      <c r="T108" s="187" t="str">
        <f t="shared" si="35"/>
        <v/>
      </c>
      <c r="U108" s="187" t="str">
        <f>IF(C108="","",IF(C108&lt;-1,0,IF(C108=anal_period,-LOOKUP(C108,depr_yr,depr_cost)-Depreciation!$C$141-Depreciation!$B$166,-LOOKUP(C108,depr_yr,depr_cost))))</f>
        <v/>
      </c>
      <c r="V108" s="187" t="str">
        <f t="shared" si="36"/>
        <v/>
      </c>
      <c r="W108" s="188" t="str">
        <f t="shared" si="37"/>
        <v/>
      </c>
      <c r="X108" s="187" t="str">
        <f t="shared" si="38"/>
        <v/>
      </c>
      <c r="Y108" s="187" t="str">
        <f t="shared" si="39"/>
        <v/>
      </c>
      <c r="Z108" s="187" t="str">
        <f>IF(C108="","",IF($B$31=0,"",-'Debt Financing Calculations'!F57))</f>
        <v/>
      </c>
      <c r="AA108" s="187" t="str">
        <f t="shared" si="40"/>
        <v/>
      </c>
      <c r="AB108" s="187" t="str">
        <f t="shared" si="23"/>
        <v/>
      </c>
      <c r="AC108" s="1143" t="str">
        <f t="shared" si="41"/>
        <v/>
      </c>
      <c r="AD108" s="134"/>
      <c r="AE108" s="1147" t="str">
        <f t="shared" si="42"/>
        <v/>
      </c>
      <c r="AF108" s="1143" t="str">
        <f t="shared" si="43"/>
        <v/>
      </c>
    </row>
    <row r="109" spans="1:32" x14ac:dyDescent="0.25">
      <c r="A109" s="58" t="str">
        <f t="shared" si="21"/>
        <v/>
      </c>
      <c r="B109" s="185" t="str">
        <f>IF(MAX($B$65:B108)&lt;(construct+anal_period),B108+1,"")</f>
        <v/>
      </c>
      <c r="C109" s="185" t="str">
        <f t="shared" si="22"/>
        <v/>
      </c>
      <c r="D109" s="185" t="str">
        <f t="shared" si="25"/>
        <v/>
      </c>
      <c r="E109" s="186" t="str">
        <f t="shared" si="26"/>
        <v/>
      </c>
      <c r="F109" s="59" t="str">
        <f t="shared" si="27"/>
        <v/>
      </c>
      <c r="G109" s="1156"/>
      <c r="H109" s="1165" t="str">
        <f t="shared" si="24"/>
        <v/>
      </c>
      <c r="I109" s="187" t="str">
        <f>IF(OR(C109&lt;0,C109=""),"",-E109*INDEX('Replacement Costs'!$A$16:$H$57,MATCH(C109,'Replacement Costs'!$C$16:$C$57,0),MATCH("Total Yearly Replacement Costs",'Replacement Costs'!$A$16:$H$16,0)))</f>
        <v/>
      </c>
      <c r="J109" s="187" t="str">
        <f>IF(AND(C109&gt;=1,C109&lt;anal_period),WorkingCap*SUM(N109:R109)-WorkingCap*SUM(N108:R108),IF(C109&lt;0,0,IF(B109="","",-SUM(J$65:J108))))</f>
        <v/>
      </c>
      <c r="K109" s="187" t="str">
        <f t="shared" si="28"/>
        <v/>
      </c>
      <c r="L109" s="187" t="str">
        <f t="shared" si="29"/>
        <v/>
      </c>
      <c r="M109" s="187" t="str">
        <f t="shared" si="30"/>
        <v/>
      </c>
      <c r="N109" s="187" t="str">
        <f t="shared" si="31"/>
        <v/>
      </c>
      <c r="O109" s="187" t="str">
        <f t="shared" si="32"/>
        <v/>
      </c>
      <c r="P109" s="187" t="str">
        <f t="shared" si="33"/>
        <v/>
      </c>
      <c r="Q109" s="187" t="str">
        <f t="shared" si="10"/>
        <v/>
      </c>
      <c r="R109" s="187" t="str">
        <f t="shared" si="34"/>
        <v/>
      </c>
      <c r="S109" s="187" t="str">
        <f>IF(B109="","",IF($B$31=0,"",-'Debt Financing Calculations'!E58))</f>
        <v/>
      </c>
      <c r="T109" s="187" t="str">
        <f t="shared" si="35"/>
        <v/>
      </c>
      <c r="U109" s="187" t="str">
        <f>IF(C109="","",IF(C109&lt;-1,0,IF(C109=anal_period,-LOOKUP(C109,depr_yr,depr_cost)-Depreciation!$C$141-Depreciation!$B$166,-LOOKUP(C109,depr_yr,depr_cost))))</f>
        <v/>
      </c>
      <c r="V109" s="187" t="str">
        <f t="shared" si="36"/>
        <v/>
      </c>
      <c r="W109" s="188" t="str">
        <f t="shared" si="37"/>
        <v/>
      </c>
      <c r="X109" s="187" t="str">
        <f t="shared" si="38"/>
        <v/>
      </c>
      <c r="Y109" s="187" t="str">
        <f t="shared" si="39"/>
        <v/>
      </c>
      <c r="Z109" s="187" t="str">
        <f>IF(C109="","",IF($B$31=0,"",-'Debt Financing Calculations'!F58))</f>
        <v/>
      </c>
      <c r="AA109" s="187" t="str">
        <f t="shared" si="40"/>
        <v/>
      </c>
      <c r="AB109" s="187" t="str">
        <f t="shared" si="23"/>
        <v/>
      </c>
      <c r="AC109" s="1143" t="str">
        <f t="shared" si="41"/>
        <v/>
      </c>
      <c r="AD109" s="134"/>
      <c r="AE109" s="1147" t="str">
        <f t="shared" si="42"/>
        <v/>
      </c>
      <c r="AF109" s="1143" t="str">
        <f t="shared" si="43"/>
        <v/>
      </c>
    </row>
    <row r="110" spans="1:32" x14ac:dyDescent="0.25">
      <c r="A110" s="58" t="str">
        <f t="shared" si="21"/>
        <v/>
      </c>
      <c r="B110" s="185" t="str">
        <f>IF(MAX($B$65:B109)&lt;(construct+anal_period),B109+1,"")</f>
        <v/>
      </c>
      <c r="C110" s="185" t="str">
        <f t="shared" si="22"/>
        <v/>
      </c>
      <c r="D110" s="185" t="str">
        <f t="shared" si="25"/>
        <v/>
      </c>
      <c r="E110" s="186" t="str">
        <f t="shared" si="26"/>
        <v/>
      </c>
      <c r="F110" s="59" t="str">
        <f t="shared" si="27"/>
        <v/>
      </c>
      <c r="G110" s="1156"/>
      <c r="H110" s="1165" t="str">
        <f t="shared" si="24"/>
        <v/>
      </c>
      <c r="I110" s="187" t="str">
        <f>IF(OR(C110&lt;0,C110=""),"",-E110*INDEX('Replacement Costs'!$A$16:$H$57,MATCH(C110,'Replacement Costs'!$C$16:$C$57,0),MATCH("Total Yearly Replacement Costs",'Replacement Costs'!$A$16:$H$16,0)))</f>
        <v/>
      </c>
      <c r="J110" s="187" t="str">
        <f>IF(AND(C110&gt;=1,C110&lt;anal_period),WorkingCap*SUM(N110:R110)-WorkingCap*SUM(N109:R109),IF(C110&lt;0,0,IF(B110="","",-SUM(J$65:J109))))</f>
        <v/>
      </c>
      <c r="K110" s="187" t="str">
        <f t="shared" si="28"/>
        <v/>
      </c>
      <c r="L110" s="187" t="str">
        <f t="shared" si="29"/>
        <v/>
      </c>
      <c r="M110" s="187" t="str">
        <f t="shared" si="30"/>
        <v/>
      </c>
      <c r="N110" s="187" t="str">
        <f t="shared" si="31"/>
        <v/>
      </c>
      <c r="O110" s="187" t="str">
        <f>IF(C110="","",IF(C110&lt;0,0,IF(AND(C110=1,start_time&lt;1),-(SUM(B185:E185)*output_kgyear*E110*percnt_var*start_time+SUM(B185:E185)*output_kgyear*E110*(1-start_time)),IF(C110&lt;=start_time,-SUM(B185:E185)*output_kgyear*E110*percnt_var,-SUM(B185:E185)*output_kgyear*E110))))</f>
        <v/>
      </c>
      <c r="P110" s="187" t="str">
        <f t="shared" si="33"/>
        <v/>
      </c>
      <c r="Q110" s="187" t="str">
        <f>IF(C110="","",IF(C110&lt;0,0,IF(AND(C110=1,start_time&lt;1),SUM(K185:N185,T185:V185)*output_kgyear*E110*percnt_revs*start_time+SUM(K185:N185,T185:V185)*output_kgyear*E110*(1-start_time),IF(C110&lt;=start_time,SUM(K185:N185,T185:V185)*output_kgyear*E110*percnt_revs,SUM(K185:N185,T185:V185)*output_kgyear*E110))))</f>
        <v/>
      </c>
      <c r="R110" s="187" t="str">
        <f>IF(C110="","",IF(C110&lt;0,0,IF(AND(C110=1,start_time&lt;1),-((SUM(F185:J185,P185:R185)*output_kgyear+inflated_othervar)*E110*percnt_var*start_time+(SUM(F185:J185,P185:R185)*output_kgyear+inflated_othervar)*E110*(1-start_time)),IF(C110&lt;=start_time,-(SUM(F185:J185,P185:R185)*output_kgyear+inflated_othervar)*E110*percnt_var,-E110*(SUM(F185:J185,P185:R185)*output_kgyear+inflated_othervar)))))</f>
        <v/>
      </c>
      <c r="S110" s="187" t="str">
        <f>IF(B110="","",IF($B$31=0,"",-'Debt Financing Calculations'!E59))</f>
        <v/>
      </c>
      <c r="T110" s="187" t="str">
        <f t="shared" si="35"/>
        <v/>
      </c>
      <c r="U110" s="187" t="str">
        <f>IF(C110="","",IF(C110&lt;-1,0,IF(C110=anal_period,-LOOKUP(C110,depr_yr,depr_cost)-Depreciation!$C$141-Depreciation!$B$166,-LOOKUP(C110,depr_yr,depr_cost))))</f>
        <v/>
      </c>
      <c r="V110" s="187" t="str">
        <f t="shared" si="36"/>
        <v/>
      </c>
      <c r="W110" s="188" t="str">
        <f t="shared" si="37"/>
        <v/>
      </c>
      <c r="X110" s="187" t="str">
        <f t="shared" si="38"/>
        <v/>
      </c>
      <c r="Y110" s="187" t="str">
        <f t="shared" si="39"/>
        <v/>
      </c>
      <c r="Z110" s="187" t="str">
        <f>IF(C110="","",IF($B$31=0,"",-'Debt Financing Calculations'!F59))</f>
        <v/>
      </c>
      <c r="AA110" s="187" t="str">
        <f t="shared" si="40"/>
        <v/>
      </c>
      <c r="AB110" s="187" t="str">
        <f t="shared" si="23"/>
        <v/>
      </c>
      <c r="AC110" s="1143" t="str">
        <f t="shared" si="41"/>
        <v/>
      </c>
      <c r="AD110" s="134"/>
      <c r="AE110" s="1147" t="str">
        <f t="shared" si="42"/>
        <v/>
      </c>
      <c r="AF110" s="1143" t="str">
        <f t="shared" si="43"/>
        <v/>
      </c>
    </row>
    <row r="111" spans="1:32" x14ac:dyDescent="0.25">
      <c r="A111" s="58" t="str">
        <f t="shared" si="21"/>
        <v/>
      </c>
      <c r="B111" s="185" t="str">
        <f>IF(MAX($B$65:B110)&lt;(construct+anal_period),B110+1,"")</f>
        <v/>
      </c>
      <c r="C111" s="185" t="str">
        <f t="shared" si="22"/>
        <v/>
      </c>
      <c r="D111" s="185" t="str">
        <f t="shared" si="25"/>
        <v/>
      </c>
      <c r="E111" s="186" t="str">
        <f t="shared" si="26"/>
        <v/>
      </c>
      <c r="F111" s="59" t="str">
        <f t="shared" si="27"/>
        <v/>
      </c>
      <c r="G111" s="1156"/>
      <c r="H111" s="1165" t="str">
        <f t="shared" si="24"/>
        <v/>
      </c>
      <c r="I111" s="187" t="str">
        <f>IF(OR(C111&lt;0,C111=""),"",-E111*INDEX('Replacement Costs'!$A$16:$H$57,MATCH(C111,'Replacement Costs'!$C$16:$C$57,0),MATCH("Total Yearly Replacement Costs",'Replacement Costs'!$A$16:$H$16,0)))</f>
        <v/>
      </c>
      <c r="J111" s="187" t="str">
        <f>IF(AND(C111&gt;=1,C111&lt;anal_period),WorkingCap*SUM(N111:R111)-WorkingCap*SUM(N110:R110),IF(C111&lt;0,0,IF(B111="","",-SUM(J$65:J110))))</f>
        <v/>
      </c>
      <c r="K111" s="187" t="str">
        <f t="shared" si="28"/>
        <v/>
      </c>
      <c r="L111" s="187" t="str">
        <f t="shared" si="29"/>
        <v/>
      </c>
      <c r="M111" s="187" t="str">
        <f t="shared" si="30"/>
        <v/>
      </c>
      <c r="N111" s="187" t="str">
        <f t="shared" si="31"/>
        <v/>
      </c>
      <c r="O111" s="187" t="str">
        <f>IF(C111="","",IF(C111&lt;0,0,IF(AND(C111=1,start_time&lt;1),-(SUM(B278:E278)*output_kgyear*E111*percnt_var*start_time+SUM(B278:E278)*output_kgyear*E111*(1-start_time)),IF(C111&lt;=start_time,-SUM(B278:E278)*output_kgyear*E111*percnt_var,-SUM(B278:E278)*output_kgyear*E111))))</f>
        <v/>
      </c>
      <c r="P111" s="187" t="str">
        <f t="shared" si="33"/>
        <v/>
      </c>
      <c r="Q111" s="187" t="str">
        <f>IF(C111="","",IF(C111&lt;0,0,IF(AND(C111=1,start_time&lt;1),SUM(K278:N278,T278:V278)*output_kgyear*E111*percnt_revs*start_time+SUM(K278:N278,T278:V278)*output_kgyear*E111*(1-start_time),IF(C111&lt;=start_time,SUM(K278:N278,T278:V278)*output_kgyear*E111*percnt_revs,SUM(K278:N278,T278:V278)*output_kgyear*E111))))</f>
        <v/>
      </c>
      <c r="R111" s="187" t="str">
        <f>IF(C111="","",IF(C111&lt;0,0,IF(AND(C111=1,start_time&lt;1),-((SUM(F278:J278,P278:R278)*output_kgyear+inflated_othervar)*E111*percnt_var*start_time+(SUM(F278:J278,P278:R278)*output_kgyear+inflated_othervar)*E111*(1-start_time)),IF(C111&lt;=start_time,-(SUM(F278:J278,P278:R278)*output_kgyear+inflated_othervar)*E111*percnt_var,-E111*(SUM(F278:J278,P278:R278)*output_kgyear+inflated_othervar)))))</f>
        <v/>
      </c>
      <c r="S111" s="187" t="str">
        <f>IF(B111="","",IF($B$31=0,"",-'Debt Financing Calculations'!E60))</f>
        <v/>
      </c>
      <c r="T111" s="187" t="str">
        <f t="shared" si="35"/>
        <v/>
      </c>
      <c r="U111" s="187" t="str">
        <f>IF(C111="","",IF(C111&lt;-1,0,IF(C111=anal_period,-LOOKUP(C111,depr_yr,depr_cost)-Depreciation!$C$141-Depreciation!$B$166,-LOOKUP(C111,depr_yr,depr_cost))))</f>
        <v/>
      </c>
      <c r="V111" s="187" t="str">
        <f t="shared" si="36"/>
        <v/>
      </c>
      <c r="W111" s="188" t="str">
        <f t="shared" si="37"/>
        <v/>
      </c>
      <c r="X111" s="187" t="str">
        <f t="shared" si="38"/>
        <v/>
      </c>
      <c r="Y111" s="187" t="str">
        <f t="shared" si="39"/>
        <v/>
      </c>
      <c r="Z111" s="187" t="str">
        <f>IF(C111="","",IF($B$31=0,"",-'Debt Financing Calculations'!F60))</f>
        <v/>
      </c>
      <c r="AA111" s="187" t="str">
        <f t="shared" si="40"/>
        <v/>
      </c>
      <c r="AB111" s="187" t="str">
        <f t="shared" si="23"/>
        <v/>
      </c>
      <c r="AC111" s="1143" t="str">
        <f t="shared" si="41"/>
        <v/>
      </c>
      <c r="AD111" s="134"/>
      <c r="AE111" s="1147" t="str">
        <f t="shared" si="42"/>
        <v/>
      </c>
      <c r="AF111" s="1143" t="str">
        <f t="shared" si="43"/>
        <v/>
      </c>
    </row>
    <row r="112" spans="1:32" x14ac:dyDescent="0.25">
      <c r="A112" s="58" t="str">
        <f t="shared" si="21"/>
        <v/>
      </c>
      <c r="B112" s="185" t="str">
        <f>IF(MAX($B$65:B111)&lt;(construct+anal_period),B111+1,"")</f>
        <v/>
      </c>
      <c r="C112" s="185" t="str">
        <f t="shared" si="22"/>
        <v/>
      </c>
      <c r="D112" s="185" t="str">
        <f t="shared" si="25"/>
        <v/>
      </c>
      <c r="E112" s="186" t="str">
        <f t="shared" si="26"/>
        <v/>
      </c>
      <c r="F112" s="59" t="str">
        <f t="shared" si="27"/>
        <v/>
      </c>
      <c r="G112" s="1156"/>
      <c r="H112" s="1165" t="str">
        <f t="shared" si="24"/>
        <v/>
      </c>
      <c r="I112" s="187" t="str">
        <f>IF(OR(C112&lt;0,C112=""),"",-E112*INDEX('Replacement Costs'!$A$16:$H$57,MATCH(C112,'Replacement Costs'!$C$16:$C$57,0),MATCH("Total Yearly Replacement Costs",'Replacement Costs'!$A$16:$H$16,0)))</f>
        <v/>
      </c>
      <c r="J112" s="187" t="str">
        <f>IF(AND(C112&gt;=1,C112&lt;anal_period),WorkingCap*SUM(N112:R112)-WorkingCap*SUM(N111:R111),IF(C112&lt;0,0,IF(B112="","",-SUM(J$65:J111))))</f>
        <v/>
      </c>
      <c r="K112" s="187" t="str">
        <f t="shared" si="28"/>
        <v/>
      </c>
      <c r="L112" s="187" t="str">
        <f t="shared" si="29"/>
        <v/>
      </c>
      <c r="M112" s="187" t="str">
        <f t="shared" si="30"/>
        <v/>
      </c>
      <c r="N112" s="187" t="str">
        <f t="shared" si="31"/>
        <v/>
      </c>
      <c r="O112" s="187" t="str">
        <f>IF(C112="","",IF(C112&lt;0,0,IF(AND(C112=1,start_time&lt;1),-(SUM(B279:E279)*output_kgyear*E112*percnt_var*start_time+SUM(B279:E279)*output_kgyear*E112*(1-start_time)),IF(C112&lt;=start_time,-SUM(B279:E279)*output_kgyear*E112*percnt_var,-SUM(B279:E279)*output_kgyear*E112))))</f>
        <v/>
      </c>
      <c r="P112" s="187" t="str">
        <f t="shared" si="33"/>
        <v/>
      </c>
      <c r="Q112" s="187" t="str">
        <f>IF(C112="","",IF(C112&lt;0,0,IF(AND(C112=1,start_time&lt;1),SUM(K279:N279,T279:V279)*output_kgyear*E112*percnt_revs*start_time+SUM(K279:N279,T279:V279)*output_kgyear*E112*(1-start_time),IF(C112&lt;=start_time,SUM(K279:N279,T279:V279)*output_kgyear*E112*percnt_revs,SUM(K279:N279,T279:V279)*output_kgyear*E112))))</f>
        <v/>
      </c>
      <c r="R112" s="187" t="str">
        <f>IF(C112="","",IF(C112&lt;0,0,IF(AND(C112=1,start_time&lt;1),-((SUM(F279:J279,P279:R279)*output_kgyear+inflated_othervar)*E112*percnt_var*start_time+(SUM(F279:J279,P279:R279)*output_kgyear+inflated_othervar)*E112*(1-start_time)),IF(C112&lt;=start_time,-(SUM(F279:J279,P279:R279)*output_kgyear+inflated_othervar)*E112*percnt_var,-E112*(SUM(F279:J279,P279:R279)*output_kgyear+inflated_othervar)))))</f>
        <v/>
      </c>
      <c r="S112" s="187" t="str">
        <f>IF(B112="","",IF($B$31=0,"",-'Debt Financing Calculations'!E61))</f>
        <v/>
      </c>
      <c r="T112" s="187" t="str">
        <f t="shared" si="35"/>
        <v/>
      </c>
      <c r="U112" s="187" t="str">
        <f>IF(C112="","",IF(C112&lt;-1,0,IF(C112=anal_period,-LOOKUP(C112,depr_yr,depr_cost)-Depreciation!$C$141-Depreciation!$B$166,-LOOKUP(C112,depr_yr,depr_cost))))</f>
        <v/>
      </c>
      <c r="V112" s="187" t="str">
        <f t="shared" si="36"/>
        <v/>
      </c>
      <c r="W112" s="188" t="str">
        <f t="shared" si="37"/>
        <v/>
      </c>
      <c r="X112" s="187" t="str">
        <f t="shared" si="38"/>
        <v/>
      </c>
      <c r="Y112" s="187" t="str">
        <f t="shared" si="39"/>
        <v/>
      </c>
      <c r="Z112" s="187" t="str">
        <f>IF(C112="","",IF($B$31=0,"",-'Debt Financing Calculations'!F61))</f>
        <v/>
      </c>
      <c r="AA112" s="187" t="str">
        <f t="shared" si="40"/>
        <v/>
      </c>
      <c r="AB112" s="187" t="str">
        <f t="shared" si="23"/>
        <v/>
      </c>
      <c r="AC112" s="1143" t="str">
        <f t="shared" si="41"/>
        <v/>
      </c>
      <c r="AD112" s="134"/>
      <c r="AE112" s="1147" t="str">
        <f t="shared" si="42"/>
        <v/>
      </c>
      <c r="AF112" s="1143" t="str">
        <f t="shared" si="43"/>
        <v/>
      </c>
    </row>
    <row r="113" spans="1:33" ht="13.8" thickBot="1" x14ac:dyDescent="0.3">
      <c r="A113" s="61" t="str">
        <f t="shared" si="21"/>
        <v/>
      </c>
      <c r="B113" s="189" t="str">
        <f>IF(MAX($B$65:B112)&lt;(construct+anal_period),B112+1,"")</f>
        <v/>
      </c>
      <c r="C113" s="189" t="str">
        <f t="shared" si="22"/>
        <v/>
      </c>
      <c r="D113" s="189" t="str">
        <f t="shared" si="25"/>
        <v/>
      </c>
      <c r="E113" s="1150" t="str">
        <f t="shared" si="26"/>
        <v/>
      </c>
      <c r="F113" s="1151" t="str">
        <f t="shared" si="27"/>
        <v/>
      </c>
      <c r="G113" s="1158"/>
      <c r="H113" s="1167" t="str">
        <f t="shared" si="24"/>
        <v/>
      </c>
      <c r="I113" s="1152" t="str">
        <f>IF(OR(C113&lt;0,C113=""),"",-E113*INDEX('Replacement Costs'!$A$16:$H$57,MATCH(C113,'Replacement Costs'!$C$16:$C$57,0),MATCH("Total Yearly Replacement Costs",'Replacement Costs'!$A$16:$H$16,0)))</f>
        <v/>
      </c>
      <c r="J113" s="1152" t="str">
        <f>IF(AND(C113&gt;=1,C113&lt;anal_period),WorkingCap*SUM(N113:R113)-WorkingCap*SUM(N112:R112),IF(C113&lt;0,0,IF(B113="","",-SUM(J$65:J112))))</f>
        <v/>
      </c>
      <c r="K113" s="1152" t="str">
        <f t="shared" si="28"/>
        <v/>
      </c>
      <c r="L113" s="1152" t="str">
        <f t="shared" si="29"/>
        <v/>
      </c>
      <c r="M113" s="1152" t="str">
        <f t="shared" si="30"/>
        <v/>
      </c>
      <c r="N113" s="1152" t="str">
        <f t="shared" si="31"/>
        <v/>
      </c>
      <c r="O113" s="1152" t="str">
        <f>IF(C113="","",IF(C113&lt;0,0,IF(AND(C113=1,start_time&lt;1),-(SUM(B280:E280)*output_kgyear*E113*percnt_var*start_time+SUM(B280:E280)*output_kgyear*E113*(1-start_time)),IF(C113&lt;=start_time,-SUM(B280:E280)*output_kgyear*E113*percnt_var,-SUM(B280:E280)*output_kgyear*E113))))</f>
        <v/>
      </c>
      <c r="P113" s="1152" t="str">
        <f t="shared" si="33"/>
        <v/>
      </c>
      <c r="Q113" s="1152" t="str">
        <f>IF(C113="","",IF(C113&lt;0,0,IF(AND(C113=1,start_time&lt;1),SUM(K280:N280,T280:V280)*output_kgyear*E113*percnt_revs*start_time+SUM(K280:N280,T280:V280)*output_kgyear*E113*(1-start_time),IF(C113&lt;=start_time,SUM(K280:N280,T280:V280)*output_kgyear*E113*percnt_revs,SUM(K280:N280,T280:V280)*output_kgyear*E113))))</f>
        <v/>
      </c>
      <c r="R113" s="1152" t="str">
        <f>IF(C113="","",IF(C113&lt;0,0,IF(AND(C113=1,start_time&lt;1),-((SUM(F280:J280,P280:R280)*output_kgyear+inflated_othervar)*E113*percnt_var*start_time+(SUM(F280:J280,P280:R280)*output_kgyear+inflated_othervar)*E113*(1-start_time)),IF(C113&lt;=start_time,-(SUM(F280:J280,P280:R280)*output_kgyear+inflated_othervar)*E113*percnt_var,-E113*(SUM(F280:J280,P280:R280)*output_kgyear+inflated_othervar)))))</f>
        <v/>
      </c>
      <c r="S113" s="1152" t="str">
        <f>IF(B113="","",IF($B$31=0,"",-'Debt Financing Calculations'!E62))</f>
        <v/>
      </c>
      <c r="T113" s="1152" t="str">
        <f t="shared" si="35"/>
        <v/>
      </c>
      <c r="U113" s="1152" t="str">
        <f>IF(C113="","",IF(C113&lt;-1,0,IF(C113=anal_period,-LOOKUP(C113,depr_yr,depr_cost)-Depreciation!$C$141-Depreciation!$B$166,-LOOKUP(C113,depr_yr,depr_cost))))</f>
        <v/>
      </c>
      <c r="V113" s="1152" t="str">
        <f t="shared" si="36"/>
        <v/>
      </c>
      <c r="W113" s="1153" t="str">
        <f t="shared" si="37"/>
        <v/>
      </c>
      <c r="X113" s="1152" t="str">
        <f t="shared" si="38"/>
        <v/>
      </c>
      <c r="Y113" s="1152" t="str">
        <f t="shared" si="39"/>
        <v/>
      </c>
      <c r="Z113" s="1152" t="str">
        <f>IF(C113="","",IF($B$31=0,"",-'Debt Financing Calculations'!F62))</f>
        <v/>
      </c>
      <c r="AA113" s="1152" t="str">
        <f t="shared" si="40"/>
        <v/>
      </c>
      <c r="AB113" s="1152" t="str">
        <f t="shared" si="23"/>
        <v/>
      </c>
      <c r="AC113" s="1154" t="str">
        <f t="shared" si="41"/>
        <v/>
      </c>
      <c r="AD113" s="134"/>
      <c r="AE113" s="1149" t="str">
        <f t="shared" si="42"/>
        <v/>
      </c>
      <c r="AF113" s="1145" t="str">
        <f t="shared" si="43"/>
        <v/>
      </c>
    </row>
    <row r="114" spans="1:33" ht="13.8" thickTop="1" x14ac:dyDescent="0.25">
      <c r="A114" s="134"/>
      <c r="B114" s="134"/>
      <c r="C114" s="134"/>
      <c r="D114" s="134"/>
      <c r="E114" s="1168" t="s">
        <v>149</v>
      </c>
      <c r="F114" s="1169">
        <f t="shared" ref="F114:AC114" ca="1" si="44">SUM(F65:F113)</f>
        <v>16600545190.585825</v>
      </c>
      <c r="G114" s="1169">
        <f t="shared" ca="1" si="44"/>
        <v>-982892426.33857512</v>
      </c>
      <c r="H114" s="1169">
        <f t="shared" ca="1" si="44"/>
        <v>-665903230.04361355</v>
      </c>
      <c r="I114" s="1169">
        <f t="shared" ca="1" si="44"/>
        <v>-1641228751.8902886</v>
      </c>
      <c r="J114" s="1169">
        <f t="shared" ca="1" si="44"/>
        <v>0</v>
      </c>
      <c r="K114" s="1169">
        <f t="shared" si="44"/>
        <v>-955461.45725449082</v>
      </c>
      <c r="L114" s="1169">
        <f t="shared" ca="1" si="44"/>
        <v>299351788.36488336</v>
      </c>
      <c r="M114" s="1169">
        <f t="shared" ca="1" si="44"/>
        <v>-299177291.72813737</v>
      </c>
      <c r="N114" s="1169">
        <f t="shared" ca="1" si="44"/>
        <v>-3581638017.4337916</v>
      </c>
      <c r="O114" s="1169">
        <f t="shared" ca="1" si="44"/>
        <v>-3846792695.7666621</v>
      </c>
      <c r="P114" s="1169">
        <f t="shared" si="44"/>
        <v>-62944075.354231425</v>
      </c>
      <c r="Q114" s="1169">
        <f t="shared" ca="1" si="44"/>
        <v>0</v>
      </c>
      <c r="R114" s="1169">
        <f t="shared" ca="1" si="44"/>
        <v>-2283127381.2336483</v>
      </c>
      <c r="S114" s="1169">
        <f t="shared" ca="1" si="44"/>
        <v>-1200111652.559401</v>
      </c>
      <c r="T114" s="1169">
        <f t="shared" ca="1" si="44"/>
        <v>5626105864.8748369</v>
      </c>
      <c r="U114" s="1169">
        <f t="shared" ca="1" si="44"/>
        <v>-3290024408.2724771</v>
      </c>
      <c r="V114" s="1169">
        <f t="shared" ca="1" si="44"/>
        <v>2336081456.6023598</v>
      </c>
      <c r="W114" s="1169">
        <f t="shared" si="44"/>
        <v>8.4941999999999958</v>
      </c>
      <c r="X114" s="1169">
        <f t="shared" ca="1" si="44"/>
        <v>-601307366.92944717</v>
      </c>
      <c r="Y114" s="1169">
        <f t="shared" ca="1" si="44"/>
        <v>5024798497.9453907</v>
      </c>
      <c r="Z114" s="1169">
        <f t="shared" ca="1" si="44"/>
        <v>-982892426.33857512</v>
      </c>
      <c r="AA114" s="1169">
        <f t="shared" ca="1" si="44"/>
        <v>1733818628.2156577</v>
      </c>
      <c r="AB114" s="1169">
        <f t="shared" ca="1" si="44"/>
        <v>21156365378.115929</v>
      </c>
      <c r="AC114" s="1170">
        <f t="shared" ca="1" si="44"/>
        <v>2335125995.1451054</v>
      </c>
      <c r="AD114" s="134"/>
    </row>
    <row r="115" spans="1:33" ht="13.8" thickBot="1" x14ac:dyDescent="0.3">
      <c r="E115" s="1171" t="s">
        <v>150</v>
      </c>
      <c r="F115" s="1152">
        <f t="shared" ref="F115:AC115" ca="1" si="45">NPV(nominal_irr,F65:F113)</f>
        <v>3395600147.2659054</v>
      </c>
      <c r="G115" s="1152">
        <f t="shared" ca="1" si="45"/>
        <v>-893116368.93339074</v>
      </c>
      <c r="H115" s="1152">
        <f t="shared" ca="1" si="45"/>
        <v>-558738827.60615695</v>
      </c>
      <c r="I115" s="1152">
        <f t="shared" ca="1" si="45"/>
        <v>-340611472.68189651</v>
      </c>
      <c r="J115" s="1152">
        <f t="shared" ca="1" si="45"/>
        <v>-27077439.567219805</v>
      </c>
      <c r="K115" s="1152">
        <f t="shared" ca="1" si="45"/>
        <v>-868190.9072570157</v>
      </c>
      <c r="L115" s="1152">
        <f t="shared" ca="1" si="45"/>
        <v>12689656.135555128</v>
      </c>
      <c r="M115" s="1152">
        <f t="shared" ca="1" si="45"/>
        <v>-12682259.145113841</v>
      </c>
      <c r="N115" s="1152">
        <f t="shared" ca="1" si="45"/>
        <v>-737980960.41190195</v>
      </c>
      <c r="O115" s="1152">
        <f t="shared" ca="1" si="45"/>
        <v>-779011634.63791275</v>
      </c>
      <c r="P115" s="1152">
        <f t="shared" ca="1" si="45"/>
        <v>-12969353.395304</v>
      </c>
      <c r="Q115" s="1152">
        <f t="shared" ca="1" si="45"/>
        <v>0</v>
      </c>
      <c r="R115" s="1152">
        <f t="shared" ca="1" si="45"/>
        <v>-464576540.0231567</v>
      </c>
      <c r="S115" s="1152">
        <f t="shared" ca="1" si="45"/>
        <v>-346452502.46936446</v>
      </c>
      <c r="T115" s="1152">
        <f t="shared" ca="1" si="45"/>
        <v>1054616553.3187064</v>
      </c>
      <c r="U115" s="1152">
        <f t="shared" ca="1" si="45"/>
        <v>-721845095.6787262</v>
      </c>
      <c r="V115" s="1152">
        <f t="shared" ca="1" si="45"/>
        <v>332771457.63998044</v>
      </c>
      <c r="W115" s="1152">
        <f t="shared" ca="1" si="45"/>
        <v>2.4521358826899791</v>
      </c>
      <c r="X115" s="1152">
        <f t="shared" ca="1" si="45"/>
        <v>-85655373.196530938</v>
      </c>
      <c r="Y115" s="1152">
        <f t="shared" ca="1" si="45"/>
        <v>968961180.12217546</v>
      </c>
      <c r="Z115" s="1152">
        <f t="shared" ca="1" si="45"/>
        <v>-41665249.359643072</v>
      </c>
      <c r="AA115" s="1152">
        <f t="shared" ca="1" si="45"/>
        <v>2.3052036248796602E-6</v>
      </c>
      <c r="AB115" s="1152">
        <f t="shared" ca="1" si="45"/>
        <v>-731171376.4689455</v>
      </c>
      <c r="AC115" s="1154">
        <f t="shared" ca="1" si="45"/>
        <v>85655373.196533218</v>
      </c>
      <c r="AD115" s="134"/>
    </row>
    <row r="116" spans="1:33" ht="13.8" thickBot="1" x14ac:dyDescent="0.3">
      <c r="D116" s="191"/>
      <c r="E116" s="1172" t="s">
        <v>1119</v>
      </c>
      <c r="F116" s="1173">
        <f t="shared" ref="F116:AC116" ca="1" si="46">+F65+NPV($X$59,F66:F113)</f>
        <v>3736925874.0690742</v>
      </c>
      <c r="G116" s="1173">
        <f t="shared" ca="1" si="46"/>
        <v>-982892426.33857512</v>
      </c>
      <c r="H116" s="1173">
        <f ca="1">+H65+NPV($X$59,H66:H113)</f>
        <v>-614903254.55712783</v>
      </c>
      <c r="I116" s="1173">
        <f t="shared" ca="1" si="46"/>
        <v>-374849737.9158805</v>
      </c>
      <c r="J116" s="1173">
        <f t="shared" ca="1" si="46"/>
        <v>-29799263.792516738</v>
      </c>
      <c r="K116" s="1173">
        <f t="shared" ca="1" si="46"/>
        <v>-955461.45725449082</v>
      </c>
      <c r="L116" s="1173">
        <f t="shared" ca="1" si="46"/>
        <v>13965220.370301127</v>
      </c>
      <c r="M116" s="1173">
        <f t="shared" ca="1" si="46"/>
        <v>-13957079.834380683</v>
      </c>
      <c r="N116" s="1173">
        <f t="shared" ca="1" si="46"/>
        <v>-812162806.55250657</v>
      </c>
      <c r="O116" s="1173">
        <f t="shared" ca="1" si="46"/>
        <v>-857317884.15171587</v>
      </c>
      <c r="P116" s="1173">
        <f t="shared" ca="1" si="46"/>
        <v>-14273032.798599953</v>
      </c>
      <c r="Q116" s="1173">
        <f t="shared" ca="1" si="46"/>
        <v>0</v>
      </c>
      <c r="R116" s="1173">
        <f t="shared" ca="1" si="46"/>
        <v>-511275773.82628429</v>
      </c>
      <c r="S116" s="1173">
        <f t="shared" ca="1" si="46"/>
        <v>-381277908.01758492</v>
      </c>
      <c r="T116" s="1173">
        <f t="shared" ca="1" si="46"/>
        <v>1160626609.2583025</v>
      </c>
      <c r="U116" s="1173">
        <f t="shared" ca="1" si="46"/>
        <v>-794404964.69635177</v>
      </c>
      <c r="V116" s="1173">
        <f t="shared" ca="1" si="46"/>
        <v>366221644.56195116</v>
      </c>
      <c r="W116" s="1173">
        <f t="shared" ca="1" si="46"/>
        <v>2.6986245816179757</v>
      </c>
      <c r="X116" s="1173">
        <f t="shared" ca="1" si="46"/>
        <v>-94265451.310246199</v>
      </c>
      <c r="Y116" s="1173">
        <f t="shared" ca="1" si="46"/>
        <v>1066361157.9480567</v>
      </c>
      <c r="Z116" s="1173">
        <f t="shared" ca="1" si="46"/>
        <v>-45853440.225274391</v>
      </c>
      <c r="AA116" s="1173">
        <f t="shared" ca="1" si="46"/>
        <v>2.5629997253417969E-6</v>
      </c>
      <c r="AB116" s="1173">
        <f t="shared" ca="1" si="46"/>
        <v>-804668723.23160481</v>
      </c>
      <c r="AC116" s="1174">
        <f t="shared" ca="1" si="46"/>
        <v>94265451.310248792</v>
      </c>
      <c r="AD116" s="1175"/>
      <c r="AE116" s="1176">
        <f ca="1">+AE65+NPV(real_irr,AE66:AE113)</f>
        <v>1922044704.2434406</v>
      </c>
      <c r="AF116" s="1177">
        <f ca="1">+AF65+NPV($X$59,AF66:AF113)</f>
        <v>0</v>
      </c>
      <c r="AG116" s="1178"/>
    </row>
    <row r="117" spans="1:33" ht="16.8" thickTop="1" thickBot="1" x14ac:dyDescent="0.35">
      <c r="A117" s="49" t="s">
        <v>79</v>
      </c>
      <c r="B117" s="149"/>
      <c r="C117" s="149"/>
      <c r="D117" s="149"/>
      <c r="E117" s="1179" t="s">
        <v>1175</v>
      </c>
      <c r="F117" s="1193"/>
      <c r="G117" s="1193"/>
      <c r="H117" s="1193">
        <f ca="1">-H116/$AE$116*(1+inflation_rate)^construct/INFLATION_FACTOR</f>
        <v>0.34493720750075096</v>
      </c>
      <c r="I117" s="1193">
        <f ca="1">-I116/$AE$116*(1+inflation_rate)^construct/INFLATION_FACTOR</f>
        <v>0.2102763660312999</v>
      </c>
      <c r="J117" s="1193">
        <f ca="1">-J116/$AE$116*(1+inflation_rate)^construct/INFLATION_FACTOR</f>
        <v>1.6716247250263983E-2</v>
      </c>
      <c r="K117" s="1193">
        <f ca="1">-K116/$AE$116*(1+inflation_rate)^construct/INFLATION_FACTOR</f>
        <v>5.3597733382844371E-4</v>
      </c>
      <c r="L117" s="1193"/>
      <c r="M117" s="1193">
        <f ca="1">-M116/$AE$116*(1+inflation_rate)^construct/INFLATION_FACTOR</f>
        <v>7.8293879683621684E-3</v>
      </c>
      <c r="N117" s="1193">
        <f ca="1">-N116/$AE$116*(1+inflation_rate)^construct/INFLATION_FACTOR</f>
        <v>0.45559227155166604</v>
      </c>
      <c r="O117" s="1193">
        <f ca="1">-O116/$AE$116*(1+inflation_rate)^construct/INFLATION_FACTOR</f>
        <v>0.48092254303115112</v>
      </c>
      <c r="P117" s="1193">
        <f ca="1">-P116/$AE$116*(1+inflation_rate)^construct/INFLATION_FACTOR</f>
        <v>8.0066254969842487E-3</v>
      </c>
      <c r="Q117" s="1193"/>
      <c r="R117" s="1193">
        <f ca="1">-R116/$AE$116*(1+inflation_rate)^construct/INFLATION_FACTOR</f>
        <v>0.28680615426802791</v>
      </c>
      <c r="S117" s="1193">
        <f ca="1">-S116/$AE$116*(1+inflation_rate)^construct/INFLATION_FACTOR</f>
        <v>0.21388232359907813</v>
      </c>
      <c r="T117" s="1193"/>
      <c r="U117" s="1193"/>
      <c r="V117" s="1193"/>
      <c r="W117" s="1193"/>
      <c r="X117" s="1193">
        <f ca="1">-X116/$AE$116*(1+inflation_rate)^construct/INFLATION_FACTOR</f>
        <v>5.2879312798845259E-2</v>
      </c>
      <c r="Y117" s="1193"/>
      <c r="Z117" s="1193">
        <f ca="1">-Z116/$AE$116*(1+inflation_rate)^construct/INFLATION_FACTOR</f>
        <v>2.5722026202317508E-2</v>
      </c>
      <c r="AA117" s="1193"/>
      <c r="AB117" s="1193"/>
      <c r="AC117" s="1194"/>
      <c r="AD117" s="1195"/>
      <c r="AE117" s="1196"/>
      <c r="AF117" s="1196"/>
      <c r="AG117" s="1194">
        <f ca="1">+SUM(F117:AC117)</f>
        <v>2.1041064430325758</v>
      </c>
    </row>
    <row r="118" spans="1:33" ht="15" customHeight="1" thickTop="1" thickBot="1" x14ac:dyDescent="0.3">
      <c r="A118" s="54" t="s">
        <v>80</v>
      </c>
      <c r="B118" s="56" t="s">
        <v>151</v>
      </c>
      <c r="C118" s="56" t="s">
        <v>152</v>
      </c>
      <c r="D118" s="1076" t="s">
        <v>153</v>
      </c>
      <c r="E118" s="1180" t="s">
        <v>1176</v>
      </c>
      <c r="F118" s="1197">
        <f ca="1">F116/$AE$116*(1+inflation_rate)^construct/INFLATION_FACTOR</f>
        <v>2.096272488534916</v>
      </c>
      <c r="G118" s="1197"/>
      <c r="H118" s="1197"/>
      <c r="I118" s="1197"/>
      <c r="J118" s="1197"/>
      <c r="K118" s="1197"/>
      <c r="L118" s="1197">
        <f ca="1">L116/$AE$116*(1+inflation_rate)^construct/INFLATION_FACTOR</f>
        <v>7.833954497661123E-3</v>
      </c>
      <c r="M118" s="1197"/>
      <c r="N118" s="1197"/>
      <c r="O118" s="1197"/>
      <c r="P118" s="1197"/>
      <c r="Q118" s="1197">
        <f ca="1">Q116/$AE$116*(1+inflation_rate)^construct/INFLATION_FACTOR</f>
        <v>0</v>
      </c>
      <c r="R118" s="1197"/>
      <c r="S118" s="1197"/>
      <c r="T118" s="1197"/>
      <c r="U118" s="1197"/>
      <c r="V118" s="1197"/>
      <c r="W118" s="1197"/>
      <c r="X118" s="1197"/>
      <c r="Y118" s="1197"/>
      <c r="Z118" s="1197"/>
      <c r="AA118" s="1197"/>
      <c r="AB118" s="1197"/>
      <c r="AC118" s="1198"/>
      <c r="AD118" s="1199"/>
      <c r="AE118" s="1200"/>
      <c r="AF118" s="1200"/>
      <c r="AG118" s="1198">
        <f ca="1">+SUM(F118:AC118)</f>
        <v>2.1041064430325771</v>
      </c>
    </row>
    <row r="119" spans="1:33" ht="15" customHeight="1" x14ac:dyDescent="0.25">
      <c r="A119" s="194" t="s">
        <v>154</v>
      </c>
      <c r="B119" s="187">
        <f ca="1">(SUM(H115:K115)+L115*(1-total_tax_rate)+S115*(1-total_tax_rate)+U115*(-total_tax_rate)+Z115)/(1-total_tax_rate)</f>
        <v>-1388379399.652513</v>
      </c>
      <c r="C119" s="195">
        <f t="shared" ref="C119:C125" ca="1" si="47">B119/SUM($B$118:$B$125)</f>
        <v>0.40887599818559905</v>
      </c>
      <c r="D119" s="196">
        <f t="shared" ref="D119:D125" ca="1" si="48">H2_price_real*C119</f>
        <v>0.85711550621872257</v>
      </c>
      <c r="E119" s="192"/>
    </row>
    <row r="120" spans="1:33" ht="15" customHeight="1" x14ac:dyDescent="0.25">
      <c r="A120" s="194" t="s">
        <v>84</v>
      </c>
      <c r="B120" s="187">
        <f ca="1">M115</f>
        <v>-12682259.145113841</v>
      </c>
      <c r="C120" s="195">
        <f t="shared" ca="1" si="47"/>
        <v>3.7349094696339461E-3</v>
      </c>
      <c r="D120" s="196">
        <f t="shared" ca="1" si="48"/>
        <v>7.8293879683621666E-3</v>
      </c>
      <c r="E120" s="192"/>
      <c r="V120" s="151"/>
      <c r="W120" s="134"/>
      <c r="X120" s="134"/>
      <c r="Y120" s="134"/>
    </row>
    <row r="121" spans="1:33" ht="15" customHeight="1" x14ac:dyDescent="0.25">
      <c r="A121" s="194" t="s">
        <v>85</v>
      </c>
      <c r="B121" s="187">
        <f ca="1">N115</f>
        <v>-737980960.41190195</v>
      </c>
      <c r="C121" s="195">
        <f t="shared" ca="1" si="47"/>
        <v>0.21733447061077424</v>
      </c>
      <c r="D121" s="196">
        <f t="shared" ca="1" si="48"/>
        <v>0.45559227155166582</v>
      </c>
      <c r="E121" s="192"/>
      <c r="V121" s="151"/>
      <c r="W121" s="134"/>
      <c r="X121" s="134"/>
      <c r="Y121" s="134"/>
    </row>
    <row r="122" spans="1:33" ht="15" customHeight="1" x14ac:dyDescent="0.25">
      <c r="A122" s="194" t="s">
        <v>1005</v>
      </c>
      <c r="B122" s="187">
        <f ca="1">O115</f>
        <v>-779011634.63791275</v>
      </c>
      <c r="C122" s="195">
        <f t="shared" ca="1" si="47"/>
        <v>0.22941795289565051</v>
      </c>
      <c r="D122" s="196">
        <f t="shared" ca="1" si="48"/>
        <v>0.4809225430311509</v>
      </c>
      <c r="E122" s="192"/>
      <c r="V122" s="151"/>
      <c r="W122" s="134"/>
      <c r="X122" s="134"/>
      <c r="Y122" s="134"/>
    </row>
    <row r="123" spans="1:33" ht="15" customHeight="1" x14ac:dyDescent="0.25">
      <c r="A123" s="194" t="s">
        <v>86</v>
      </c>
      <c r="B123" s="187">
        <f ca="1">P115</f>
        <v>-12969353.395304</v>
      </c>
      <c r="C123" s="195">
        <f t="shared" ca="1" si="47"/>
        <v>3.8194583675427072E-3</v>
      </c>
      <c r="D123" s="196">
        <f t="shared" ca="1" si="48"/>
        <v>8.0066254969842505E-3</v>
      </c>
      <c r="E123" s="192"/>
      <c r="V123" s="151"/>
      <c r="W123" s="134"/>
      <c r="X123" s="134"/>
      <c r="Y123" s="134"/>
    </row>
    <row r="124" spans="1:33" ht="15" customHeight="1" x14ac:dyDescent="0.25">
      <c r="A124" s="194" t="s">
        <v>87</v>
      </c>
      <c r="B124" s="187">
        <f ca="1">Q115</f>
        <v>0</v>
      </c>
      <c r="C124" s="195">
        <f t="shared" ca="1" si="47"/>
        <v>0</v>
      </c>
      <c r="D124" s="196">
        <f t="shared" ca="1" si="48"/>
        <v>0</v>
      </c>
      <c r="E124" s="192"/>
      <c r="V124" s="151"/>
      <c r="W124" s="134"/>
      <c r="X124" s="134"/>
      <c r="Y124" s="134"/>
    </row>
    <row r="125" spans="1:33" ht="29.25" customHeight="1" thickBot="1" x14ac:dyDescent="0.3">
      <c r="A125" s="197" t="s">
        <v>88</v>
      </c>
      <c r="B125" s="190">
        <f ca="1">R115</f>
        <v>-464576540.0231567</v>
      </c>
      <c r="C125" s="198">
        <f t="shared" ca="1" si="47"/>
        <v>0.13681721047079948</v>
      </c>
      <c r="D125" s="199">
        <f t="shared" ca="1" si="48"/>
        <v>0.28680615426802786</v>
      </c>
      <c r="E125" s="192"/>
      <c r="V125" s="151"/>
      <c r="W125" s="134"/>
      <c r="X125" s="134"/>
      <c r="Y125" s="134"/>
    </row>
    <row r="126" spans="1:33" ht="15" customHeight="1" thickTop="1" x14ac:dyDescent="0.25">
      <c r="D126" s="191"/>
      <c r="E126" s="192"/>
      <c r="K126"/>
      <c r="L126"/>
      <c r="M126"/>
      <c r="V126" s="151"/>
      <c r="W126" s="134"/>
      <c r="X126" s="134"/>
      <c r="Y126" s="134"/>
    </row>
    <row r="127" spans="1:33" ht="15" customHeight="1" x14ac:dyDescent="0.25">
      <c r="D127" s="191"/>
      <c r="E127" s="192"/>
      <c r="K127"/>
      <c r="L127"/>
      <c r="M127"/>
      <c r="V127" s="151"/>
      <c r="W127" s="134"/>
      <c r="X127" s="134"/>
      <c r="Y127" s="134"/>
    </row>
    <row r="128" spans="1:33" ht="42.75" customHeight="1" thickBot="1" x14ac:dyDescent="0.3">
      <c r="A128" s="228" t="s">
        <v>261</v>
      </c>
      <c r="B128" s="417">
        <f>(1+inflation_rate)^(startup_year-ref_year)</f>
        <v>0.9813542688910698</v>
      </c>
      <c r="P128" s="836"/>
    </row>
    <row r="129" spans="1:22" ht="51.75" customHeight="1" thickBot="1" x14ac:dyDescent="0.35">
      <c r="A129" s="200" t="s">
        <v>155</v>
      </c>
      <c r="B129" s="201"/>
      <c r="C129" s="201"/>
      <c r="D129" s="201"/>
      <c r="E129" s="201"/>
      <c r="F129" s="201"/>
      <c r="G129" s="201"/>
      <c r="H129" s="201"/>
      <c r="I129" s="201"/>
      <c r="J129" s="201"/>
      <c r="K129" s="201"/>
      <c r="L129" s="201"/>
      <c r="M129" s="201"/>
      <c r="N129" s="201"/>
      <c r="O129" s="201"/>
      <c r="P129" s="835"/>
      <c r="Q129" s="201"/>
      <c r="R129" s="201"/>
      <c r="S129" s="201"/>
      <c r="T129" s="201"/>
      <c r="U129" s="201"/>
      <c r="V129" s="236"/>
    </row>
    <row r="130" spans="1:22" ht="31.95" customHeight="1" thickTop="1" thickBot="1" x14ac:dyDescent="0.35">
      <c r="A130" s="374"/>
      <c r="B130" s="202" t="s">
        <v>67</v>
      </c>
      <c r="C130" s="230"/>
      <c r="D130" s="230"/>
      <c r="E130" s="149"/>
      <c r="F130" s="203" t="s">
        <v>68</v>
      </c>
      <c r="G130" s="230"/>
      <c r="H130" s="230"/>
      <c r="I130" s="231"/>
      <c r="J130" s="594" t="s">
        <v>1003</v>
      </c>
      <c r="K130" s="233" t="s">
        <v>69</v>
      </c>
      <c r="L130" s="149"/>
      <c r="M130" s="149"/>
      <c r="N130" s="193"/>
      <c r="O130" s="395" t="s">
        <v>70</v>
      </c>
      <c r="P130" s="400"/>
      <c r="Q130" s="400"/>
      <c r="R130" s="401"/>
      <c r="S130" s="202" t="s">
        <v>73</v>
      </c>
      <c r="T130" s="411"/>
      <c r="U130" s="411"/>
      <c r="V130" s="412"/>
    </row>
    <row r="131" spans="1:22" ht="30.75" customHeight="1" thickTop="1" thickBot="1" x14ac:dyDescent="0.35">
      <c r="A131" s="375" t="s">
        <v>263</v>
      </c>
      <c r="B131" s="377" t="str">
        <f>Input_Sheet_Template!$B$75</f>
        <v>Electric Utility Steam Coal</v>
      </c>
      <c r="C131" s="378"/>
      <c r="D131" s="378"/>
      <c r="E131" s="378"/>
      <c r="F131" s="379" t="str">
        <f>Input_Sheet_Template!$B$78</f>
        <v>Industrial Electricity</v>
      </c>
      <c r="G131" s="378"/>
      <c r="H131" s="378"/>
      <c r="I131" s="380"/>
      <c r="J131" s="602" t="str">
        <f ca="1">IF(CO2_CashFlow_eUse&gt;0,'HyARC Physical Property Data'!A77,"")</f>
        <v>Industrial Electricity</v>
      </c>
      <c r="K131" s="596"/>
      <c r="L131" s="381"/>
      <c r="M131" s="381"/>
      <c r="N131" s="382"/>
      <c r="O131" s="396" t="s">
        <v>71</v>
      </c>
      <c r="P131" s="402" t="str">
        <f>Input_Sheet_Template!$B$138</f>
        <v>Process Water</v>
      </c>
      <c r="Q131" s="402"/>
      <c r="R131" s="403"/>
      <c r="S131" s="396" t="s">
        <v>71</v>
      </c>
      <c r="T131" s="402"/>
      <c r="U131" s="402"/>
      <c r="V131" s="403"/>
    </row>
    <row r="132" spans="1:22" ht="31.5" customHeight="1" thickBot="1" x14ac:dyDescent="0.35">
      <c r="A132" s="376" t="s">
        <v>934</v>
      </c>
      <c r="B132" s="383">
        <f>Input_Sheet_Template!$C$75</f>
        <v>2.2735034516249999E-2</v>
      </c>
      <c r="C132" s="384"/>
      <c r="D132" s="384"/>
      <c r="E132" s="384"/>
      <c r="F132" s="385">
        <f>Input_Sheet_Template!$C$78</f>
        <v>3.5999999999999995E-3</v>
      </c>
      <c r="G132" s="384"/>
      <c r="H132" s="384"/>
      <c r="I132" s="386"/>
      <c r="J132" s="603">
        <f ca="1">IF(J131="",0,VLOOKUP(J131,MASTER_PROPERTY_TABLE,9,FALSE))</f>
        <v>3.5999999999999995E-3</v>
      </c>
      <c r="K132" s="597"/>
      <c r="L132" s="387"/>
      <c r="M132" s="387"/>
      <c r="N132" s="388"/>
      <c r="O132" s="397" t="s">
        <v>264</v>
      </c>
      <c r="P132" s="837">
        <f>Input_Sheet_Template!$D$138</f>
        <v>10.060103144751638</v>
      </c>
      <c r="Q132" s="837"/>
      <c r="R132" s="838"/>
      <c r="S132" s="397" t="s">
        <v>264</v>
      </c>
      <c r="T132" s="404"/>
      <c r="U132" s="404"/>
      <c r="V132" s="405"/>
    </row>
    <row r="133" spans="1:22" ht="16.5" customHeight="1" thickBot="1" x14ac:dyDescent="0.35">
      <c r="A133" s="376" t="s">
        <v>264</v>
      </c>
      <c r="B133" s="383">
        <f>feedstockElectric_Utility_Steam_Coal_Usage</f>
        <v>9.6971406981268338</v>
      </c>
      <c r="C133" s="384"/>
      <c r="D133" s="384"/>
      <c r="E133" s="384"/>
      <c r="F133" s="385">
        <f>utilityIndustrial_Electricity_Usage</f>
        <v>1.3622086936290667</v>
      </c>
      <c r="G133" s="384"/>
      <c r="H133" s="384"/>
      <c r="I133" s="386"/>
      <c r="J133" s="603">
        <f ca="1" xml:space="preserve"> CO2_eUse_kWhpkg</f>
        <v>0.11747940043450061</v>
      </c>
      <c r="K133" s="597"/>
      <c r="L133" s="387"/>
      <c r="M133" s="387"/>
      <c r="N133" s="388"/>
      <c r="O133" s="397" t="s">
        <v>72</v>
      </c>
      <c r="P133" s="404">
        <f>Input_Sheet_Template!$C$138</f>
        <v>2.374951094500801E-3</v>
      </c>
      <c r="Q133" s="404"/>
      <c r="R133" s="405"/>
      <c r="S133" s="397" t="s">
        <v>74</v>
      </c>
      <c r="T133" s="404"/>
      <c r="U133" s="404"/>
      <c r="V133" s="405"/>
    </row>
    <row r="134" spans="1:22" ht="16.5" customHeight="1" thickBot="1" x14ac:dyDescent="0.35">
      <c r="A134" s="376" t="s">
        <v>265</v>
      </c>
      <c r="B134" s="383">
        <f>feedstockElectric_Utility_Steam_Coal_Price</f>
        <v>4.7562530330660567E-2</v>
      </c>
      <c r="C134" s="384"/>
      <c r="D134" s="384"/>
      <c r="E134" s="384"/>
      <c r="F134" s="385">
        <f>utilityIndustrial_Electricity_Price</f>
        <v>6.9980611257164108E-2</v>
      </c>
      <c r="G134" s="384"/>
      <c r="H134" s="384"/>
      <c r="I134" s="386"/>
      <c r="J134" s="603">
        <f ca="1">IF(J131="",0,CO2_eCost)</f>
        <v>6.9980611257164108E-2</v>
      </c>
      <c r="K134" s="597"/>
      <c r="L134" s="387"/>
      <c r="M134" s="387"/>
      <c r="N134" s="388"/>
      <c r="O134" s="398" t="s">
        <v>266</v>
      </c>
      <c r="P134" s="406" t="str">
        <f>Input_Sheet_Template!$F$138</f>
        <v>Yes</v>
      </c>
      <c r="Q134" s="406"/>
      <c r="R134" s="407"/>
      <c r="S134" s="398" t="s">
        <v>266</v>
      </c>
      <c r="T134" s="413"/>
      <c r="U134" s="413"/>
      <c r="V134" s="414"/>
    </row>
    <row r="135" spans="1:22" ht="16.5" customHeight="1" thickBot="1" x14ac:dyDescent="0.35">
      <c r="A135" s="418" t="s">
        <v>266</v>
      </c>
      <c r="B135" s="389" t="str">
        <f>Input_Sheet_Template!$G$75</f>
        <v>yes</v>
      </c>
      <c r="C135" s="390"/>
      <c r="D135" s="390"/>
      <c r="E135" s="390"/>
      <c r="F135" s="391" t="str">
        <f>Input_Sheet_Template!$G$78</f>
        <v>yes</v>
      </c>
      <c r="G135" s="390"/>
      <c r="H135" s="390"/>
      <c r="I135" s="392"/>
      <c r="J135" s="604" t="str">
        <f ca="1">IF(J131="","","yes")</f>
        <v>yes</v>
      </c>
      <c r="K135" s="598"/>
      <c r="L135" s="393"/>
      <c r="M135" s="393"/>
      <c r="N135" s="394"/>
      <c r="O135" s="399"/>
      <c r="P135" s="408"/>
      <c r="Q135" s="408"/>
      <c r="R135" s="409"/>
      <c r="S135" s="410"/>
      <c r="T135" s="415"/>
      <c r="U135" s="415"/>
      <c r="V135" s="416"/>
    </row>
    <row r="136" spans="1:22" ht="30" customHeight="1" thickBot="1" x14ac:dyDescent="0.35">
      <c r="A136" s="376" t="s">
        <v>530</v>
      </c>
      <c r="B136" s="533">
        <f ca="1">IF(B131="",0,VLOOKUP(B131,MASTER_PROPERTY_TABLE,11,FALSE)*B132*B133)</f>
        <v>22.653394628210247</v>
      </c>
      <c r="C136" s="534">
        <f>IF(C131="",0,VLOOKUP(C131,MASTER_PROPERTY_TABLE,11,FALSE)*C132*C133)</f>
        <v>0</v>
      </c>
      <c r="D136" s="534">
        <f>IF(D131="",0,VLOOKUP(D131,MASTER_PROPERTY_TABLE,11,FALSE)*D132*D133)</f>
        <v>0</v>
      </c>
      <c r="E136" s="535">
        <f>IF(E131="",0,VLOOKUP(E131,MASTER_PROPERTY_TABLE,11,FALSE)*E132*E133)</f>
        <v>0</v>
      </c>
      <c r="F136" s="533">
        <f ca="1">IF(F131="",,VLOOKUP(F131,MASTER_PROPERTY_TABLE,11,FALSE)*F132*F133)</f>
        <v>0</v>
      </c>
      <c r="G136" s="534">
        <f>IF(G131="",,VLOOKUP(G131,MASTER_PROPERTY_TABLE,11,FALSE)*G132*G133)</f>
        <v>0</v>
      </c>
      <c r="H136" s="534">
        <f>IF(H131="",,VLOOKUP(H131,MASTER_PROPERTY_TABLE,11,FALSE)*H132*H133)</f>
        <v>0</v>
      </c>
      <c r="I136" s="534">
        <f>IF(I131="",,VLOOKUP(I131,MASTER_PROPERTY_TABLE,11,FALSE)*I132*I133)</f>
        <v>0</v>
      </c>
      <c r="J136" s="535">
        <f ca="1">IF($J$131="",0,VLOOKUP($J$131,MASTER_PROPERTY_TABLE,12,FALSE)*$J$132*$J$133)</f>
        <v>0</v>
      </c>
      <c r="K136" s="384"/>
      <c r="L136" s="387"/>
      <c r="M136" s="387"/>
      <c r="N136" s="388"/>
      <c r="O136" s="421"/>
      <c r="P136" s="419"/>
      <c r="Q136" s="419"/>
      <c r="R136" s="420"/>
      <c r="S136" s="422"/>
      <c r="T136" s="423"/>
      <c r="U136" s="423"/>
      <c r="V136" s="424"/>
    </row>
    <row r="137" spans="1:22" ht="30" customHeight="1" thickBot="1" x14ac:dyDescent="0.35">
      <c r="A137" s="532" t="s">
        <v>935</v>
      </c>
      <c r="B137" s="425">
        <f ca="1">IF(B131="",0,IF(VLOOKUP(B131,MASTER_PROPERTY_TABLE,12,FALSE)="English",mmBTU_to_GJ,1))</f>
        <v>1</v>
      </c>
      <c r="C137" s="426">
        <f>IF(C131="",0,IF(VLOOKUP(C131,MASTER_PROPERTY_TABLE,12,FALSE)="English",mmBTU_to_GJ,1))</f>
        <v>0</v>
      </c>
      <c r="D137" s="426">
        <f>IF(D131="",0,IF(VLOOKUP(D131,MASTER_PROPERTY_TABLE,12,FALSE)="English",mmBTU_to_GJ,1))</f>
        <v>0</v>
      </c>
      <c r="E137" s="427">
        <f>IF(E131="",,IF(VLOOKUP(E131,MASTER_PROPERTY_TABLE,12,FALSE)="English",mmBTU_to_GJ,1))</f>
        <v>0</v>
      </c>
      <c r="F137" s="425">
        <f ca="1">IF(F131="",,IF(VLOOKUP(F131,MASTER_PROPERTY_TABLE,12,FALSE)="English",mmBTU_to_GJ,1))</f>
        <v>1</v>
      </c>
      <c r="G137" s="426">
        <f>IF(G131="",,IF(VLOOKUP(G131,MASTER_PROPERTY_TABLE,12,FALSE)="English",mmBTU_to_GJ,1))</f>
        <v>0</v>
      </c>
      <c r="H137" s="426">
        <f>IF(H131="",,IF(VLOOKUP(H131,MASTER_PROPERTY_TABLE,12,FALSE)="English",mmBTU_to_GJ,1))</f>
        <v>0</v>
      </c>
      <c r="I137" s="426">
        <f>IF(I131="",,IF(VLOOKUP(I131,MASTER_PROPERTY_TABLE,12,FALSE)="English",mmBTU_to_GJ,1))</f>
        <v>0</v>
      </c>
      <c r="J137" s="427">
        <f ca="1">IF($J$131="",0,IF(VLOOKUP($J$131,MASTER_PROPERTY_TABLE,12,FALSE)="English",mmBTU_to_GJ,1))</f>
        <v>1</v>
      </c>
      <c r="K137" s="426">
        <f>IF(K131="",,IF(VLOOKUP(K131,MASTER_PROPERTY_TABLE,12,FALSE)="English",mmBTU_to_GJ,1))</f>
        <v>0</v>
      </c>
      <c r="L137" s="426">
        <f>IF(L131="",,IF(VLOOKUP(L131,MASTER_PROPERTY_TABLE,12,FALSE)="English",mmBTU_to_GJ,1))</f>
        <v>0</v>
      </c>
      <c r="M137" s="426">
        <f>IF(M131="",,IF(VLOOKUP(M131,MASTER_PROPERTY_TABLE,12,FALSE)="English",mmBTU_to_GJ,1))</f>
        <v>0</v>
      </c>
      <c r="N137" s="426">
        <f>IF(N131="",,IF(VLOOKUP(N131,MASTER_PROPERTY_TABLE,12,FALSE)="English",mmBTU_to_GJ,1))</f>
        <v>0</v>
      </c>
      <c r="O137" s="531"/>
      <c r="P137" s="529"/>
      <c r="Q137" s="529"/>
      <c r="R137" s="530"/>
      <c r="S137" s="410"/>
      <c r="T137" s="415"/>
      <c r="U137" s="415"/>
      <c r="V137" s="416"/>
    </row>
    <row r="138" spans="1:22" ht="38.25" customHeight="1" thickTop="1" x14ac:dyDescent="0.25">
      <c r="A138" s="204" t="s">
        <v>1035</v>
      </c>
      <c r="B138" s="237" t="str">
        <f t="shared" ref="B138:N138" si="49">IF(B$131="","",B$131&amp;" ($/kg of H2)")</f>
        <v>Electric Utility Steam Coal ($/kg of H2)</v>
      </c>
      <c r="C138" s="237" t="str">
        <f t="shared" si="49"/>
        <v/>
      </c>
      <c r="D138" s="237" t="str">
        <f t="shared" si="49"/>
        <v/>
      </c>
      <c r="E138" s="237" t="str">
        <f t="shared" si="49"/>
        <v/>
      </c>
      <c r="F138" s="237" t="str">
        <f t="shared" si="49"/>
        <v>Industrial Electricity ($/kg of H2)</v>
      </c>
      <c r="G138" s="237" t="str">
        <f t="shared" si="49"/>
        <v/>
      </c>
      <c r="H138" s="237" t="str">
        <f t="shared" si="49"/>
        <v/>
      </c>
      <c r="I138" s="595" t="str">
        <f t="shared" si="49"/>
        <v/>
      </c>
      <c r="J138" s="601"/>
      <c r="K138" s="599" t="str">
        <f t="shared" si="49"/>
        <v/>
      </c>
      <c r="L138" s="237" t="str">
        <f t="shared" si="49"/>
        <v/>
      </c>
      <c r="M138" s="237" t="str">
        <f t="shared" si="49"/>
        <v/>
      </c>
      <c r="N138" s="237" t="str">
        <f t="shared" si="49"/>
        <v/>
      </c>
      <c r="O138" s="237"/>
      <c r="P138" s="237" t="str">
        <f>IF(P$131="","",P$131&amp;" ($/kg of H2)")</f>
        <v>Process Water ($/kg of H2)</v>
      </c>
      <c r="Q138" s="237" t="str">
        <f>IF(Q$131="","",Q$131&amp;" ($/kg of H2)")</f>
        <v/>
      </c>
      <c r="R138" s="237" t="str">
        <f>IF(R$131="","",R$131&amp;" ($/kg of H2)")</f>
        <v/>
      </c>
      <c r="S138" s="238"/>
      <c r="T138" s="237" t="str">
        <f>IF(T$131="","",T$131&amp;" ($/kg of H2)")</f>
        <v/>
      </c>
      <c r="U138" s="237" t="str">
        <f>IF(U$131="","",U$131&amp;" ($/kg of H2)")</f>
        <v/>
      </c>
      <c r="V138" s="237" t="str">
        <f>IF(V$131="","",V$131&amp;" ($/kg of H2)")</f>
        <v/>
      </c>
    </row>
    <row r="139" spans="1:22" ht="15" customHeight="1" x14ac:dyDescent="0.25">
      <c r="A139" s="205">
        <f t="shared" ref="A139:A182" si="50">IF(A65="","",A65)</f>
        <v>2012</v>
      </c>
      <c r="B139" s="207">
        <f ca="1">IF($A139="","",IF($B$131="","",IF($B$135="no",INFLATION_FACTOR*$B$133*$B$134,INFLATION_FACTOR*$B$133*$B$132*INDEX(FEEDPRICETABLE,MATCH($B$131,List_Energy_Feedstocks,0),MATCH($A139,Feedstock_Year,0)))))</f>
        <v>0.50847375068098299</v>
      </c>
      <c r="C139" s="207" t="str">
        <f t="shared" ref="C139:C182" si="51">IF($A139="","",IF($C$131="","",IF($C$135="no",INFLATION_FACTOR*$C$133*$C$134,INFLATION_FACTOR*$C$133*$C$132*INDEX(FEEDPRICETABLE,MATCH($C$131,List_Energy_Feedstocks,0),MATCH($A139,Feedstock_Year,0)))))</f>
        <v/>
      </c>
      <c r="D139" s="207" t="str">
        <f t="shared" ref="D139:D182" si="52">IF($A139="","",IF($D$131="","",IF($D$135="no",INFLATION_FACTOR*$D$133*$D$134,INFLATION_FACTOR*$D$133*$D$132*INDEX(FEEDPRICETABLE,MATCH($D$131,List_Energy_Feedstocks,0),MATCH($A139,Feedstock_Year,0)))))</f>
        <v/>
      </c>
      <c r="E139" s="234" t="str">
        <f t="shared" ref="E139:E182" si="53">IF($A139="","",IF($E$131="","",IF($E$135="no",INFLATION_FACTOR*$E$133*$E$134,INFLATION_FACTOR*$E$133*$E$132*INDEX(FEEDPRICETABLE,MATCH($E$131,List_Energy_Feedstocks,0),MATCH($A139,Feedstock_Year,0)))))</f>
        <v/>
      </c>
      <c r="F139" s="206">
        <f ca="1">IF($A139="","",IF($F$131="","",IF($F$135="no",INFLATION_FACTOR*$F$133*$F$134,INFLATION_FACTOR*$F$133*$F$132*INDEX(FEEDPRICETABLE,MATCH($F$131,List_Energy_Feedstocks,0),MATCH($A139,Feedstock_Year,0)))))</f>
        <v>9.4418640382985447E-2</v>
      </c>
      <c r="G139" s="207" t="str">
        <f t="shared" ref="G139:G182" si="54">IF($A139="","",IF($G$131="","",IF($G$135="no",INFLATION_FACTOR*$G$133*$G$134,INFLATION_FACTOR*$G$133*$G$132*INDEX(FEEDPRICETABLE,MATCH($G$131,List_Energy_Feedstocks,0),MATCH($A139,Feedstock_Year,0)))))</f>
        <v/>
      </c>
      <c r="H139" s="207" t="str">
        <f t="shared" ref="H139:H182" si="55">IF($A139="","",IF($H$131="","",IF($H$135="no",INFLATION_FACTOR*$H$133*$H$134,INFLATION_FACTOR*$H$133*$H$132*INDEX(FEEDPRICETABLE,MATCH(H$131,List_Energy_Feedstocks,0),MATCH($A139,Feedstock_Year,0)))))</f>
        <v/>
      </c>
      <c r="I139" s="234" t="str">
        <f t="shared" ref="I139:I182" si="56">IF($A139="","",IF($I$131="","",IF($I$135="no",INFLATION_FACTOR*$I$133*$I$134,INFLATION_FACTOR*$I$133*$I$132*INDEX(FEEDPRICETABLE,MATCH($I$131,List_Energy_Feedstocks,0),MATCH($A139,Feedstock_Year,0)))))</f>
        <v/>
      </c>
      <c r="J139" s="600">
        <f t="shared" ref="J139:J182" ca="1" si="57">IF($A139="","",IF($J$131="","",IF($J$135="no",INFLATION_FACTOR*$J$133*$J$134,INFLATION_FACTOR*$J$133*$J$132*INDEX(FEEDPRICETABLE,MATCH($J$131,List_Energy_Feedstocks,0),MATCH($A139,Feedstock_Year,0)))))</f>
        <v>8.1428384020094269E-3</v>
      </c>
      <c r="K139" s="232" t="str">
        <f t="shared" ref="K139:K182" si="58">IF($A139="","",IF($K$131="","",IF($K$135="no",INFLATION_FACTOR*$K$133*$K$134,INFLATION_FACTOR*$K$133*$K$132*INDEX(FEEDPRICETABLE,MATCH($K$131,List_Energy_Feedstocks,0),MATCH($A139,Feedstock_Year,0)))))</f>
        <v/>
      </c>
      <c r="L139" s="232" t="str">
        <f t="shared" ref="L139:L182" si="59">IF($A139="","",IF($L$131="","",IF($L$135="no",INFLATION_FACTOR*$L$133*$L$134,INFLATION_FACTOR*$L$133*$L$132*INDEX(FEEDPRICETABLE,MATCH($L$131,List_Energy_Feedstocks,0),MATCH($A139,Feedstock_Year,0)))))</f>
        <v/>
      </c>
      <c r="M139" s="207" t="str">
        <f t="shared" ref="M139:M182" si="60">IF($A139="","",IF(M$131="","",IF($M$135="no",INFLATION_FACTOR*$M$133*$M$134,INFLATION_FACTOR*$M$133*$M$132*INDEX(FEEDPRICETABLE,MATCH($M$131,List_Energy_Feedstocks,0),MATCH($A139,Feedstock_Year,0)))))</f>
        <v/>
      </c>
      <c r="N139" s="235" t="str">
        <f t="shared" ref="N139:N182" si="61">IF($A139="","",IF($N$131="","",IF($N$135="no",INFLATION_FACTOR*$N$133*$N$134,INFLATION_FACTOR*$N$133*$N$132*INDEX(FEEDPRICETABLE,MATCH($N$131,List_Energy_Feedstocks,0),MATCH($A139,Feedstock_Year,0)))))</f>
        <v/>
      </c>
      <c r="O139" s="239"/>
      <c r="P139" s="229">
        <f ca="1">IF(OR($A139="",$P$131=""),"",IF($P$134="No",INFLATION_FACTOR*$P$132*$P$133,INFLATION_FACTOR*$P$132*INDEX(Tbl_Other_Inputs_and_Byproducts,MATCH($P$131,Other_Inputs_List,0),MATCH($A139,Other_Inputs_years,0))))</f>
        <v>2.3446764449871298E-2</v>
      </c>
      <c r="Q139" s="229" t="str">
        <f>IF(OR($A139="",$Q$131=""),"",IF($Q$134="No",INFLATION_FACTOR*$Q$132*$Q$133,INFLATION_FACTOR*$Q$132*INDEX(Tbl_Other_Inputs_and_Byproducts,MATCH($Q$131,Other_Inputs_List,0),MATCH($A139,Other_Inputs_years,0))))</f>
        <v/>
      </c>
      <c r="R139" s="229" t="str">
        <f t="shared" ref="R139:R182" si="62">IF(OR($A139="",$R$131=""),"",IF($R$134="No",INFLATION_FACTOR*$R$132*$R$133,INFLATION_FACTOR*$R$132*INDEX(Tbl_Other_Inputs_and_Byproducts,MATCH($R$131,Other_Inputs_List,0),MATCH($A139,Other_Inputs_years,0))))</f>
        <v/>
      </c>
      <c r="S139" s="239"/>
      <c r="T139" s="229" t="str">
        <f t="shared" ref="T139:T182" si="63">IF(OR($A139="",$T$131=""),"",IF($T$134="No",INFLATION_FACTOR*$T$132*$T$133,INFLATION_FACTOR*$T$132*INDEX(Tbl_Other_Inputs_and_Byproducts,MATCH($T$131,Other_Inputs_List,0),MATCH($A139,Other_Inputs_years,0))))</f>
        <v/>
      </c>
      <c r="U139" s="229" t="str">
        <f t="shared" ref="U139:U182" si="64">IF(OR($A139="",$U$131=""),"",IF($U$134="No",INFLATION_FACTOR*$U$132*$U$133,INFLATION_FACTOR*$U$132*INDEX(Tbl_Other_Inputs_and_Byproducts,MATCH($U$131,Other_Inputs_List,0),MATCH($A139,Other_Inputs_years,0))))</f>
        <v/>
      </c>
      <c r="V139" s="229" t="str">
        <f t="shared" ref="V139:V182" si="65">IF(OR($A139="",$V$131=""),"",IF($V$134="No",INFLATION_FACTOR*$V$132*$V$133,INFLATION_FACTOR*$V$132*INDEX(Tbl_Other_Inputs_and_Byproducts,MATCH($V$131,Other_Inputs_List,0),MATCH($A139,Other_Inputs_years,0))))</f>
        <v/>
      </c>
    </row>
    <row r="140" spans="1:22" ht="15" customHeight="1" x14ac:dyDescent="0.25">
      <c r="A140" s="205">
        <f t="shared" si="50"/>
        <v>2013</v>
      </c>
      <c r="B140" s="207">
        <f t="shared" ref="B140:B182" ca="1" si="66">IF($A140="","",IF($B$131="","",IF($B$135="no",INFLATION_FACTOR*$B$133*$B$134,INFLATION_FACTOR*$B$133*$B$132*INDEX(FEEDPRICETABLE,MATCH($B$131,List_Energy_Feedstocks,0),MATCH($A140,Feedstock_Year,0)))))</f>
        <v>0.49220292550798989</v>
      </c>
      <c r="C140" s="207" t="str">
        <f t="shared" si="51"/>
        <v/>
      </c>
      <c r="D140" s="207" t="str">
        <f t="shared" si="52"/>
        <v/>
      </c>
      <c r="E140" s="234" t="str">
        <f t="shared" si="53"/>
        <v/>
      </c>
      <c r="F140" s="206">
        <f t="shared" ref="F140:F182" ca="1" si="67">IF($A140="","",IF($F$131="","",IF($F$135="no",INFLATION_FACTOR*$F$133*$F$134,INFLATION_FACTOR*$F$133*$F$132*INDEX(FEEDPRICETABLE,MATCH($F$131,List_Energy_Feedstocks,0),MATCH($A140,Feedstock_Year,0)))))</f>
        <v>9.5984742661600161E-2</v>
      </c>
      <c r="G140" s="207" t="str">
        <f t="shared" si="54"/>
        <v/>
      </c>
      <c r="H140" s="207" t="str">
        <f t="shared" si="55"/>
        <v/>
      </c>
      <c r="I140" s="234" t="str">
        <f t="shared" si="56"/>
        <v/>
      </c>
      <c r="J140" s="600">
        <f t="shared" ca="1" si="57"/>
        <v>8.2779019628068592E-3</v>
      </c>
      <c r="K140" s="232" t="str">
        <f t="shared" si="58"/>
        <v/>
      </c>
      <c r="L140" s="232" t="str">
        <f t="shared" si="59"/>
        <v/>
      </c>
      <c r="M140" s="207" t="str">
        <f t="shared" si="60"/>
        <v/>
      </c>
      <c r="N140" s="235" t="str">
        <f t="shared" si="61"/>
        <v/>
      </c>
      <c r="O140" s="240"/>
      <c r="P140" s="229">
        <f t="shared" ref="P140:P182" ca="1" si="68">IF(OR($A140="",$P$131=""),"",IF($P$134="No",INFLATION_FACTOR*$P$132*$P$133,INFLATION_FACTOR*$P$132*INDEX(Tbl_Other_Inputs_and_Byproducts,MATCH($P$131,Other_Inputs_List,0),MATCH($A140,Other_Inputs_years,0))))</f>
        <v>2.3446764449871298E-2</v>
      </c>
      <c r="Q140" s="229" t="str">
        <f t="shared" ref="Q140:Q182" si="69">IF(OR($A140="",$Q$131=""),"",IF($Q$134="No",INFLATION_FACTOR*$Q$132*$Q$133,INFLATION_FACTOR*$Q$132*INDEX(Tbl_Other_Inputs_and_Byproducts,MATCH($Q$131,Other_Inputs_List,0),MATCH($A140,Other_Inputs_years,0))))</f>
        <v/>
      </c>
      <c r="R140" s="229" t="str">
        <f t="shared" si="62"/>
        <v/>
      </c>
      <c r="S140" s="239"/>
      <c r="T140" s="229" t="str">
        <f t="shared" si="63"/>
        <v/>
      </c>
      <c r="U140" s="229" t="str">
        <f t="shared" si="64"/>
        <v/>
      </c>
      <c r="V140" s="229" t="str">
        <f t="shared" si="65"/>
        <v/>
      </c>
    </row>
    <row r="141" spans="1:22" ht="15" customHeight="1" x14ac:dyDescent="0.25">
      <c r="A141" s="205">
        <f t="shared" si="50"/>
        <v>2014</v>
      </c>
      <c r="B141" s="207">
        <f t="shared" ca="1" si="66"/>
        <v>0.49051397357107812</v>
      </c>
      <c r="C141" s="207" t="str">
        <f t="shared" si="51"/>
        <v/>
      </c>
      <c r="D141" s="207" t="str">
        <f t="shared" si="52"/>
        <v/>
      </c>
      <c r="E141" s="234" t="str">
        <f t="shared" si="53"/>
        <v/>
      </c>
      <c r="F141" s="206">
        <f t="shared" ca="1" si="67"/>
        <v>9.7167941866451085E-2</v>
      </c>
      <c r="G141" s="207" t="str">
        <f t="shared" si="54"/>
        <v/>
      </c>
      <c r="H141" s="207" t="str">
        <f t="shared" si="55"/>
        <v/>
      </c>
      <c r="I141" s="234" t="str">
        <f t="shared" si="56"/>
        <v/>
      </c>
      <c r="J141" s="600">
        <f t="shared" ca="1" si="57"/>
        <v>8.3799432534186168E-3</v>
      </c>
      <c r="K141" s="232" t="str">
        <f t="shared" si="58"/>
        <v/>
      </c>
      <c r="L141" s="232" t="str">
        <f t="shared" si="59"/>
        <v/>
      </c>
      <c r="M141" s="207" t="str">
        <f t="shared" si="60"/>
        <v/>
      </c>
      <c r="N141" s="235" t="str">
        <f t="shared" si="61"/>
        <v/>
      </c>
      <c r="O141" s="240"/>
      <c r="P141" s="229">
        <f t="shared" ca="1" si="68"/>
        <v>2.3446764449871298E-2</v>
      </c>
      <c r="Q141" s="229" t="str">
        <f t="shared" si="69"/>
        <v/>
      </c>
      <c r="R141" s="229" t="str">
        <f t="shared" si="62"/>
        <v/>
      </c>
      <c r="S141" s="239"/>
      <c r="T141" s="229" t="str">
        <f t="shared" si="63"/>
        <v/>
      </c>
      <c r="U141" s="229" t="str">
        <f t="shared" si="64"/>
        <v/>
      </c>
      <c r="V141" s="229" t="str">
        <f t="shared" si="65"/>
        <v/>
      </c>
    </row>
    <row r="142" spans="1:22" ht="15" customHeight="1" x14ac:dyDescent="0.25">
      <c r="A142" s="205">
        <f t="shared" si="50"/>
        <v>2015</v>
      </c>
      <c r="B142" s="207">
        <f t="shared" ca="1" si="66"/>
        <v>0.45262075424469145</v>
      </c>
      <c r="C142" s="207" t="str">
        <f t="shared" si="51"/>
        <v/>
      </c>
      <c r="D142" s="207" t="str">
        <f t="shared" si="52"/>
        <v/>
      </c>
      <c r="E142" s="234" t="str">
        <f t="shared" si="53"/>
        <v/>
      </c>
      <c r="F142" s="206">
        <f t="shared" ca="1" si="67"/>
        <v>9.3550733110878401E-2</v>
      </c>
      <c r="G142" s="207" t="str">
        <f t="shared" si="54"/>
        <v/>
      </c>
      <c r="H142" s="207" t="str">
        <f t="shared" si="55"/>
        <v/>
      </c>
      <c r="I142" s="234" t="str">
        <f t="shared" si="56"/>
        <v/>
      </c>
      <c r="J142" s="600">
        <f t="shared" ca="1" si="57"/>
        <v>8.0679884715716427E-3</v>
      </c>
      <c r="K142" s="232" t="str">
        <f t="shared" si="58"/>
        <v/>
      </c>
      <c r="L142" s="232" t="str">
        <f t="shared" si="59"/>
        <v/>
      </c>
      <c r="M142" s="207" t="str">
        <f t="shared" si="60"/>
        <v/>
      </c>
      <c r="N142" s="235" t="str">
        <f t="shared" si="61"/>
        <v/>
      </c>
      <c r="O142" s="240"/>
      <c r="P142" s="229">
        <f t="shared" ca="1" si="68"/>
        <v>2.3446764449871298E-2</v>
      </c>
      <c r="Q142" s="229" t="str">
        <f t="shared" si="69"/>
        <v/>
      </c>
      <c r="R142" s="229" t="str">
        <f t="shared" si="62"/>
        <v/>
      </c>
      <c r="S142" s="239"/>
      <c r="T142" s="229" t="str">
        <f t="shared" si="63"/>
        <v/>
      </c>
      <c r="U142" s="229" t="str">
        <f t="shared" si="64"/>
        <v/>
      </c>
      <c r="V142" s="229" t="str">
        <f t="shared" si="65"/>
        <v/>
      </c>
    </row>
    <row r="143" spans="1:22" ht="15" customHeight="1" x14ac:dyDescent="0.25">
      <c r="A143" s="205">
        <f t="shared" si="50"/>
        <v>2016</v>
      </c>
      <c r="B143" s="207">
        <f t="shared" ca="1" si="66"/>
        <v>0.42636226272142219</v>
      </c>
      <c r="C143" s="207" t="str">
        <f t="shared" si="51"/>
        <v/>
      </c>
      <c r="D143" s="207" t="str">
        <f t="shared" si="52"/>
        <v/>
      </c>
      <c r="E143" s="234" t="str">
        <f t="shared" si="53"/>
        <v/>
      </c>
      <c r="F143" s="206">
        <f t="shared" ca="1" si="67"/>
        <v>9.0368284499939874E-2</v>
      </c>
      <c r="G143" s="207" t="str">
        <f t="shared" si="54"/>
        <v/>
      </c>
      <c r="H143" s="207" t="str">
        <f t="shared" si="55"/>
        <v/>
      </c>
      <c r="I143" s="234" t="str">
        <f t="shared" si="56"/>
        <v/>
      </c>
      <c r="J143" s="600">
        <f t="shared" ca="1" si="57"/>
        <v>7.7935282097371418E-3</v>
      </c>
      <c r="K143" s="232" t="str">
        <f t="shared" si="58"/>
        <v/>
      </c>
      <c r="L143" s="232" t="str">
        <f t="shared" si="59"/>
        <v/>
      </c>
      <c r="M143" s="207" t="str">
        <f t="shared" si="60"/>
        <v/>
      </c>
      <c r="N143" s="235" t="str">
        <f t="shared" si="61"/>
        <v/>
      </c>
      <c r="O143" s="240"/>
      <c r="P143" s="229">
        <f t="shared" ca="1" si="68"/>
        <v>2.3446764449871298E-2</v>
      </c>
      <c r="Q143" s="229" t="str">
        <f t="shared" si="69"/>
        <v/>
      </c>
      <c r="R143" s="229" t="str">
        <f t="shared" si="62"/>
        <v/>
      </c>
      <c r="S143" s="239"/>
      <c r="T143" s="229" t="str">
        <f t="shared" si="63"/>
        <v/>
      </c>
      <c r="U143" s="229" t="str">
        <f t="shared" si="64"/>
        <v/>
      </c>
      <c r="V143" s="229" t="str">
        <f t="shared" si="65"/>
        <v/>
      </c>
    </row>
    <row r="144" spans="1:22" ht="15" customHeight="1" x14ac:dyDescent="0.25">
      <c r="A144" s="205">
        <f t="shared" si="50"/>
        <v>2017</v>
      </c>
      <c r="B144" s="207">
        <f t="shared" ca="1" si="66"/>
        <v>0.4473337823043062</v>
      </c>
      <c r="C144" s="207" t="str">
        <f t="shared" si="51"/>
        <v/>
      </c>
      <c r="D144" s="207" t="str">
        <f t="shared" si="52"/>
        <v/>
      </c>
      <c r="E144" s="234" t="str">
        <f t="shared" si="53"/>
        <v/>
      </c>
      <c r="F144" s="206">
        <f t="shared" ca="1" si="67"/>
        <v>9.4024453178882555E-2</v>
      </c>
      <c r="G144" s="207" t="str">
        <f t="shared" si="54"/>
        <v/>
      </c>
      <c r="H144" s="207" t="str">
        <f t="shared" si="55"/>
        <v/>
      </c>
      <c r="I144" s="234" t="str">
        <f t="shared" si="56"/>
        <v/>
      </c>
      <c r="J144" s="600">
        <f t="shared" ca="1" si="57"/>
        <v>8.1088429675260452E-3</v>
      </c>
      <c r="K144" s="232" t="str">
        <f t="shared" si="58"/>
        <v/>
      </c>
      <c r="L144" s="232" t="str">
        <f t="shared" si="59"/>
        <v/>
      </c>
      <c r="M144" s="207" t="str">
        <f t="shared" si="60"/>
        <v/>
      </c>
      <c r="N144" s="235" t="str">
        <f t="shared" si="61"/>
        <v/>
      </c>
      <c r="O144" s="240"/>
      <c r="P144" s="229">
        <f t="shared" ca="1" si="68"/>
        <v>2.3446764449871298E-2</v>
      </c>
      <c r="Q144" s="229" t="str">
        <f t="shared" si="69"/>
        <v/>
      </c>
      <c r="R144" s="229" t="str">
        <f t="shared" si="62"/>
        <v/>
      </c>
      <c r="S144" s="239"/>
      <c r="T144" s="229" t="str">
        <f t="shared" si="63"/>
        <v/>
      </c>
      <c r="U144" s="229" t="str">
        <f t="shared" si="64"/>
        <v/>
      </c>
      <c r="V144" s="229" t="str">
        <f t="shared" si="65"/>
        <v/>
      </c>
    </row>
    <row r="145" spans="1:22" ht="15" customHeight="1" x14ac:dyDescent="0.25">
      <c r="A145" s="205">
        <f t="shared" si="50"/>
        <v>2018</v>
      </c>
      <c r="B145" s="207">
        <f t="shared" ca="1" si="66"/>
        <v>0.4574327787034283</v>
      </c>
      <c r="C145" s="207" t="str">
        <f t="shared" si="51"/>
        <v/>
      </c>
      <c r="D145" s="207" t="str">
        <f t="shared" si="52"/>
        <v/>
      </c>
      <c r="E145" s="234" t="str">
        <f t="shared" si="53"/>
        <v/>
      </c>
      <c r="F145" s="206">
        <f t="shared" ca="1" si="67"/>
        <v>9.1893448449672163E-2</v>
      </c>
      <c r="G145" s="207" t="str">
        <f t="shared" si="54"/>
        <v/>
      </c>
      <c r="H145" s="207" t="str">
        <f t="shared" si="55"/>
        <v/>
      </c>
      <c r="I145" s="234" t="str">
        <f t="shared" si="56"/>
        <v/>
      </c>
      <c r="J145" s="600">
        <f t="shared" ca="1" si="57"/>
        <v>7.9250611732374146E-3</v>
      </c>
      <c r="K145" s="232" t="str">
        <f t="shared" si="58"/>
        <v/>
      </c>
      <c r="L145" s="232" t="str">
        <f t="shared" si="59"/>
        <v/>
      </c>
      <c r="M145" s="207" t="str">
        <f t="shared" si="60"/>
        <v/>
      </c>
      <c r="N145" s="235" t="str">
        <f t="shared" si="61"/>
        <v/>
      </c>
      <c r="O145" s="240"/>
      <c r="P145" s="229">
        <f t="shared" ca="1" si="68"/>
        <v>2.3446764449871298E-2</v>
      </c>
      <c r="Q145" s="229" t="str">
        <f t="shared" si="69"/>
        <v/>
      </c>
      <c r="R145" s="229" t="str">
        <f t="shared" si="62"/>
        <v/>
      </c>
      <c r="S145" s="239"/>
      <c r="T145" s="229" t="str">
        <f t="shared" si="63"/>
        <v/>
      </c>
      <c r="U145" s="229" t="str">
        <f t="shared" si="64"/>
        <v/>
      </c>
      <c r="V145" s="229" t="str">
        <f t="shared" si="65"/>
        <v/>
      </c>
    </row>
    <row r="146" spans="1:22" ht="15" customHeight="1" x14ac:dyDescent="0.25">
      <c r="A146" s="205">
        <f t="shared" si="50"/>
        <v>2019</v>
      </c>
      <c r="B146" s="207">
        <f t="shared" ca="1" si="66"/>
        <v>0.4667615543732801</v>
      </c>
      <c r="C146" s="207" t="str">
        <f t="shared" si="51"/>
        <v/>
      </c>
      <c r="D146" s="207" t="str">
        <f t="shared" si="52"/>
        <v/>
      </c>
      <c r="E146" s="234" t="str">
        <f t="shared" si="53"/>
        <v/>
      </c>
      <c r="F146" s="206">
        <f t="shared" ca="1" si="67"/>
        <v>9.3078249201396276E-2</v>
      </c>
      <c r="G146" s="207" t="str">
        <f t="shared" si="54"/>
        <v/>
      </c>
      <c r="H146" s="207" t="str">
        <f t="shared" si="55"/>
        <v/>
      </c>
      <c r="I146" s="234" t="str">
        <f t="shared" si="56"/>
        <v/>
      </c>
      <c r="J146" s="600">
        <f t="shared" ca="1" si="57"/>
        <v>8.0272405842174432E-3</v>
      </c>
      <c r="K146" s="232" t="str">
        <f t="shared" si="58"/>
        <v/>
      </c>
      <c r="L146" s="232" t="str">
        <f t="shared" si="59"/>
        <v/>
      </c>
      <c r="M146" s="207" t="str">
        <f t="shared" si="60"/>
        <v/>
      </c>
      <c r="N146" s="235" t="str">
        <f t="shared" si="61"/>
        <v/>
      </c>
      <c r="O146" s="240"/>
      <c r="P146" s="229">
        <f t="shared" ca="1" si="68"/>
        <v>2.3446764449871298E-2</v>
      </c>
      <c r="Q146" s="229" t="str">
        <f t="shared" si="69"/>
        <v/>
      </c>
      <c r="R146" s="229" t="str">
        <f t="shared" si="62"/>
        <v/>
      </c>
      <c r="S146" s="239"/>
      <c r="T146" s="229" t="str">
        <f t="shared" si="63"/>
        <v/>
      </c>
      <c r="U146" s="229" t="str">
        <f t="shared" si="64"/>
        <v/>
      </c>
      <c r="V146" s="229" t="str">
        <f t="shared" si="65"/>
        <v/>
      </c>
    </row>
    <row r="147" spans="1:22" ht="15" customHeight="1" x14ac:dyDescent="0.25">
      <c r="A147" s="205">
        <f t="shared" si="50"/>
        <v>2020</v>
      </c>
      <c r="B147" s="207">
        <f t="shared" ca="1" si="66"/>
        <v>0.47382334650690117</v>
      </c>
      <c r="C147" s="207" t="str">
        <f t="shared" si="51"/>
        <v/>
      </c>
      <c r="D147" s="207" t="str">
        <f t="shared" si="52"/>
        <v/>
      </c>
      <c r="E147" s="234" t="str">
        <f t="shared" si="53"/>
        <v/>
      </c>
      <c r="F147" s="206">
        <f t="shared" ca="1" si="67"/>
        <v>9.4810014402007939E-2</v>
      </c>
      <c r="G147" s="207" t="str">
        <f t="shared" si="54"/>
        <v/>
      </c>
      <c r="H147" s="207" t="str">
        <f t="shared" si="55"/>
        <v/>
      </c>
      <c r="I147" s="234" t="str">
        <f t="shared" si="56"/>
        <v/>
      </c>
      <c r="J147" s="600">
        <f t="shared" ca="1" si="57"/>
        <v>8.1765912222016915E-3</v>
      </c>
      <c r="K147" s="232" t="str">
        <f t="shared" si="58"/>
        <v/>
      </c>
      <c r="L147" s="232" t="str">
        <f t="shared" si="59"/>
        <v/>
      </c>
      <c r="M147" s="207" t="str">
        <f t="shared" si="60"/>
        <v/>
      </c>
      <c r="N147" s="235" t="str">
        <f t="shared" si="61"/>
        <v/>
      </c>
      <c r="O147" s="240"/>
      <c r="P147" s="229">
        <f t="shared" ca="1" si="68"/>
        <v>2.3446764449871298E-2</v>
      </c>
      <c r="Q147" s="229" t="str">
        <f t="shared" si="69"/>
        <v/>
      </c>
      <c r="R147" s="229" t="str">
        <f t="shared" si="62"/>
        <v/>
      </c>
      <c r="S147" s="239"/>
      <c r="T147" s="229" t="str">
        <f t="shared" si="63"/>
        <v/>
      </c>
      <c r="U147" s="229" t="str">
        <f t="shared" si="64"/>
        <v/>
      </c>
      <c r="V147" s="229" t="str">
        <f t="shared" si="65"/>
        <v/>
      </c>
    </row>
    <row r="148" spans="1:22" ht="15" customHeight="1" x14ac:dyDescent="0.25">
      <c r="A148" s="205">
        <f t="shared" si="50"/>
        <v>2021</v>
      </c>
      <c r="B148" s="207">
        <f t="shared" ca="1" si="66"/>
        <v>0.47446232621733941</v>
      </c>
      <c r="C148" s="207" t="str">
        <f t="shared" si="51"/>
        <v/>
      </c>
      <c r="D148" s="207" t="str">
        <f t="shared" si="52"/>
        <v/>
      </c>
      <c r="E148" s="234" t="str">
        <f t="shared" si="53"/>
        <v/>
      </c>
      <c r="F148" s="206">
        <f t="shared" ca="1" si="67"/>
        <v>9.5332196862013566E-2</v>
      </c>
      <c r="G148" s="207" t="str">
        <f t="shared" si="54"/>
        <v/>
      </c>
      <c r="H148" s="207" t="str">
        <f t="shared" si="55"/>
        <v/>
      </c>
      <c r="I148" s="234" t="str">
        <f t="shared" si="56"/>
        <v/>
      </c>
      <c r="J148" s="600">
        <f t="shared" ca="1" si="57"/>
        <v>8.2216252045905752E-3</v>
      </c>
      <c r="K148" s="232" t="str">
        <f t="shared" si="58"/>
        <v/>
      </c>
      <c r="L148" s="232" t="str">
        <f t="shared" si="59"/>
        <v/>
      </c>
      <c r="M148" s="207" t="str">
        <f t="shared" si="60"/>
        <v/>
      </c>
      <c r="N148" s="235" t="str">
        <f t="shared" si="61"/>
        <v/>
      </c>
      <c r="O148" s="240"/>
      <c r="P148" s="229">
        <f t="shared" ca="1" si="68"/>
        <v>2.3446764449871298E-2</v>
      </c>
      <c r="Q148" s="229" t="str">
        <f t="shared" si="69"/>
        <v/>
      </c>
      <c r="R148" s="229" t="str">
        <f t="shared" si="62"/>
        <v/>
      </c>
      <c r="S148" s="239"/>
      <c r="T148" s="229" t="str">
        <f t="shared" si="63"/>
        <v/>
      </c>
      <c r="U148" s="229" t="str">
        <f t="shared" si="64"/>
        <v/>
      </c>
      <c r="V148" s="229" t="str">
        <f t="shared" si="65"/>
        <v/>
      </c>
    </row>
    <row r="149" spans="1:22" ht="15" customHeight="1" x14ac:dyDescent="0.25">
      <c r="A149" s="205">
        <f t="shared" si="50"/>
        <v>2022</v>
      </c>
      <c r="B149" s="207">
        <f t="shared" ca="1" si="66"/>
        <v>0.47659888899110586</v>
      </c>
      <c r="C149" s="207" t="str">
        <f t="shared" si="51"/>
        <v/>
      </c>
      <c r="D149" s="207" t="str">
        <f t="shared" si="52"/>
        <v/>
      </c>
      <c r="E149" s="234" t="str">
        <f t="shared" si="53"/>
        <v/>
      </c>
      <c r="F149" s="206">
        <f t="shared" ca="1" si="67"/>
        <v>9.8409300656922216E-2</v>
      </c>
      <c r="G149" s="207" t="str">
        <f t="shared" si="54"/>
        <v/>
      </c>
      <c r="H149" s="207" t="str">
        <f t="shared" si="55"/>
        <v/>
      </c>
      <c r="I149" s="234" t="str">
        <f t="shared" si="56"/>
        <v/>
      </c>
      <c r="J149" s="600">
        <f t="shared" ca="1" si="57"/>
        <v>8.4870003344009199E-3</v>
      </c>
      <c r="K149" s="232" t="str">
        <f t="shared" si="58"/>
        <v/>
      </c>
      <c r="L149" s="232" t="str">
        <f t="shared" si="59"/>
        <v/>
      </c>
      <c r="M149" s="207" t="str">
        <f t="shared" si="60"/>
        <v/>
      </c>
      <c r="N149" s="235" t="str">
        <f t="shared" si="61"/>
        <v/>
      </c>
      <c r="O149" s="240"/>
      <c r="P149" s="229">
        <f t="shared" ca="1" si="68"/>
        <v>2.3446764449871298E-2</v>
      </c>
      <c r="Q149" s="229" t="str">
        <f t="shared" si="69"/>
        <v/>
      </c>
      <c r="R149" s="229" t="str">
        <f t="shared" si="62"/>
        <v/>
      </c>
      <c r="S149" s="239"/>
      <c r="T149" s="229" t="str">
        <f t="shared" si="63"/>
        <v/>
      </c>
      <c r="U149" s="229" t="str">
        <f t="shared" si="64"/>
        <v/>
      </c>
      <c r="V149" s="229" t="str">
        <f t="shared" si="65"/>
        <v/>
      </c>
    </row>
    <row r="150" spans="1:22" ht="15" customHeight="1" x14ac:dyDescent="0.25">
      <c r="A150" s="205">
        <f t="shared" si="50"/>
        <v>2023</v>
      </c>
      <c r="B150" s="207">
        <f t="shared" ca="1" si="66"/>
        <v>0.4779441094341339</v>
      </c>
      <c r="C150" s="207" t="str">
        <f t="shared" si="51"/>
        <v/>
      </c>
      <c r="D150" s="207" t="str">
        <f t="shared" si="52"/>
        <v/>
      </c>
      <c r="E150" s="234" t="str">
        <f t="shared" si="53"/>
        <v/>
      </c>
      <c r="F150" s="206">
        <f t="shared" ca="1" si="67"/>
        <v>9.8721198841307686E-2</v>
      </c>
      <c r="G150" s="207" t="str">
        <f t="shared" si="54"/>
        <v/>
      </c>
      <c r="H150" s="207" t="str">
        <f t="shared" si="55"/>
        <v/>
      </c>
      <c r="I150" s="234" t="str">
        <f t="shared" si="56"/>
        <v/>
      </c>
      <c r="J150" s="600">
        <f t="shared" ca="1" si="57"/>
        <v>8.5138990114315277E-3</v>
      </c>
      <c r="K150" s="232" t="str">
        <f t="shared" si="58"/>
        <v/>
      </c>
      <c r="L150" s="232" t="str">
        <f t="shared" si="59"/>
        <v/>
      </c>
      <c r="M150" s="207" t="str">
        <f t="shared" si="60"/>
        <v/>
      </c>
      <c r="N150" s="235" t="str">
        <f t="shared" si="61"/>
        <v/>
      </c>
      <c r="O150" s="240"/>
      <c r="P150" s="229">
        <f t="shared" ca="1" si="68"/>
        <v>2.3446764449871298E-2</v>
      </c>
      <c r="Q150" s="229" t="str">
        <f t="shared" si="69"/>
        <v/>
      </c>
      <c r="R150" s="229" t="str">
        <f t="shared" si="62"/>
        <v/>
      </c>
      <c r="S150" s="239"/>
      <c r="T150" s="229" t="str">
        <f t="shared" si="63"/>
        <v/>
      </c>
      <c r="U150" s="229" t="str">
        <f t="shared" si="64"/>
        <v/>
      </c>
      <c r="V150" s="229" t="str">
        <f t="shared" si="65"/>
        <v/>
      </c>
    </row>
    <row r="151" spans="1:22" ht="15" customHeight="1" x14ac:dyDescent="0.25">
      <c r="A151" s="205">
        <f t="shared" si="50"/>
        <v>2024</v>
      </c>
      <c r="B151" s="207">
        <f t="shared" ca="1" si="66"/>
        <v>0.47799106911118472</v>
      </c>
      <c r="C151" s="207" t="str">
        <f t="shared" si="51"/>
        <v/>
      </c>
      <c r="D151" s="207" t="str">
        <f t="shared" si="52"/>
        <v/>
      </c>
      <c r="E151" s="234" t="str">
        <f t="shared" si="53"/>
        <v/>
      </c>
      <c r="F151" s="206">
        <f t="shared" ca="1" si="67"/>
        <v>9.8460953747682115E-2</v>
      </c>
      <c r="G151" s="207" t="str">
        <f t="shared" si="54"/>
        <v/>
      </c>
      <c r="H151" s="207" t="str">
        <f t="shared" si="55"/>
        <v/>
      </c>
      <c r="I151" s="234" t="str">
        <f t="shared" si="56"/>
        <v/>
      </c>
      <c r="J151" s="600">
        <f t="shared" ca="1" si="57"/>
        <v>8.4914549926052331E-3</v>
      </c>
      <c r="K151" s="232" t="str">
        <f t="shared" si="58"/>
        <v/>
      </c>
      <c r="L151" s="232" t="str">
        <f t="shared" si="59"/>
        <v/>
      </c>
      <c r="M151" s="207" t="str">
        <f t="shared" si="60"/>
        <v/>
      </c>
      <c r="N151" s="235" t="str">
        <f t="shared" si="61"/>
        <v/>
      </c>
      <c r="O151" s="240"/>
      <c r="P151" s="229">
        <f t="shared" ca="1" si="68"/>
        <v>2.3446764449871298E-2</v>
      </c>
      <c r="Q151" s="229" t="str">
        <f t="shared" si="69"/>
        <v/>
      </c>
      <c r="R151" s="229" t="str">
        <f t="shared" si="62"/>
        <v/>
      </c>
      <c r="S151" s="239"/>
      <c r="T151" s="229" t="str">
        <f t="shared" si="63"/>
        <v/>
      </c>
      <c r="U151" s="229" t="str">
        <f t="shared" si="64"/>
        <v/>
      </c>
      <c r="V151" s="229" t="str">
        <f t="shared" si="65"/>
        <v/>
      </c>
    </row>
    <row r="152" spans="1:22" ht="15" customHeight="1" x14ac:dyDescent="0.25">
      <c r="A152" s="205">
        <f t="shared" si="50"/>
        <v>2025</v>
      </c>
      <c r="B152" s="207">
        <f t="shared" ca="1" si="66"/>
        <v>0.47770808066432824</v>
      </c>
      <c r="C152" s="207" t="str">
        <f t="shared" si="51"/>
        <v/>
      </c>
      <c r="D152" s="207" t="str">
        <f t="shared" si="52"/>
        <v/>
      </c>
      <c r="E152" s="234" t="str">
        <f t="shared" si="53"/>
        <v/>
      </c>
      <c r="F152" s="206">
        <f t="shared" ca="1" si="67"/>
        <v>0.10082515457473865</v>
      </c>
      <c r="G152" s="207" t="str">
        <f t="shared" si="54"/>
        <v/>
      </c>
      <c r="H152" s="207" t="str">
        <f t="shared" si="55"/>
        <v/>
      </c>
      <c r="I152" s="234" t="str">
        <f t="shared" si="56"/>
        <v/>
      </c>
      <c r="J152" s="600">
        <f t="shared" ca="1" si="57"/>
        <v>8.6953480502316768E-3</v>
      </c>
      <c r="K152" s="232" t="str">
        <f t="shared" si="58"/>
        <v/>
      </c>
      <c r="L152" s="232" t="str">
        <f t="shared" si="59"/>
        <v/>
      </c>
      <c r="M152" s="207" t="str">
        <f t="shared" si="60"/>
        <v/>
      </c>
      <c r="N152" s="235" t="str">
        <f t="shared" si="61"/>
        <v/>
      </c>
      <c r="O152" s="240"/>
      <c r="P152" s="229">
        <f t="shared" ca="1" si="68"/>
        <v>2.3446764449871298E-2</v>
      </c>
      <c r="Q152" s="229" t="str">
        <f t="shared" si="69"/>
        <v/>
      </c>
      <c r="R152" s="229" t="str">
        <f t="shared" si="62"/>
        <v/>
      </c>
      <c r="S152" s="239"/>
      <c r="T152" s="229" t="str">
        <f t="shared" si="63"/>
        <v/>
      </c>
      <c r="U152" s="229" t="str">
        <f t="shared" si="64"/>
        <v/>
      </c>
      <c r="V152" s="229" t="str">
        <f t="shared" si="65"/>
        <v/>
      </c>
    </row>
    <row r="153" spans="1:22" ht="15" customHeight="1" x14ac:dyDescent="0.25">
      <c r="A153" s="205">
        <f t="shared" si="50"/>
        <v>2026</v>
      </c>
      <c r="B153" s="207">
        <f t="shared" ca="1" si="66"/>
        <v>0.47739597311641829</v>
      </c>
      <c r="C153" s="207" t="str">
        <f t="shared" si="51"/>
        <v/>
      </c>
      <c r="D153" s="207" t="str">
        <f t="shared" si="52"/>
        <v/>
      </c>
      <c r="E153" s="234" t="str">
        <f t="shared" si="53"/>
        <v/>
      </c>
      <c r="F153" s="206">
        <f t="shared" ca="1" si="67"/>
        <v>0.10184907538023333</v>
      </c>
      <c r="G153" s="207" t="str">
        <f t="shared" si="54"/>
        <v/>
      </c>
      <c r="H153" s="207" t="str">
        <f t="shared" si="55"/>
        <v/>
      </c>
      <c r="I153" s="234" t="str">
        <f t="shared" si="56"/>
        <v/>
      </c>
      <c r="J153" s="600">
        <f t="shared" ca="1" si="57"/>
        <v>8.7836528767127504E-3</v>
      </c>
      <c r="K153" s="232" t="str">
        <f t="shared" si="58"/>
        <v/>
      </c>
      <c r="L153" s="232" t="str">
        <f t="shared" si="59"/>
        <v/>
      </c>
      <c r="M153" s="207" t="str">
        <f t="shared" si="60"/>
        <v/>
      </c>
      <c r="N153" s="235" t="str">
        <f t="shared" si="61"/>
        <v/>
      </c>
      <c r="O153" s="240"/>
      <c r="P153" s="229">
        <f t="shared" ca="1" si="68"/>
        <v>2.3446764449871298E-2</v>
      </c>
      <c r="Q153" s="229" t="str">
        <f t="shared" si="69"/>
        <v/>
      </c>
      <c r="R153" s="229" t="str">
        <f t="shared" si="62"/>
        <v/>
      </c>
      <c r="S153" s="239"/>
      <c r="T153" s="229" t="str">
        <f t="shared" si="63"/>
        <v/>
      </c>
      <c r="U153" s="229" t="str">
        <f t="shared" si="64"/>
        <v/>
      </c>
      <c r="V153" s="229" t="str">
        <f t="shared" si="65"/>
        <v/>
      </c>
    </row>
    <row r="154" spans="1:22" ht="15" customHeight="1" x14ac:dyDescent="0.25">
      <c r="A154" s="205">
        <f t="shared" si="50"/>
        <v>2027</v>
      </c>
      <c r="B154" s="207">
        <f t="shared" ca="1" si="66"/>
        <v>0.47588280518210391</v>
      </c>
      <c r="C154" s="207" t="str">
        <f t="shared" si="51"/>
        <v/>
      </c>
      <c r="D154" s="207" t="str">
        <f t="shared" si="52"/>
        <v/>
      </c>
      <c r="E154" s="234" t="str">
        <f t="shared" si="53"/>
        <v/>
      </c>
      <c r="F154" s="206">
        <f t="shared" ca="1" si="67"/>
        <v>0.10243590174718435</v>
      </c>
      <c r="G154" s="207" t="str">
        <f t="shared" si="54"/>
        <v/>
      </c>
      <c r="H154" s="207" t="str">
        <f t="shared" si="55"/>
        <v/>
      </c>
      <c r="I154" s="234" t="str">
        <f t="shared" si="56"/>
        <v/>
      </c>
      <c r="J154" s="600">
        <f t="shared" ca="1" si="57"/>
        <v>8.8342618693516822E-3</v>
      </c>
      <c r="K154" s="232" t="str">
        <f t="shared" si="58"/>
        <v/>
      </c>
      <c r="L154" s="232" t="str">
        <f t="shared" si="59"/>
        <v/>
      </c>
      <c r="M154" s="207" t="str">
        <f t="shared" si="60"/>
        <v/>
      </c>
      <c r="N154" s="235" t="str">
        <f t="shared" si="61"/>
        <v/>
      </c>
      <c r="O154" s="240"/>
      <c r="P154" s="229">
        <f t="shared" ca="1" si="68"/>
        <v>2.3446764449871298E-2</v>
      </c>
      <c r="Q154" s="229" t="str">
        <f t="shared" si="69"/>
        <v/>
      </c>
      <c r="R154" s="229" t="str">
        <f t="shared" si="62"/>
        <v/>
      </c>
      <c r="S154" s="239"/>
      <c r="T154" s="229" t="str">
        <f t="shared" si="63"/>
        <v/>
      </c>
      <c r="U154" s="229" t="str">
        <f t="shared" si="64"/>
        <v/>
      </c>
      <c r="V154" s="229" t="str">
        <f t="shared" si="65"/>
        <v/>
      </c>
    </row>
    <row r="155" spans="1:22" ht="15" customHeight="1" x14ac:dyDescent="0.25">
      <c r="A155" s="205">
        <f t="shared" si="50"/>
        <v>2028</v>
      </c>
      <c r="B155" s="207">
        <f t="shared" ca="1" si="66"/>
        <v>0.47389142778542021</v>
      </c>
      <c r="C155" s="207" t="str">
        <f t="shared" si="51"/>
        <v/>
      </c>
      <c r="D155" s="207" t="str">
        <f t="shared" si="52"/>
        <v/>
      </c>
      <c r="E155" s="234" t="str">
        <f t="shared" si="53"/>
        <v/>
      </c>
      <c r="F155" s="206">
        <f t="shared" ca="1" si="67"/>
        <v>0.10310148037587767</v>
      </c>
      <c r="G155" s="207" t="str">
        <f t="shared" si="54"/>
        <v/>
      </c>
      <c r="H155" s="207" t="str">
        <f t="shared" si="55"/>
        <v/>
      </c>
      <c r="I155" s="234" t="str">
        <f t="shared" si="56"/>
        <v/>
      </c>
      <c r="J155" s="600">
        <f t="shared" ca="1" si="57"/>
        <v>8.8916626028858348E-3</v>
      </c>
      <c r="K155" s="232" t="str">
        <f t="shared" si="58"/>
        <v/>
      </c>
      <c r="L155" s="232" t="str">
        <f t="shared" si="59"/>
        <v/>
      </c>
      <c r="M155" s="207" t="str">
        <f t="shared" si="60"/>
        <v/>
      </c>
      <c r="N155" s="235" t="str">
        <f t="shared" si="61"/>
        <v/>
      </c>
      <c r="O155" s="240"/>
      <c r="P155" s="229">
        <f t="shared" ca="1" si="68"/>
        <v>2.3446764449871298E-2</v>
      </c>
      <c r="Q155" s="229" t="str">
        <f t="shared" si="69"/>
        <v/>
      </c>
      <c r="R155" s="229" t="str">
        <f t="shared" si="62"/>
        <v/>
      </c>
      <c r="S155" s="239"/>
      <c r="T155" s="229" t="str">
        <f t="shared" si="63"/>
        <v/>
      </c>
      <c r="U155" s="229" t="str">
        <f t="shared" si="64"/>
        <v/>
      </c>
      <c r="V155" s="229" t="str">
        <f t="shared" si="65"/>
        <v/>
      </c>
    </row>
    <row r="156" spans="1:22" ht="15" customHeight="1" x14ac:dyDescent="0.25">
      <c r="A156" s="205">
        <f t="shared" si="50"/>
        <v>2029</v>
      </c>
      <c r="B156" s="207">
        <f t="shared" ca="1" si="66"/>
        <v>0.47155123636837221</v>
      </c>
      <c r="C156" s="207" t="str">
        <f t="shared" si="51"/>
        <v/>
      </c>
      <c r="D156" s="207" t="str">
        <f t="shared" si="52"/>
        <v/>
      </c>
      <c r="E156" s="234" t="str">
        <f t="shared" si="53"/>
        <v/>
      </c>
      <c r="F156" s="206">
        <f t="shared" ca="1" si="67"/>
        <v>0.10362440177978151</v>
      </c>
      <c r="G156" s="207" t="str">
        <f t="shared" si="54"/>
        <v/>
      </c>
      <c r="H156" s="207" t="str">
        <f t="shared" si="55"/>
        <v/>
      </c>
      <c r="I156" s="234" t="str">
        <f t="shared" si="56"/>
        <v/>
      </c>
      <c r="J156" s="600">
        <f t="shared" ca="1" si="57"/>
        <v>8.9367603131649594E-3</v>
      </c>
      <c r="K156" s="232" t="str">
        <f t="shared" si="58"/>
        <v/>
      </c>
      <c r="L156" s="232" t="str">
        <f t="shared" si="59"/>
        <v/>
      </c>
      <c r="M156" s="207" t="str">
        <f t="shared" si="60"/>
        <v/>
      </c>
      <c r="N156" s="235" t="str">
        <f t="shared" si="61"/>
        <v/>
      </c>
      <c r="O156" s="240"/>
      <c r="P156" s="229">
        <f t="shared" ca="1" si="68"/>
        <v>2.3446764449871298E-2</v>
      </c>
      <c r="Q156" s="229" t="str">
        <f t="shared" si="69"/>
        <v/>
      </c>
      <c r="R156" s="229" t="str">
        <f t="shared" si="62"/>
        <v/>
      </c>
      <c r="S156" s="239"/>
      <c r="T156" s="229" t="str">
        <f t="shared" si="63"/>
        <v/>
      </c>
      <c r="U156" s="229" t="str">
        <f t="shared" si="64"/>
        <v/>
      </c>
      <c r="V156" s="229" t="str">
        <f t="shared" si="65"/>
        <v/>
      </c>
    </row>
    <row r="157" spans="1:22" ht="15" customHeight="1" x14ac:dyDescent="0.25">
      <c r="A157" s="205">
        <f t="shared" si="50"/>
        <v>2030</v>
      </c>
      <c r="B157" s="207">
        <f t="shared" ca="1" si="66"/>
        <v>0.47103960145901935</v>
      </c>
      <c r="C157" s="207" t="str">
        <f t="shared" si="51"/>
        <v/>
      </c>
      <c r="D157" s="207" t="str">
        <f t="shared" si="52"/>
        <v/>
      </c>
      <c r="E157" s="234" t="str">
        <f t="shared" si="53"/>
        <v/>
      </c>
      <c r="F157" s="206">
        <f t="shared" ca="1" si="67"/>
        <v>0.1039876930561479</v>
      </c>
      <c r="G157" s="207" t="str">
        <f t="shared" si="54"/>
        <v/>
      </c>
      <c r="H157" s="207" t="str">
        <f t="shared" si="55"/>
        <v/>
      </c>
      <c r="I157" s="234" t="str">
        <f t="shared" si="56"/>
        <v/>
      </c>
      <c r="J157" s="600">
        <f t="shared" ca="1" si="57"/>
        <v>8.9680912256236874E-3</v>
      </c>
      <c r="K157" s="232" t="str">
        <f t="shared" si="58"/>
        <v/>
      </c>
      <c r="L157" s="232" t="str">
        <f t="shared" si="59"/>
        <v/>
      </c>
      <c r="M157" s="207" t="str">
        <f t="shared" si="60"/>
        <v/>
      </c>
      <c r="N157" s="235" t="str">
        <f t="shared" si="61"/>
        <v/>
      </c>
      <c r="O157" s="240"/>
      <c r="P157" s="229">
        <f t="shared" ca="1" si="68"/>
        <v>2.3446764449871298E-2</v>
      </c>
      <c r="Q157" s="229" t="str">
        <f t="shared" si="69"/>
        <v/>
      </c>
      <c r="R157" s="229" t="str">
        <f t="shared" si="62"/>
        <v/>
      </c>
      <c r="S157" s="239"/>
      <c r="T157" s="229" t="str">
        <f t="shared" si="63"/>
        <v/>
      </c>
      <c r="U157" s="229" t="str">
        <f t="shared" si="64"/>
        <v/>
      </c>
      <c r="V157" s="229" t="str">
        <f t="shared" si="65"/>
        <v/>
      </c>
    </row>
    <row r="158" spans="1:22" ht="15" customHeight="1" x14ac:dyDescent="0.25">
      <c r="A158" s="205">
        <f t="shared" si="50"/>
        <v>2031</v>
      </c>
      <c r="B158" s="207">
        <f t="shared" ca="1" si="66"/>
        <v>0.47118273619518297</v>
      </c>
      <c r="C158" s="207" t="str">
        <f t="shared" si="51"/>
        <v/>
      </c>
      <c r="D158" s="207" t="str">
        <f t="shared" si="52"/>
        <v/>
      </c>
      <c r="E158" s="234" t="str">
        <f t="shared" si="53"/>
        <v/>
      </c>
      <c r="F158" s="206">
        <f t="shared" ca="1" si="67"/>
        <v>0.10411943033221971</v>
      </c>
      <c r="G158" s="207" t="str">
        <f t="shared" si="54"/>
        <v/>
      </c>
      <c r="H158" s="207" t="str">
        <f t="shared" si="55"/>
        <v/>
      </c>
      <c r="I158" s="234" t="str">
        <f t="shared" si="56"/>
        <v/>
      </c>
      <c r="J158" s="600">
        <f t="shared" ca="1" si="57"/>
        <v>8.9794524922784755E-3</v>
      </c>
      <c r="K158" s="232" t="str">
        <f t="shared" si="58"/>
        <v/>
      </c>
      <c r="L158" s="232" t="str">
        <f t="shared" si="59"/>
        <v/>
      </c>
      <c r="M158" s="207" t="str">
        <f t="shared" si="60"/>
        <v/>
      </c>
      <c r="N158" s="235" t="str">
        <f t="shared" si="61"/>
        <v/>
      </c>
      <c r="O158" s="240"/>
      <c r="P158" s="229">
        <f t="shared" ca="1" si="68"/>
        <v>2.3446764449871298E-2</v>
      </c>
      <c r="Q158" s="229" t="str">
        <f t="shared" si="69"/>
        <v/>
      </c>
      <c r="R158" s="229" t="str">
        <f t="shared" si="62"/>
        <v/>
      </c>
      <c r="S158" s="239"/>
      <c r="T158" s="229" t="str">
        <f t="shared" si="63"/>
        <v/>
      </c>
      <c r="U158" s="229" t="str">
        <f t="shared" si="64"/>
        <v/>
      </c>
      <c r="V158" s="229" t="str">
        <f t="shared" si="65"/>
        <v/>
      </c>
    </row>
    <row r="159" spans="1:22" ht="15" customHeight="1" x14ac:dyDescent="0.25">
      <c r="A159" s="205">
        <f t="shared" si="50"/>
        <v>2032</v>
      </c>
      <c r="B159" s="207">
        <f t="shared" ca="1" si="66"/>
        <v>0.47185760212170813</v>
      </c>
      <c r="C159" s="207" t="str">
        <f t="shared" si="51"/>
        <v/>
      </c>
      <c r="D159" s="207" t="str">
        <f t="shared" si="52"/>
        <v/>
      </c>
      <c r="E159" s="234" t="str">
        <f t="shared" si="53"/>
        <v/>
      </c>
      <c r="F159" s="206">
        <f t="shared" ca="1" si="67"/>
        <v>0.103881882675862</v>
      </c>
      <c r="G159" s="207" t="str">
        <f t="shared" si="54"/>
        <v/>
      </c>
      <c r="H159" s="207" t="str">
        <f t="shared" si="55"/>
        <v/>
      </c>
      <c r="I159" s="234" t="str">
        <f t="shared" si="56"/>
        <v/>
      </c>
      <c r="J159" s="600">
        <f t="shared" ca="1" si="57"/>
        <v>8.9589659424759056E-3</v>
      </c>
      <c r="K159" s="232" t="str">
        <f t="shared" si="58"/>
        <v/>
      </c>
      <c r="L159" s="232" t="str">
        <f t="shared" si="59"/>
        <v/>
      </c>
      <c r="M159" s="207" t="str">
        <f t="shared" si="60"/>
        <v/>
      </c>
      <c r="N159" s="235" t="str">
        <f t="shared" si="61"/>
        <v/>
      </c>
      <c r="O159" s="240"/>
      <c r="P159" s="229">
        <f t="shared" ca="1" si="68"/>
        <v>2.3446764449871298E-2</v>
      </c>
      <c r="Q159" s="229" t="str">
        <f t="shared" si="69"/>
        <v/>
      </c>
      <c r="R159" s="229" t="str">
        <f t="shared" si="62"/>
        <v/>
      </c>
      <c r="S159" s="239"/>
      <c r="T159" s="229" t="str">
        <f t="shared" si="63"/>
        <v/>
      </c>
      <c r="U159" s="229" t="str">
        <f t="shared" si="64"/>
        <v/>
      </c>
      <c r="V159" s="229" t="str">
        <f t="shared" si="65"/>
        <v/>
      </c>
    </row>
    <row r="160" spans="1:22" ht="15" customHeight="1" x14ac:dyDescent="0.25">
      <c r="A160" s="205">
        <f t="shared" si="50"/>
        <v>2033</v>
      </c>
      <c r="B160" s="207">
        <f t="shared" ca="1" si="66"/>
        <v>0.47298914578095025</v>
      </c>
      <c r="C160" s="207" t="str">
        <f t="shared" si="51"/>
        <v/>
      </c>
      <c r="D160" s="207" t="str">
        <f t="shared" si="52"/>
        <v/>
      </c>
      <c r="E160" s="234" t="str">
        <f t="shared" si="53"/>
        <v/>
      </c>
      <c r="F160" s="206">
        <f t="shared" ca="1" si="67"/>
        <v>0.10351056792840352</v>
      </c>
      <c r="G160" s="207" t="str">
        <f t="shared" si="54"/>
        <v/>
      </c>
      <c r="H160" s="207" t="str">
        <f t="shared" si="55"/>
        <v/>
      </c>
      <c r="I160" s="234" t="str">
        <f t="shared" si="56"/>
        <v/>
      </c>
      <c r="J160" s="600">
        <f t="shared" ca="1" si="57"/>
        <v>8.9269430710114048E-3</v>
      </c>
      <c r="K160" s="232" t="str">
        <f t="shared" si="58"/>
        <v/>
      </c>
      <c r="L160" s="232" t="str">
        <f t="shared" si="59"/>
        <v/>
      </c>
      <c r="M160" s="207" t="str">
        <f t="shared" si="60"/>
        <v/>
      </c>
      <c r="N160" s="235" t="str">
        <f t="shared" si="61"/>
        <v/>
      </c>
      <c r="O160" s="240"/>
      <c r="P160" s="229">
        <f t="shared" ca="1" si="68"/>
        <v>2.3446764449871298E-2</v>
      </c>
      <c r="Q160" s="229" t="str">
        <f t="shared" si="69"/>
        <v/>
      </c>
      <c r="R160" s="229" t="str">
        <f t="shared" si="62"/>
        <v/>
      </c>
      <c r="S160" s="239"/>
      <c r="T160" s="229" t="str">
        <f t="shared" si="63"/>
        <v/>
      </c>
      <c r="U160" s="229" t="str">
        <f t="shared" si="64"/>
        <v/>
      </c>
      <c r="V160" s="229" t="str">
        <f t="shared" si="65"/>
        <v/>
      </c>
    </row>
    <row r="161" spans="1:22" ht="15" customHeight="1" x14ac:dyDescent="0.25">
      <c r="A161" s="205">
        <f t="shared" si="50"/>
        <v>2034</v>
      </c>
      <c r="B161" s="207">
        <f t="shared" ca="1" si="66"/>
        <v>0.47540357039927511</v>
      </c>
      <c r="C161" s="207" t="str">
        <f t="shared" si="51"/>
        <v/>
      </c>
      <c r="D161" s="207" t="str">
        <f t="shared" si="52"/>
        <v/>
      </c>
      <c r="E161" s="234" t="str">
        <f t="shared" si="53"/>
        <v/>
      </c>
      <c r="F161" s="206">
        <f t="shared" ca="1" si="67"/>
        <v>0.10320973565696255</v>
      </c>
      <c r="G161" s="207" t="str">
        <f t="shared" si="54"/>
        <v/>
      </c>
      <c r="H161" s="207" t="str">
        <f t="shared" si="55"/>
        <v/>
      </c>
      <c r="I161" s="234" t="str">
        <f t="shared" si="56"/>
        <v/>
      </c>
      <c r="J161" s="600">
        <f t="shared" ca="1" si="57"/>
        <v>8.9009987388062699E-3</v>
      </c>
      <c r="K161" s="232" t="str">
        <f t="shared" si="58"/>
        <v/>
      </c>
      <c r="L161" s="232" t="str">
        <f t="shared" si="59"/>
        <v/>
      </c>
      <c r="M161" s="207" t="str">
        <f t="shared" si="60"/>
        <v/>
      </c>
      <c r="N161" s="235" t="str">
        <f t="shared" si="61"/>
        <v/>
      </c>
      <c r="O161" s="240"/>
      <c r="P161" s="229">
        <f t="shared" ca="1" si="68"/>
        <v>2.3446764449871298E-2</v>
      </c>
      <c r="Q161" s="229" t="str">
        <f t="shared" si="69"/>
        <v/>
      </c>
      <c r="R161" s="229" t="str">
        <f t="shared" si="62"/>
        <v/>
      </c>
      <c r="S161" s="239"/>
      <c r="T161" s="229" t="str">
        <f t="shared" si="63"/>
        <v/>
      </c>
      <c r="U161" s="229" t="str">
        <f t="shared" si="64"/>
        <v/>
      </c>
      <c r="V161" s="229" t="str">
        <f t="shared" si="65"/>
        <v/>
      </c>
    </row>
    <row r="162" spans="1:22" ht="15" customHeight="1" x14ac:dyDescent="0.25">
      <c r="A162" s="205">
        <f t="shared" si="50"/>
        <v>2035</v>
      </c>
      <c r="B162" s="207">
        <f t="shared" ca="1" si="66"/>
        <v>0.47642396932069386</v>
      </c>
      <c r="C162" s="207" t="str">
        <f t="shared" si="51"/>
        <v/>
      </c>
      <c r="D162" s="207" t="str">
        <f t="shared" si="52"/>
        <v/>
      </c>
      <c r="E162" s="234" t="str">
        <f t="shared" si="53"/>
        <v/>
      </c>
      <c r="F162" s="206">
        <f t="shared" ca="1" si="67"/>
        <v>0.10357468727640882</v>
      </c>
      <c r="G162" s="207" t="str">
        <f t="shared" si="54"/>
        <v/>
      </c>
      <c r="H162" s="207" t="str">
        <f t="shared" si="55"/>
        <v/>
      </c>
      <c r="I162" s="234" t="str">
        <f t="shared" si="56"/>
        <v/>
      </c>
      <c r="J162" s="600">
        <f t="shared" ca="1" si="57"/>
        <v>8.932472842327021E-3</v>
      </c>
      <c r="K162" s="232" t="str">
        <f t="shared" si="58"/>
        <v/>
      </c>
      <c r="L162" s="232" t="str">
        <f t="shared" si="59"/>
        <v/>
      </c>
      <c r="M162" s="207" t="str">
        <f t="shared" si="60"/>
        <v/>
      </c>
      <c r="N162" s="235" t="str">
        <f t="shared" si="61"/>
        <v/>
      </c>
      <c r="O162" s="240"/>
      <c r="P162" s="229">
        <f t="shared" ca="1" si="68"/>
        <v>2.3446764449871298E-2</v>
      </c>
      <c r="Q162" s="229" t="str">
        <f t="shared" si="69"/>
        <v/>
      </c>
      <c r="R162" s="229" t="str">
        <f t="shared" si="62"/>
        <v/>
      </c>
      <c r="S162" s="239"/>
      <c r="T162" s="229" t="str">
        <f t="shared" si="63"/>
        <v/>
      </c>
      <c r="U162" s="229" t="str">
        <f t="shared" si="64"/>
        <v/>
      </c>
      <c r="V162" s="229" t="str">
        <f t="shared" si="65"/>
        <v/>
      </c>
    </row>
    <row r="163" spans="1:22" ht="15" customHeight="1" x14ac:dyDescent="0.25">
      <c r="A163" s="205">
        <f t="shared" si="50"/>
        <v>2036</v>
      </c>
      <c r="B163" s="207">
        <f t="shared" ca="1" si="66"/>
        <v>0.47982823831074073</v>
      </c>
      <c r="C163" s="207" t="str">
        <f t="shared" si="51"/>
        <v/>
      </c>
      <c r="D163" s="207" t="str">
        <f t="shared" si="52"/>
        <v/>
      </c>
      <c r="E163" s="234" t="str">
        <f t="shared" si="53"/>
        <v/>
      </c>
      <c r="F163" s="206">
        <f t="shared" ca="1" si="67"/>
        <v>0.10395127498156058</v>
      </c>
      <c r="G163" s="207" t="str">
        <f t="shared" si="54"/>
        <v/>
      </c>
      <c r="H163" s="207" t="str">
        <f t="shared" si="55"/>
        <v/>
      </c>
      <c r="I163" s="234" t="str">
        <f t="shared" si="56"/>
        <v/>
      </c>
      <c r="J163" s="600">
        <f t="shared" ca="1" si="57"/>
        <v>8.9649504634280661E-3</v>
      </c>
      <c r="K163" s="232" t="str">
        <f t="shared" si="58"/>
        <v/>
      </c>
      <c r="L163" s="232" t="str">
        <f t="shared" si="59"/>
        <v/>
      </c>
      <c r="M163" s="207" t="str">
        <f t="shared" si="60"/>
        <v/>
      </c>
      <c r="N163" s="235" t="str">
        <f t="shared" si="61"/>
        <v/>
      </c>
      <c r="O163" s="240"/>
      <c r="P163" s="229">
        <f t="shared" ca="1" si="68"/>
        <v>2.3446764449871298E-2</v>
      </c>
      <c r="Q163" s="229" t="str">
        <f t="shared" si="69"/>
        <v/>
      </c>
      <c r="R163" s="229" t="str">
        <f t="shared" si="62"/>
        <v/>
      </c>
      <c r="S163" s="239"/>
      <c r="T163" s="229" t="str">
        <f t="shared" si="63"/>
        <v/>
      </c>
      <c r="U163" s="229" t="str">
        <f t="shared" si="64"/>
        <v/>
      </c>
      <c r="V163" s="229" t="str">
        <f t="shared" si="65"/>
        <v/>
      </c>
    </row>
    <row r="164" spans="1:22" ht="15" customHeight="1" x14ac:dyDescent="0.25">
      <c r="A164" s="205">
        <f t="shared" si="50"/>
        <v>2037</v>
      </c>
      <c r="B164" s="207">
        <f t="shared" ca="1" si="66"/>
        <v>0.48044876225290573</v>
      </c>
      <c r="C164" s="207" t="str">
        <f t="shared" si="51"/>
        <v/>
      </c>
      <c r="D164" s="207" t="str">
        <f t="shared" si="52"/>
        <v/>
      </c>
      <c r="E164" s="234" t="str">
        <f t="shared" si="53"/>
        <v/>
      </c>
      <c r="F164" s="206">
        <f t="shared" ca="1" si="67"/>
        <v>0.10387267780680923</v>
      </c>
      <c r="G164" s="207" t="str">
        <f t="shared" si="54"/>
        <v/>
      </c>
      <c r="H164" s="207" t="str">
        <f t="shared" si="55"/>
        <v/>
      </c>
      <c r="I164" s="234" t="str">
        <f t="shared" si="56"/>
        <v/>
      </c>
      <c r="J164" s="600">
        <f t="shared" ca="1" si="57"/>
        <v>8.9581720975221522E-3</v>
      </c>
      <c r="K164" s="232" t="str">
        <f t="shared" si="58"/>
        <v/>
      </c>
      <c r="L164" s="232" t="str">
        <f t="shared" si="59"/>
        <v/>
      </c>
      <c r="M164" s="207" t="str">
        <f t="shared" si="60"/>
        <v/>
      </c>
      <c r="N164" s="235" t="str">
        <f t="shared" si="61"/>
        <v/>
      </c>
      <c r="O164" s="240"/>
      <c r="P164" s="229">
        <f t="shared" ca="1" si="68"/>
        <v>2.3446764449871298E-2</v>
      </c>
      <c r="Q164" s="229" t="str">
        <f t="shared" si="69"/>
        <v/>
      </c>
      <c r="R164" s="229" t="str">
        <f t="shared" si="62"/>
        <v/>
      </c>
      <c r="S164" s="239"/>
      <c r="T164" s="229" t="str">
        <f t="shared" si="63"/>
        <v/>
      </c>
      <c r="U164" s="229" t="str">
        <f t="shared" si="64"/>
        <v/>
      </c>
      <c r="V164" s="229" t="str">
        <f t="shared" si="65"/>
        <v/>
      </c>
    </row>
    <row r="165" spans="1:22" ht="15" customHeight="1" x14ac:dyDescent="0.25">
      <c r="A165" s="205">
        <f t="shared" si="50"/>
        <v>2038</v>
      </c>
      <c r="B165" s="207">
        <f t="shared" ca="1" si="66"/>
        <v>0.48223999709587057</v>
      </c>
      <c r="C165" s="207" t="str">
        <f t="shared" si="51"/>
        <v/>
      </c>
      <c r="D165" s="207" t="str">
        <f t="shared" si="52"/>
        <v/>
      </c>
      <c r="E165" s="234" t="str">
        <f t="shared" si="53"/>
        <v/>
      </c>
      <c r="F165" s="206">
        <f t="shared" ca="1" si="67"/>
        <v>0.10389574927740829</v>
      </c>
      <c r="G165" s="207" t="str">
        <f t="shared" si="54"/>
        <v/>
      </c>
      <c r="H165" s="207" t="str">
        <f t="shared" si="55"/>
        <v/>
      </c>
      <c r="I165" s="234" t="str">
        <f t="shared" si="56"/>
        <v/>
      </c>
      <c r="J165" s="600">
        <f t="shared" ca="1" si="57"/>
        <v>8.9601618238730387E-3</v>
      </c>
      <c r="K165" s="232" t="str">
        <f t="shared" si="58"/>
        <v/>
      </c>
      <c r="L165" s="232" t="str">
        <f t="shared" si="59"/>
        <v/>
      </c>
      <c r="M165" s="207" t="str">
        <f t="shared" si="60"/>
        <v/>
      </c>
      <c r="N165" s="235" t="str">
        <f t="shared" si="61"/>
        <v/>
      </c>
      <c r="O165" s="240"/>
      <c r="P165" s="229">
        <f t="shared" ca="1" si="68"/>
        <v>2.3446764449871298E-2</v>
      </c>
      <c r="Q165" s="229" t="str">
        <f t="shared" si="69"/>
        <v/>
      </c>
      <c r="R165" s="229" t="str">
        <f t="shared" si="62"/>
        <v/>
      </c>
      <c r="S165" s="239"/>
      <c r="T165" s="229" t="str">
        <f t="shared" si="63"/>
        <v/>
      </c>
      <c r="U165" s="229" t="str">
        <f t="shared" si="64"/>
        <v/>
      </c>
      <c r="V165" s="229" t="str">
        <f t="shared" si="65"/>
        <v/>
      </c>
    </row>
    <row r="166" spans="1:22" ht="15" customHeight="1" x14ac:dyDescent="0.25">
      <c r="A166" s="205">
        <f t="shared" si="50"/>
        <v>2039</v>
      </c>
      <c r="B166" s="207">
        <f t="shared" ca="1" si="66"/>
        <v>0.48357557952657804</v>
      </c>
      <c r="C166" s="207" t="str">
        <f t="shared" si="51"/>
        <v/>
      </c>
      <c r="D166" s="207" t="str">
        <f t="shared" si="52"/>
        <v/>
      </c>
      <c r="E166" s="234" t="str">
        <f t="shared" si="53"/>
        <v/>
      </c>
      <c r="F166" s="206">
        <f t="shared" ca="1" si="67"/>
        <v>0.10397615732084839</v>
      </c>
      <c r="G166" s="207" t="str">
        <f t="shared" si="54"/>
        <v/>
      </c>
      <c r="H166" s="207" t="str">
        <f t="shared" si="55"/>
        <v/>
      </c>
      <c r="I166" s="234" t="str">
        <f t="shared" si="56"/>
        <v/>
      </c>
      <c r="J166" s="600">
        <f t="shared" ca="1" si="57"/>
        <v>8.9670963624482458E-3</v>
      </c>
      <c r="K166" s="232" t="str">
        <f t="shared" si="58"/>
        <v/>
      </c>
      <c r="L166" s="232" t="str">
        <f t="shared" si="59"/>
        <v/>
      </c>
      <c r="M166" s="207" t="str">
        <f t="shared" si="60"/>
        <v/>
      </c>
      <c r="N166" s="235" t="str">
        <f t="shared" si="61"/>
        <v/>
      </c>
      <c r="O166" s="240"/>
      <c r="P166" s="229">
        <f t="shared" ca="1" si="68"/>
        <v>2.3446764449871298E-2</v>
      </c>
      <c r="Q166" s="229" t="str">
        <f t="shared" si="69"/>
        <v/>
      </c>
      <c r="R166" s="229" t="str">
        <f t="shared" si="62"/>
        <v/>
      </c>
      <c r="S166" s="239"/>
      <c r="T166" s="229" t="str">
        <f t="shared" si="63"/>
        <v/>
      </c>
      <c r="U166" s="229" t="str">
        <f t="shared" si="64"/>
        <v/>
      </c>
      <c r="V166" s="229" t="str">
        <f t="shared" si="65"/>
        <v/>
      </c>
    </row>
    <row r="167" spans="1:22" ht="15" customHeight="1" x14ac:dyDescent="0.25">
      <c r="A167" s="205">
        <f t="shared" si="50"/>
        <v>2040</v>
      </c>
      <c r="B167" s="207">
        <f t="shared" ca="1" si="66"/>
        <v>0.48639726143146594</v>
      </c>
      <c r="C167" s="207" t="str">
        <f t="shared" si="51"/>
        <v/>
      </c>
      <c r="D167" s="207" t="str">
        <f t="shared" si="52"/>
        <v/>
      </c>
      <c r="E167" s="234" t="str">
        <f t="shared" si="53"/>
        <v/>
      </c>
      <c r="F167" s="206">
        <f t="shared" ca="1" si="67"/>
        <v>0.10373236057103068</v>
      </c>
      <c r="G167" s="207" t="str">
        <f t="shared" si="54"/>
        <v/>
      </c>
      <c r="H167" s="207" t="str">
        <f t="shared" si="55"/>
        <v/>
      </c>
      <c r="I167" s="234" t="str">
        <f t="shared" si="56"/>
        <v/>
      </c>
      <c r="J167" s="600">
        <f t="shared" ca="1" si="57"/>
        <v>8.9460708792528897E-3</v>
      </c>
      <c r="K167" s="232" t="str">
        <f t="shared" si="58"/>
        <v/>
      </c>
      <c r="L167" s="232" t="str">
        <f t="shared" si="59"/>
        <v/>
      </c>
      <c r="M167" s="207" t="str">
        <f t="shared" si="60"/>
        <v/>
      </c>
      <c r="N167" s="235" t="str">
        <f t="shared" si="61"/>
        <v/>
      </c>
      <c r="O167" s="240"/>
      <c r="P167" s="229">
        <f t="shared" ca="1" si="68"/>
        <v>2.3446764449871298E-2</v>
      </c>
      <c r="Q167" s="229" t="str">
        <f t="shared" si="69"/>
        <v/>
      </c>
      <c r="R167" s="229" t="str">
        <f t="shared" si="62"/>
        <v/>
      </c>
      <c r="S167" s="239"/>
      <c r="T167" s="229" t="str">
        <f t="shared" si="63"/>
        <v/>
      </c>
      <c r="U167" s="229" t="str">
        <f t="shared" si="64"/>
        <v/>
      </c>
      <c r="V167" s="229" t="str">
        <f t="shared" si="65"/>
        <v/>
      </c>
    </row>
    <row r="168" spans="1:22" ht="15" customHeight="1" x14ac:dyDescent="0.25">
      <c r="A168" s="205">
        <f t="shared" si="50"/>
        <v>2041</v>
      </c>
      <c r="B168" s="207">
        <f t="shared" ca="1" si="66"/>
        <v>0.48663821173947774</v>
      </c>
      <c r="C168" s="207" t="str">
        <f t="shared" si="51"/>
        <v/>
      </c>
      <c r="D168" s="207" t="str">
        <f t="shared" si="52"/>
        <v/>
      </c>
      <c r="E168" s="234" t="str">
        <f t="shared" si="53"/>
        <v/>
      </c>
      <c r="F168" s="206">
        <f t="shared" ca="1" si="67"/>
        <v>0.10342729077563034</v>
      </c>
      <c r="G168" s="207" t="str">
        <f t="shared" si="54"/>
        <v/>
      </c>
      <c r="H168" s="207" t="str">
        <f t="shared" si="55"/>
        <v/>
      </c>
      <c r="I168" s="234" t="str">
        <f t="shared" si="56"/>
        <v/>
      </c>
      <c r="J168" s="600">
        <f t="shared" ca="1" si="57"/>
        <v>8.9197610951339615E-3</v>
      </c>
      <c r="K168" s="232" t="str">
        <f t="shared" si="58"/>
        <v/>
      </c>
      <c r="L168" s="232" t="str">
        <f t="shared" si="59"/>
        <v/>
      </c>
      <c r="M168" s="207" t="str">
        <f t="shared" si="60"/>
        <v/>
      </c>
      <c r="N168" s="235" t="str">
        <f t="shared" si="61"/>
        <v/>
      </c>
      <c r="O168" s="240"/>
      <c r="P168" s="229">
        <f t="shared" ca="1" si="68"/>
        <v>2.3446764449871298E-2</v>
      </c>
      <c r="Q168" s="229" t="str">
        <f t="shared" si="69"/>
        <v/>
      </c>
      <c r="R168" s="229" t="str">
        <f t="shared" si="62"/>
        <v/>
      </c>
      <c r="S168" s="239"/>
      <c r="T168" s="229" t="str">
        <f t="shared" si="63"/>
        <v/>
      </c>
      <c r="U168" s="229" t="str">
        <f t="shared" si="64"/>
        <v/>
      </c>
      <c r="V168" s="229" t="str">
        <f t="shared" si="65"/>
        <v/>
      </c>
    </row>
    <row r="169" spans="1:22" ht="15" customHeight="1" x14ac:dyDescent="0.25">
      <c r="A169" s="205">
        <f t="shared" si="50"/>
        <v>2042</v>
      </c>
      <c r="B169" s="207">
        <f t="shared" ca="1" si="66"/>
        <v>0.48672987538856827</v>
      </c>
      <c r="C169" s="207" t="str">
        <f t="shared" si="51"/>
        <v/>
      </c>
      <c r="D169" s="207" t="str">
        <f t="shared" si="52"/>
        <v/>
      </c>
      <c r="E169" s="234" t="str">
        <f t="shared" si="53"/>
        <v/>
      </c>
      <c r="F169" s="206">
        <f t="shared" ca="1" si="67"/>
        <v>0.10354725056315196</v>
      </c>
      <c r="G169" s="207" t="str">
        <f t="shared" si="54"/>
        <v/>
      </c>
      <c r="H169" s="207" t="str">
        <f t="shared" si="55"/>
        <v/>
      </c>
      <c r="I169" s="234" t="str">
        <f t="shared" si="56"/>
        <v/>
      </c>
      <c r="J169" s="600">
        <f t="shared" ca="1" si="57"/>
        <v>8.9301066493652631E-3</v>
      </c>
      <c r="K169" s="232" t="str">
        <f t="shared" si="58"/>
        <v/>
      </c>
      <c r="L169" s="232" t="str">
        <f t="shared" si="59"/>
        <v/>
      </c>
      <c r="M169" s="207" t="str">
        <f t="shared" si="60"/>
        <v/>
      </c>
      <c r="N169" s="235" t="str">
        <f t="shared" si="61"/>
        <v/>
      </c>
      <c r="O169" s="240"/>
      <c r="P169" s="229">
        <f t="shared" ca="1" si="68"/>
        <v>2.3446764449871298E-2</v>
      </c>
      <c r="Q169" s="229" t="str">
        <f t="shared" si="69"/>
        <v/>
      </c>
      <c r="R169" s="229" t="str">
        <f t="shared" si="62"/>
        <v/>
      </c>
      <c r="S169" s="239"/>
      <c r="T169" s="229" t="str">
        <f t="shared" si="63"/>
        <v/>
      </c>
      <c r="U169" s="229" t="str">
        <f t="shared" si="64"/>
        <v/>
      </c>
      <c r="V169" s="229" t="str">
        <f t="shared" si="65"/>
        <v/>
      </c>
    </row>
    <row r="170" spans="1:22" ht="15" customHeight="1" x14ac:dyDescent="0.25">
      <c r="A170" s="205">
        <f t="shared" si="50"/>
        <v>2043</v>
      </c>
      <c r="B170" s="207">
        <f t="shared" ca="1" si="66"/>
        <v>0.48775437559182555</v>
      </c>
      <c r="C170" s="207" t="str">
        <f t="shared" si="51"/>
        <v/>
      </c>
      <c r="D170" s="207" t="str">
        <f t="shared" si="52"/>
        <v/>
      </c>
      <c r="E170" s="234" t="str">
        <f t="shared" si="53"/>
        <v/>
      </c>
      <c r="F170" s="206">
        <f t="shared" ca="1" si="67"/>
        <v>0.10386325399141627</v>
      </c>
      <c r="G170" s="207" t="str">
        <f t="shared" si="54"/>
        <v/>
      </c>
      <c r="H170" s="207" t="str">
        <f t="shared" si="55"/>
        <v/>
      </c>
      <c r="I170" s="234" t="str">
        <f t="shared" si="56"/>
        <v/>
      </c>
      <c r="J170" s="600">
        <f t="shared" ca="1" si="57"/>
        <v>8.9573593702305492E-3</v>
      </c>
      <c r="K170" s="232" t="str">
        <f t="shared" si="58"/>
        <v/>
      </c>
      <c r="L170" s="232" t="str">
        <f t="shared" si="59"/>
        <v/>
      </c>
      <c r="M170" s="207" t="str">
        <f t="shared" si="60"/>
        <v/>
      </c>
      <c r="N170" s="235" t="str">
        <f t="shared" si="61"/>
        <v/>
      </c>
      <c r="O170" s="240"/>
      <c r="P170" s="229">
        <f t="shared" ca="1" si="68"/>
        <v>2.3446764449871298E-2</v>
      </c>
      <c r="Q170" s="229" t="str">
        <f t="shared" si="69"/>
        <v/>
      </c>
      <c r="R170" s="229" t="str">
        <f t="shared" si="62"/>
        <v/>
      </c>
      <c r="S170" s="239"/>
      <c r="T170" s="229" t="str">
        <f t="shared" si="63"/>
        <v/>
      </c>
      <c r="U170" s="229" t="str">
        <f t="shared" si="64"/>
        <v/>
      </c>
      <c r="V170" s="229" t="str">
        <f t="shared" si="65"/>
        <v/>
      </c>
    </row>
    <row r="171" spans="1:22" ht="15" customHeight="1" x14ac:dyDescent="0.25">
      <c r="A171" s="205">
        <f t="shared" si="50"/>
        <v>2044</v>
      </c>
      <c r="B171" s="207">
        <f t="shared" ca="1" si="66"/>
        <v>0.48766640309638976</v>
      </c>
      <c r="C171" s="207" t="str">
        <f t="shared" si="51"/>
        <v/>
      </c>
      <c r="D171" s="207" t="str">
        <f t="shared" si="52"/>
        <v/>
      </c>
      <c r="E171" s="234" t="str">
        <f t="shared" si="53"/>
        <v/>
      </c>
      <c r="F171" s="206">
        <f t="shared" ca="1" si="67"/>
        <v>0.10425459776762137</v>
      </c>
      <c r="G171" s="207" t="str">
        <f t="shared" si="54"/>
        <v/>
      </c>
      <c r="H171" s="207" t="str">
        <f t="shared" si="55"/>
        <v/>
      </c>
      <c r="I171" s="234" t="str">
        <f t="shared" si="56"/>
        <v/>
      </c>
      <c r="J171" s="600">
        <f t="shared" ca="1" si="57"/>
        <v>8.9911095822262366E-3</v>
      </c>
      <c r="K171" s="232" t="str">
        <f t="shared" si="58"/>
        <v/>
      </c>
      <c r="L171" s="232" t="str">
        <f t="shared" si="59"/>
        <v/>
      </c>
      <c r="M171" s="207" t="str">
        <f t="shared" si="60"/>
        <v/>
      </c>
      <c r="N171" s="235" t="str">
        <f t="shared" si="61"/>
        <v/>
      </c>
      <c r="O171" s="240"/>
      <c r="P171" s="229">
        <f t="shared" ca="1" si="68"/>
        <v>2.3446764449871298E-2</v>
      </c>
      <c r="Q171" s="229" t="str">
        <f t="shared" si="69"/>
        <v/>
      </c>
      <c r="R171" s="229" t="str">
        <f t="shared" si="62"/>
        <v/>
      </c>
      <c r="S171" s="239"/>
      <c r="T171" s="229" t="str">
        <f t="shared" si="63"/>
        <v/>
      </c>
      <c r="U171" s="229" t="str">
        <f t="shared" si="64"/>
        <v/>
      </c>
      <c r="V171" s="229" t="str">
        <f t="shared" si="65"/>
        <v/>
      </c>
    </row>
    <row r="172" spans="1:22" ht="15" customHeight="1" x14ac:dyDescent="0.25">
      <c r="A172" s="205" t="str">
        <f t="shared" si="50"/>
        <v/>
      </c>
      <c r="B172" s="207" t="str">
        <f t="shared" si="66"/>
        <v/>
      </c>
      <c r="C172" s="207" t="str">
        <f t="shared" si="51"/>
        <v/>
      </c>
      <c r="D172" s="207" t="str">
        <f t="shared" si="52"/>
        <v/>
      </c>
      <c r="E172" s="234" t="str">
        <f t="shared" si="53"/>
        <v/>
      </c>
      <c r="F172" s="206" t="str">
        <f t="shared" si="67"/>
        <v/>
      </c>
      <c r="G172" s="207" t="str">
        <f t="shared" si="54"/>
        <v/>
      </c>
      <c r="H172" s="207" t="str">
        <f t="shared" si="55"/>
        <v/>
      </c>
      <c r="I172" s="234" t="str">
        <f t="shared" si="56"/>
        <v/>
      </c>
      <c r="J172" s="600" t="str">
        <f t="shared" si="57"/>
        <v/>
      </c>
      <c r="K172" s="232" t="str">
        <f t="shared" si="58"/>
        <v/>
      </c>
      <c r="L172" s="232" t="str">
        <f t="shared" si="59"/>
        <v/>
      </c>
      <c r="M172" s="207" t="str">
        <f t="shared" si="60"/>
        <v/>
      </c>
      <c r="N172" s="235" t="str">
        <f t="shared" si="61"/>
        <v/>
      </c>
      <c r="O172" s="240"/>
      <c r="P172" s="229" t="str">
        <f t="shared" si="68"/>
        <v/>
      </c>
      <c r="Q172" s="229" t="str">
        <f t="shared" si="69"/>
        <v/>
      </c>
      <c r="R172" s="229" t="str">
        <f t="shared" si="62"/>
        <v/>
      </c>
      <c r="S172" s="239"/>
      <c r="T172" s="229" t="str">
        <f t="shared" si="63"/>
        <v/>
      </c>
      <c r="U172" s="229" t="str">
        <f t="shared" si="64"/>
        <v/>
      </c>
      <c r="V172" s="229" t="str">
        <f t="shared" si="65"/>
        <v/>
      </c>
    </row>
    <row r="173" spans="1:22" ht="15" customHeight="1" x14ac:dyDescent="0.25">
      <c r="A173" s="205" t="str">
        <f t="shared" si="50"/>
        <v/>
      </c>
      <c r="B173" s="207" t="str">
        <f t="shared" si="66"/>
        <v/>
      </c>
      <c r="C173" s="207" t="str">
        <f t="shared" si="51"/>
        <v/>
      </c>
      <c r="D173" s="207" t="str">
        <f t="shared" si="52"/>
        <v/>
      </c>
      <c r="E173" s="234" t="str">
        <f t="shared" si="53"/>
        <v/>
      </c>
      <c r="F173" s="206" t="str">
        <f t="shared" si="67"/>
        <v/>
      </c>
      <c r="G173" s="207" t="str">
        <f t="shared" si="54"/>
        <v/>
      </c>
      <c r="H173" s="207" t="str">
        <f t="shared" si="55"/>
        <v/>
      </c>
      <c r="I173" s="234" t="str">
        <f t="shared" si="56"/>
        <v/>
      </c>
      <c r="J173" s="600" t="str">
        <f t="shared" si="57"/>
        <v/>
      </c>
      <c r="K173" s="232" t="str">
        <f t="shared" si="58"/>
        <v/>
      </c>
      <c r="L173" s="232" t="str">
        <f t="shared" si="59"/>
        <v/>
      </c>
      <c r="M173" s="207" t="str">
        <f t="shared" si="60"/>
        <v/>
      </c>
      <c r="N173" s="235" t="str">
        <f t="shared" si="61"/>
        <v/>
      </c>
      <c r="O173" s="240"/>
      <c r="P173" s="229" t="str">
        <f t="shared" si="68"/>
        <v/>
      </c>
      <c r="Q173" s="229" t="str">
        <f t="shared" si="69"/>
        <v/>
      </c>
      <c r="R173" s="229" t="str">
        <f t="shared" si="62"/>
        <v/>
      </c>
      <c r="S173" s="239"/>
      <c r="T173" s="229" t="str">
        <f t="shared" si="63"/>
        <v/>
      </c>
      <c r="U173" s="229" t="str">
        <f t="shared" si="64"/>
        <v/>
      </c>
      <c r="V173" s="229" t="str">
        <f t="shared" si="65"/>
        <v/>
      </c>
    </row>
    <row r="174" spans="1:22" ht="15" customHeight="1" x14ac:dyDescent="0.25">
      <c r="A174" s="205" t="str">
        <f t="shared" si="50"/>
        <v/>
      </c>
      <c r="B174" s="207" t="str">
        <f t="shared" si="66"/>
        <v/>
      </c>
      <c r="C174" s="207" t="str">
        <f t="shared" si="51"/>
        <v/>
      </c>
      <c r="D174" s="207" t="str">
        <f t="shared" si="52"/>
        <v/>
      </c>
      <c r="E174" s="234" t="str">
        <f t="shared" si="53"/>
        <v/>
      </c>
      <c r="F174" s="206" t="str">
        <f t="shared" si="67"/>
        <v/>
      </c>
      <c r="G174" s="207" t="str">
        <f t="shared" si="54"/>
        <v/>
      </c>
      <c r="H174" s="207" t="str">
        <f t="shared" si="55"/>
        <v/>
      </c>
      <c r="I174" s="234" t="str">
        <f t="shared" si="56"/>
        <v/>
      </c>
      <c r="J174" s="600" t="str">
        <f t="shared" si="57"/>
        <v/>
      </c>
      <c r="K174" s="232" t="str">
        <f t="shared" si="58"/>
        <v/>
      </c>
      <c r="L174" s="232" t="str">
        <f t="shared" si="59"/>
        <v/>
      </c>
      <c r="M174" s="207" t="str">
        <f t="shared" si="60"/>
        <v/>
      </c>
      <c r="N174" s="235" t="str">
        <f t="shared" si="61"/>
        <v/>
      </c>
      <c r="O174" s="240"/>
      <c r="P174" s="229" t="str">
        <f t="shared" si="68"/>
        <v/>
      </c>
      <c r="Q174" s="229" t="str">
        <f t="shared" si="69"/>
        <v/>
      </c>
      <c r="R174" s="229" t="str">
        <f t="shared" si="62"/>
        <v/>
      </c>
      <c r="S174" s="239"/>
      <c r="T174" s="229" t="str">
        <f t="shared" si="63"/>
        <v/>
      </c>
      <c r="U174" s="229" t="str">
        <f t="shared" si="64"/>
        <v/>
      </c>
      <c r="V174" s="229" t="str">
        <f t="shared" si="65"/>
        <v/>
      </c>
    </row>
    <row r="175" spans="1:22" ht="15" customHeight="1" x14ac:dyDescent="0.25">
      <c r="A175" s="205" t="str">
        <f t="shared" si="50"/>
        <v/>
      </c>
      <c r="B175" s="207" t="str">
        <f t="shared" si="66"/>
        <v/>
      </c>
      <c r="C175" s="207" t="str">
        <f t="shared" si="51"/>
        <v/>
      </c>
      <c r="D175" s="207" t="str">
        <f t="shared" si="52"/>
        <v/>
      </c>
      <c r="E175" s="234" t="str">
        <f t="shared" si="53"/>
        <v/>
      </c>
      <c r="F175" s="206" t="str">
        <f t="shared" si="67"/>
        <v/>
      </c>
      <c r="G175" s="207" t="str">
        <f t="shared" si="54"/>
        <v/>
      </c>
      <c r="H175" s="207" t="str">
        <f t="shared" si="55"/>
        <v/>
      </c>
      <c r="I175" s="234" t="str">
        <f t="shared" si="56"/>
        <v/>
      </c>
      <c r="J175" s="600" t="str">
        <f t="shared" si="57"/>
        <v/>
      </c>
      <c r="K175" s="232" t="str">
        <f t="shared" si="58"/>
        <v/>
      </c>
      <c r="L175" s="232" t="str">
        <f t="shared" si="59"/>
        <v/>
      </c>
      <c r="M175" s="207" t="str">
        <f t="shared" si="60"/>
        <v/>
      </c>
      <c r="N175" s="235" t="str">
        <f t="shared" si="61"/>
        <v/>
      </c>
      <c r="O175" s="240"/>
      <c r="P175" s="229" t="str">
        <f t="shared" si="68"/>
        <v/>
      </c>
      <c r="Q175" s="229" t="str">
        <f t="shared" si="69"/>
        <v/>
      </c>
      <c r="R175" s="229" t="str">
        <f t="shared" si="62"/>
        <v/>
      </c>
      <c r="S175" s="239"/>
      <c r="T175" s="229" t="str">
        <f t="shared" si="63"/>
        <v/>
      </c>
      <c r="U175" s="229" t="str">
        <f t="shared" si="64"/>
        <v/>
      </c>
      <c r="V175" s="229" t="str">
        <f t="shared" si="65"/>
        <v/>
      </c>
    </row>
    <row r="176" spans="1:22" ht="15" customHeight="1" x14ac:dyDescent="0.25">
      <c r="A176" s="205" t="str">
        <f t="shared" si="50"/>
        <v/>
      </c>
      <c r="B176" s="207" t="str">
        <f t="shared" si="66"/>
        <v/>
      </c>
      <c r="C176" s="207" t="str">
        <f t="shared" si="51"/>
        <v/>
      </c>
      <c r="D176" s="207" t="str">
        <f t="shared" si="52"/>
        <v/>
      </c>
      <c r="E176" s="234" t="str">
        <f t="shared" si="53"/>
        <v/>
      </c>
      <c r="F176" s="206" t="str">
        <f t="shared" si="67"/>
        <v/>
      </c>
      <c r="G176" s="207" t="str">
        <f t="shared" si="54"/>
        <v/>
      </c>
      <c r="H176" s="207" t="str">
        <f t="shared" si="55"/>
        <v/>
      </c>
      <c r="I176" s="234" t="str">
        <f t="shared" si="56"/>
        <v/>
      </c>
      <c r="J176" s="600" t="str">
        <f t="shared" si="57"/>
        <v/>
      </c>
      <c r="K176" s="232" t="str">
        <f t="shared" si="58"/>
        <v/>
      </c>
      <c r="L176" s="232" t="str">
        <f t="shared" si="59"/>
        <v/>
      </c>
      <c r="M176" s="207" t="str">
        <f t="shared" si="60"/>
        <v/>
      </c>
      <c r="N176" s="235" t="str">
        <f t="shared" si="61"/>
        <v/>
      </c>
      <c r="O176" s="240"/>
      <c r="P176" s="229" t="str">
        <f t="shared" si="68"/>
        <v/>
      </c>
      <c r="Q176" s="229" t="str">
        <f t="shared" si="69"/>
        <v/>
      </c>
      <c r="R176" s="229" t="str">
        <f t="shared" si="62"/>
        <v/>
      </c>
      <c r="S176" s="239"/>
      <c r="T176" s="229" t="str">
        <f t="shared" si="63"/>
        <v/>
      </c>
      <c r="U176" s="229" t="str">
        <f t="shared" si="64"/>
        <v/>
      </c>
      <c r="V176" s="229" t="str">
        <f t="shared" si="65"/>
        <v/>
      </c>
    </row>
    <row r="177" spans="1:22" ht="15" customHeight="1" x14ac:dyDescent="0.25">
      <c r="A177" s="205" t="str">
        <f t="shared" si="50"/>
        <v/>
      </c>
      <c r="B177" s="207" t="str">
        <f t="shared" si="66"/>
        <v/>
      </c>
      <c r="C177" s="207" t="str">
        <f t="shared" si="51"/>
        <v/>
      </c>
      <c r="D177" s="207" t="str">
        <f t="shared" si="52"/>
        <v/>
      </c>
      <c r="E177" s="234" t="str">
        <f t="shared" si="53"/>
        <v/>
      </c>
      <c r="F177" s="206" t="str">
        <f t="shared" si="67"/>
        <v/>
      </c>
      <c r="G177" s="207" t="str">
        <f t="shared" si="54"/>
        <v/>
      </c>
      <c r="H177" s="207" t="str">
        <f t="shared" si="55"/>
        <v/>
      </c>
      <c r="I177" s="234" t="str">
        <f t="shared" si="56"/>
        <v/>
      </c>
      <c r="J177" s="600" t="str">
        <f t="shared" si="57"/>
        <v/>
      </c>
      <c r="K177" s="232" t="str">
        <f t="shared" si="58"/>
        <v/>
      </c>
      <c r="L177" s="232" t="str">
        <f t="shared" si="59"/>
        <v/>
      </c>
      <c r="M177" s="207" t="str">
        <f t="shared" si="60"/>
        <v/>
      </c>
      <c r="N177" s="235" t="str">
        <f t="shared" si="61"/>
        <v/>
      </c>
      <c r="O177" s="240"/>
      <c r="P177" s="229" t="str">
        <f t="shared" si="68"/>
        <v/>
      </c>
      <c r="Q177" s="229" t="str">
        <f t="shared" si="69"/>
        <v/>
      </c>
      <c r="R177" s="229" t="str">
        <f t="shared" si="62"/>
        <v/>
      </c>
      <c r="S177" s="239"/>
      <c r="T177" s="229" t="str">
        <f t="shared" si="63"/>
        <v/>
      </c>
      <c r="U177" s="229" t="str">
        <f t="shared" si="64"/>
        <v/>
      </c>
      <c r="V177" s="229" t="str">
        <f t="shared" si="65"/>
        <v/>
      </c>
    </row>
    <row r="178" spans="1:22" ht="15" customHeight="1" x14ac:dyDescent="0.25">
      <c r="A178" s="205" t="str">
        <f t="shared" si="50"/>
        <v/>
      </c>
      <c r="B178" s="207" t="str">
        <f t="shared" si="66"/>
        <v/>
      </c>
      <c r="C178" s="207" t="str">
        <f t="shared" si="51"/>
        <v/>
      </c>
      <c r="D178" s="207" t="str">
        <f t="shared" si="52"/>
        <v/>
      </c>
      <c r="E178" s="234" t="str">
        <f t="shared" si="53"/>
        <v/>
      </c>
      <c r="F178" s="206" t="str">
        <f t="shared" si="67"/>
        <v/>
      </c>
      <c r="G178" s="207" t="str">
        <f t="shared" si="54"/>
        <v/>
      </c>
      <c r="H178" s="207" t="str">
        <f t="shared" si="55"/>
        <v/>
      </c>
      <c r="I178" s="234" t="str">
        <f t="shared" si="56"/>
        <v/>
      </c>
      <c r="J178" s="600" t="str">
        <f t="shared" si="57"/>
        <v/>
      </c>
      <c r="K178" s="232" t="str">
        <f t="shared" si="58"/>
        <v/>
      </c>
      <c r="L178" s="232" t="str">
        <f t="shared" si="59"/>
        <v/>
      </c>
      <c r="M178" s="207" t="str">
        <f t="shared" si="60"/>
        <v/>
      </c>
      <c r="N178" s="235" t="str">
        <f t="shared" si="61"/>
        <v/>
      </c>
      <c r="O178" s="240"/>
      <c r="P178" s="229" t="str">
        <f t="shared" si="68"/>
        <v/>
      </c>
      <c r="Q178" s="229" t="str">
        <f t="shared" si="69"/>
        <v/>
      </c>
      <c r="R178" s="229" t="str">
        <f t="shared" si="62"/>
        <v/>
      </c>
      <c r="S178" s="239"/>
      <c r="T178" s="229" t="str">
        <f t="shared" si="63"/>
        <v/>
      </c>
      <c r="U178" s="229" t="str">
        <f t="shared" si="64"/>
        <v/>
      </c>
      <c r="V178" s="229" t="str">
        <f t="shared" si="65"/>
        <v/>
      </c>
    </row>
    <row r="179" spans="1:22" ht="15" customHeight="1" x14ac:dyDescent="0.25">
      <c r="A179" s="205" t="str">
        <f t="shared" si="50"/>
        <v/>
      </c>
      <c r="B179" s="207" t="str">
        <f t="shared" si="66"/>
        <v/>
      </c>
      <c r="C179" s="207" t="str">
        <f t="shared" si="51"/>
        <v/>
      </c>
      <c r="D179" s="207" t="str">
        <f t="shared" si="52"/>
        <v/>
      </c>
      <c r="E179" s="234" t="str">
        <f t="shared" si="53"/>
        <v/>
      </c>
      <c r="F179" s="206" t="str">
        <f t="shared" si="67"/>
        <v/>
      </c>
      <c r="G179" s="207" t="str">
        <f t="shared" si="54"/>
        <v/>
      </c>
      <c r="H179" s="207" t="str">
        <f t="shared" si="55"/>
        <v/>
      </c>
      <c r="I179" s="234" t="str">
        <f t="shared" si="56"/>
        <v/>
      </c>
      <c r="J179" s="600" t="str">
        <f t="shared" si="57"/>
        <v/>
      </c>
      <c r="K179" s="232" t="str">
        <f t="shared" si="58"/>
        <v/>
      </c>
      <c r="L179" s="232" t="str">
        <f t="shared" si="59"/>
        <v/>
      </c>
      <c r="M179" s="207" t="str">
        <f t="shared" si="60"/>
        <v/>
      </c>
      <c r="N179" s="235" t="str">
        <f t="shared" si="61"/>
        <v/>
      </c>
      <c r="O179" s="240"/>
      <c r="P179" s="229" t="str">
        <f t="shared" si="68"/>
        <v/>
      </c>
      <c r="Q179" s="229" t="str">
        <f t="shared" si="69"/>
        <v/>
      </c>
      <c r="R179" s="229" t="str">
        <f t="shared" si="62"/>
        <v/>
      </c>
      <c r="S179" s="239"/>
      <c r="T179" s="229" t="str">
        <f t="shared" si="63"/>
        <v/>
      </c>
      <c r="U179" s="229" t="str">
        <f t="shared" si="64"/>
        <v/>
      </c>
      <c r="V179" s="229" t="str">
        <f t="shared" si="65"/>
        <v/>
      </c>
    </row>
    <row r="180" spans="1:22" ht="15" customHeight="1" x14ac:dyDescent="0.25">
      <c r="A180" s="205" t="str">
        <f t="shared" si="50"/>
        <v/>
      </c>
      <c r="B180" s="207" t="str">
        <f t="shared" si="66"/>
        <v/>
      </c>
      <c r="C180" s="207" t="str">
        <f t="shared" si="51"/>
        <v/>
      </c>
      <c r="D180" s="207" t="str">
        <f t="shared" si="52"/>
        <v/>
      </c>
      <c r="E180" s="234" t="str">
        <f t="shared" si="53"/>
        <v/>
      </c>
      <c r="F180" s="206" t="str">
        <f t="shared" si="67"/>
        <v/>
      </c>
      <c r="G180" s="207" t="str">
        <f t="shared" si="54"/>
        <v/>
      </c>
      <c r="H180" s="207" t="str">
        <f t="shared" si="55"/>
        <v/>
      </c>
      <c r="I180" s="234" t="str">
        <f t="shared" si="56"/>
        <v/>
      </c>
      <c r="J180" s="600" t="str">
        <f t="shared" si="57"/>
        <v/>
      </c>
      <c r="K180" s="232" t="str">
        <f t="shared" si="58"/>
        <v/>
      </c>
      <c r="L180" s="232" t="str">
        <f t="shared" si="59"/>
        <v/>
      </c>
      <c r="M180" s="207" t="str">
        <f t="shared" si="60"/>
        <v/>
      </c>
      <c r="N180" s="235" t="str">
        <f t="shared" si="61"/>
        <v/>
      </c>
      <c r="O180" s="240"/>
      <c r="P180" s="229" t="str">
        <f t="shared" si="68"/>
        <v/>
      </c>
      <c r="Q180" s="229" t="str">
        <f t="shared" si="69"/>
        <v/>
      </c>
      <c r="R180" s="229" t="str">
        <f t="shared" si="62"/>
        <v/>
      </c>
      <c r="S180" s="239"/>
      <c r="T180" s="229" t="str">
        <f t="shared" si="63"/>
        <v/>
      </c>
      <c r="U180" s="229" t="str">
        <f t="shared" si="64"/>
        <v/>
      </c>
      <c r="V180" s="229" t="str">
        <f t="shared" si="65"/>
        <v/>
      </c>
    </row>
    <row r="181" spans="1:22" ht="15" customHeight="1" x14ac:dyDescent="0.25">
      <c r="A181" s="205" t="str">
        <f t="shared" si="50"/>
        <v/>
      </c>
      <c r="B181" s="207" t="str">
        <f t="shared" si="66"/>
        <v/>
      </c>
      <c r="C181" s="207" t="str">
        <f t="shared" si="51"/>
        <v/>
      </c>
      <c r="D181" s="207" t="str">
        <f t="shared" si="52"/>
        <v/>
      </c>
      <c r="E181" s="234" t="str">
        <f t="shared" si="53"/>
        <v/>
      </c>
      <c r="F181" s="206" t="str">
        <f t="shared" si="67"/>
        <v/>
      </c>
      <c r="G181" s="207" t="str">
        <f t="shared" si="54"/>
        <v/>
      </c>
      <c r="H181" s="207" t="str">
        <f t="shared" si="55"/>
        <v/>
      </c>
      <c r="I181" s="234" t="str">
        <f t="shared" si="56"/>
        <v/>
      </c>
      <c r="J181" s="600" t="str">
        <f t="shared" si="57"/>
        <v/>
      </c>
      <c r="K181" s="232" t="str">
        <f t="shared" si="58"/>
        <v/>
      </c>
      <c r="L181" s="232" t="str">
        <f t="shared" si="59"/>
        <v/>
      </c>
      <c r="M181" s="207" t="str">
        <f t="shared" si="60"/>
        <v/>
      </c>
      <c r="N181" s="235" t="str">
        <f t="shared" si="61"/>
        <v/>
      </c>
      <c r="O181" s="240"/>
      <c r="P181" s="229" t="str">
        <f t="shared" si="68"/>
        <v/>
      </c>
      <c r="Q181" s="229" t="str">
        <f t="shared" si="69"/>
        <v/>
      </c>
      <c r="R181" s="229" t="str">
        <f t="shared" si="62"/>
        <v/>
      </c>
      <c r="S181" s="239"/>
      <c r="T181" s="229" t="str">
        <f t="shared" si="63"/>
        <v/>
      </c>
      <c r="U181" s="229" t="str">
        <f t="shared" si="64"/>
        <v/>
      </c>
      <c r="V181" s="229" t="str">
        <f t="shared" si="65"/>
        <v/>
      </c>
    </row>
    <row r="182" spans="1:22" ht="15" customHeight="1" thickBot="1" x14ac:dyDescent="0.3">
      <c r="A182" s="208" t="str">
        <f t="shared" si="50"/>
        <v/>
      </c>
      <c r="B182" s="207" t="str">
        <f t="shared" si="66"/>
        <v/>
      </c>
      <c r="C182" s="207" t="str">
        <f t="shared" si="51"/>
        <v/>
      </c>
      <c r="D182" s="207" t="str">
        <f t="shared" si="52"/>
        <v/>
      </c>
      <c r="E182" s="234" t="str">
        <f t="shared" si="53"/>
        <v/>
      </c>
      <c r="F182" s="206" t="str">
        <f t="shared" si="67"/>
        <v/>
      </c>
      <c r="G182" s="207" t="str">
        <f t="shared" si="54"/>
        <v/>
      </c>
      <c r="H182" s="207" t="str">
        <f t="shared" si="55"/>
        <v/>
      </c>
      <c r="I182" s="234" t="str">
        <f t="shared" si="56"/>
        <v/>
      </c>
      <c r="J182" s="600" t="str">
        <f t="shared" si="57"/>
        <v/>
      </c>
      <c r="K182" s="232" t="str">
        <f t="shared" si="58"/>
        <v/>
      </c>
      <c r="L182" s="232" t="str">
        <f t="shared" si="59"/>
        <v/>
      </c>
      <c r="M182" s="207" t="str">
        <f t="shared" si="60"/>
        <v/>
      </c>
      <c r="N182" s="235" t="str">
        <f t="shared" si="61"/>
        <v/>
      </c>
      <c r="O182" s="241"/>
      <c r="P182" s="229" t="str">
        <f t="shared" si="68"/>
        <v/>
      </c>
      <c r="Q182" s="229" t="str">
        <f t="shared" si="69"/>
        <v/>
      </c>
      <c r="R182" s="229" t="str">
        <f t="shared" si="62"/>
        <v/>
      </c>
      <c r="S182" s="239"/>
      <c r="T182" s="229" t="str">
        <f t="shared" si="63"/>
        <v/>
      </c>
      <c r="U182" s="229" t="str">
        <f t="shared" si="64"/>
        <v/>
      </c>
      <c r="V182" s="229" t="str">
        <f t="shared" si="65"/>
        <v/>
      </c>
    </row>
    <row r="184" spans="1:22" ht="13.8" thickBot="1" x14ac:dyDescent="0.3">
      <c r="A184" s="1069" t="s">
        <v>1189</v>
      </c>
    </row>
    <row r="185" spans="1:22" ht="27" thickTop="1" x14ac:dyDescent="0.25">
      <c r="A185" s="204" t="s">
        <v>1035</v>
      </c>
      <c r="B185" s="237" t="str">
        <f>IF(B$131="","",B$131&amp;" ($/year)")</f>
        <v>Electric Utility Steam Coal ($/year)</v>
      </c>
      <c r="C185" s="237" t="str">
        <f t="shared" ref="C185:N185" si="70">IF(C$131="","",C$131&amp;" ($/year)")</f>
        <v/>
      </c>
      <c r="D185" s="237" t="str">
        <f t="shared" si="70"/>
        <v/>
      </c>
      <c r="E185" s="237" t="str">
        <f t="shared" si="70"/>
        <v/>
      </c>
      <c r="F185" s="237" t="str">
        <f t="shared" si="70"/>
        <v>Industrial Electricity ($/year)</v>
      </c>
      <c r="G185" s="237" t="str">
        <f t="shared" si="70"/>
        <v/>
      </c>
      <c r="H185" s="237" t="str">
        <f t="shared" si="70"/>
        <v/>
      </c>
      <c r="I185" s="595" t="str">
        <f t="shared" si="70"/>
        <v/>
      </c>
      <c r="J185" s="237" t="str">
        <f t="shared" ca="1" si="70"/>
        <v>Industrial Electricity ($/year)</v>
      </c>
      <c r="K185" s="237" t="str">
        <f t="shared" si="70"/>
        <v/>
      </c>
      <c r="L185" s="237" t="str">
        <f t="shared" si="70"/>
        <v/>
      </c>
      <c r="M185" s="237" t="str">
        <f t="shared" si="70"/>
        <v/>
      </c>
      <c r="N185" s="237" t="str">
        <f t="shared" si="70"/>
        <v/>
      </c>
    </row>
    <row r="186" spans="1:22" x14ac:dyDescent="0.25">
      <c r="A186" s="205">
        <f>+A139</f>
        <v>2012</v>
      </c>
      <c r="B186" s="207">
        <f>IF($C65="","",IF($C65&lt;0,0,IF(AND($C65=1,start_time&lt;1),-(SUM(B139)*output_kgyear*$E65*percnt_var*start_time+SUM(B139)*output_kgyear*$E65*(1-start_time)),IF($C65&lt;=start_time,-SUM(B139)*output_kgyear*$E65*percnt_var,-SUM(B139)*output_kgyear*$E65))))</f>
        <v>0</v>
      </c>
      <c r="C186" s="207">
        <f t="shared" ref="C186:N186" si="71">IF($C65="","",IF($C65&lt;0,0,IF(AND($C65=1,start_time&lt;1),-(SUM(C139)*output_kgyear*$E65*percnt_var*start_time+SUM(C139)*output_kgyear*$E65*(1-start_time)),IF($C65&lt;=start_time,-SUM(C139)*output_kgyear*$E65*percnt_var,-SUM(C139)*output_kgyear*$E65))))</f>
        <v>0</v>
      </c>
      <c r="D186" s="207">
        <f t="shared" si="71"/>
        <v>0</v>
      </c>
      <c r="E186" s="234">
        <f t="shared" si="71"/>
        <v>0</v>
      </c>
      <c r="F186" s="206">
        <f t="shared" si="71"/>
        <v>0</v>
      </c>
      <c r="G186" s="207">
        <f t="shared" si="71"/>
        <v>0</v>
      </c>
      <c r="H186" s="207">
        <f t="shared" si="71"/>
        <v>0</v>
      </c>
      <c r="I186" s="234">
        <f t="shared" si="71"/>
        <v>0</v>
      </c>
      <c r="J186" s="600">
        <f t="shared" si="71"/>
        <v>0</v>
      </c>
      <c r="K186" s="232">
        <f t="shared" si="71"/>
        <v>0</v>
      </c>
      <c r="L186" s="232">
        <f t="shared" si="71"/>
        <v>0</v>
      </c>
      <c r="M186" s="207">
        <f t="shared" si="71"/>
        <v>0</v>
      </c>
      <c r="N186" s="235">
        <f t="shared" si="71"/>
        <v>0</v>
      </c>
    </row>
    <row r="187" spans="1:22" x14ac:dyDescent="0.25">
      <c r="A187" s="205">
        <f t="shared" ref="A187:A229" si="72">+A140</f>
        <v>2013</v>
      </c>
      <c r="B187" s="207">
        <f t="shared" ref="B187:N187" si="73">IF($C66="","",IF($C66&lt;0,0,IF(AND($C66=1,start_time&lt;1),-(SUM(B140)*output_kgyear*$E66*percnt_var*start_time+SUM(B140)*output_kgyear*$E66*(1-start_time)),IF($C66&lt;=start_time,-SUM(B140)*output_kgyear*$E66*percnt_var,-SUM(B140)*output_kgyear*$E66))))</f>
        <v>0</v>
      </c>
      <c r="C187" s="207">
        <f t="shared" si="73"/>
        <v>0</v>
      </c>
      <c r="D187" s="207">
        <f t="shared" si="73"/>
        <v>0</v>
      </c>
      <c r="E187" s="234">
        <f t="shared" si="73"/>
        <v>0</v>
      </c>
      <c r="F187" s="206">
        <f t="shared" si="73"/>
        <v>0</v>
      </c>
      <c r="G187" s="207">
        <f t="shared" si="73"/>
        <v>0</v>
      </c>
      <c r="H187" s="207">
        <f t="shared" si="73"/>
        <v>0</v>
      </c>
      <c r="I187" s="234">
        <f t="shared" si="73"/>
        <v>0</v>
      </c>
      <c r="J187" s="600">
        <f t="shared" si="73"/>
        <v>0</v>
      </c>
      <c r="K187" s="232">
        <f t="shared" si="73"/>
        <v>0</v>
      </c>
      <c r="L187" s="232">
        <f t="shared" si="73"/>
        <v>0</v>
      </c>
      <c r="M187" s="207">
        <f t="shared" si="73"/>
        <v>0</v>
      </c>
      <c r="N187" s="235">
        <f t="shared" si="73"/>
        <v>0</v>
      </c>
    </row>
    <row r="188" spans="1:22" x14ac:dyDescent="0.25">
      <c r="A188" s="205">
        <f t="shared" si="72"/>
        <v>2014</v>
      </c>
      <c r="B188" s="207">
        <f t="shared" ref="B188:N188" si="74">IF($C67="","",IF($C67&lt;0,0,IF(AND($C67=1,start_time&lt;1),-(SUM(B141)*output_kgyear*$E67*percnt_var*start_time+SUM(B141)*output_kgyear*$E67*(1-start_time)),IF($C67&lt;=start_time,-SUM(B141)*output_kgyear*$E67*percnt_var,-SUM(B141)*output_kgyear*$E67))))</f>
        <v>0</v>
      </c>
      <c r="C188" s="207">
        <f t="shared" si="74"/>
        <v>0</v>
      </c>
      <c r="D188" s="207">
        <f t="shared" si="74"/>
        <v>0</v>
      </c>
      <c r="E188" s="234">
        <f t="shared" si="74"/>
        <v>0</v>
      </c>
      <c r="F188" s="206">
        <f t="shared" si="74"/>
        <v>0</v>
      </c>
      <c r="G188" s="207">
        <f t="shared" si="74"/>
        <v>0</v>
      </c>
      <c r="H188" s="207">
        <f t="shared" si="74"/>
        <v>0</v>
      </c>
      <c r="I188" s="234">
        <f t="shared" si="74"/>
        <v>0</v>
      </c>
      <c r="J188" s="600">
        <f t="shared" si="74"/>
        <v>0</v>
      </c>
      <c r="K188" s="232">
        <f t="shared" si="74"/>
        <v>0</v>
      </c>
      <c r="L188" s="232">
        <f t="shared" si="74"/>
        <v>0</v>
      </c>
      <c r="M188" s="207">
        <f t="shared" si="74"/>
        <v>0</v>
      </c>
      <c r="N188" s="235">
        <f t="shared" si="74"/>
        <v>0</v>
      </c>
    </row>
    <row r="189" spans="1:22" x14ac:dyDescent="0.25">
      <c r="A189" s="205">
        <f t="shared" si="72"/>
        <v>2015</v>
      </c>
      <c r="B189" s="207">
        <f t="shared" ref="B189:N189" ca="1" si="75">IF($C68="","",IF($C68&lt;0,0,IF(AND($C68=1,start_time&lt;1),-(SUM(B142)*output_kgyear*$E68*percnt_var*start_time+SUM(B142)*output_kgyear*$E68*(1-start_time)),IF($C68&lt;=start_time,-SUM(B142)*output_kgyear*$E68*percnt_var,-SUM(B142)*output_kgyear*$E68))))</f>
        <v>-80523683.800445974</v>
      </c>
      <c r="C189" s="207">
        <f t="shared" ca="1" si="75"/>
        <v>0</v>
      </c>
      <c r="D189" s="207">
        <f t="shared" ca="1" si="75"/>
        <v>0</v>
      </c>
      <c r="E189" s="234">
        <f t="shared" ca="1" si="75"/>
        <v>0</v>
      </c>
      <c r="F189" s="206">
        <f ca="1">IF($C68="","",IF($C68&lt;0,0,IF(AND($C68=1,start_time&lt;1),-(SUM(F142)*output_kgyear*$E68*percnt_var*start_time+SUM(F142)*output_kgyear*$E68*(1-start_time)),IF($C68&lt;=start_time,-SUM(F142)*output_kgyear*$E68*percnt_var,-SUM(F142)*output_kgyear*$E68))))</f>
        <v>-16643182.137971163</v>
      </c>
      <c r="G189" s="207">
        <f t="shared" ca="1" si="75"/>
        <v>0</v>
      </c>
      <c r="H189" s="207">
        <f t="shared" ca="1" si="75"/>
        <v>0</v>
      </c>
      <c r="I189" s="234">
        <f t="shared" ca="1" si="75"/>
        <v>0</v>
      </c>
      <c r="J189" s="600">
        <f t="shared" ca="1" si="75"/>
        <v>-1435338.8493521514</v>
      </c>
      <c r="K189" s="232">
        <f t="shared" ca="1" si="75"/>
        <v>0</v>
      </c>
      <c r="L189" s="232">
        <f t="shared" ca="1" si="75"/>
        <v>0</v>
      </c>
      <c r="M189" s="207">
        <f t="shared" ca="1" si="75"/>
        <v>0</v>
      </c>
      <c r="N189" s="235">
        <f t="shared" ca="1" si="75"/>
        <v>0</v>
      </c>
    </row>
    <row r="190" spans="1:22" x14ac:dyDescent="0.25">
      <c r="A190" s="205">
        <f t="shared" si="72"/>
        <v>2016</v>
      </c>
      <c r="B190" s="207">
        <f t="shared" ref="B190:N190" ca="1" si="76">IF($C69="","",IF($C69&lt;0,0,IF(AND($C69=1,start_time&lt;1),-(SUM(B143)*output_kgyear*$E69*percnt_var*start_time+SUM(B143)*output_kgyear*$E69*(1-start_time)),IF($C69&lt;=start_time,-SUM(B143)*output_kgyear*$E69*percnt_var,-SUM(B143)*output_kgyear*$E69))))</f>
        <v>-88335253.590850785</v>
      </c>
      <c r="C190" s="207">
        <f t="shared" ca="1" si="76"/>
        <v>0</v>
      </c>
      <c r="D190" s="207">
        <f t="shared" ca="1" si="76"/>
        <v>0</v>
      </c>
      <c r="E190" s="234">
        <f t="shared" ca="1" si="76"/>
        <v>0</v>
      </c>
      <c r="F190" s="206">
        <f t="shared" ca="1" si="76"/>
        <v>-18722823.349607989</v>
      </c>
      <c r="G190" s="207">
        <f t="shared" ca="1" si="76"/>
        <v>0</v>
      </c>
      <c r="H190" s="207">
        <f t="shared" ca="1" si="76"/>
        <v>0</v>
      </c>
      <c r="I190" s="234">
        <f t="shared" ca="1" si="76"/>
        <v>0</v>
      </c>
      <c r="J190" s="600">
        <f t="shared" ca="1" si="76"/>
        <v>-1614690.958764324</v>
      </c>
      <c r="K190" s="232">
        <f t="shared" ca="1" si="76"/>
        <v>0</v>
      </c>
      <c r="L190" s="232">
        <f t="shared" ca="1" si="76"/>
        <v>0</v>
      </c>
      <c r="M190" s="207">
        <f t="shared" ca="1" si="76"/>
        <v>0</v>
      </c>
      <c r="N190" s="235">
        <f t="shared" ca="1" si="76"/>
        <v>0</v>
      </c>
    </row>
    <row r="191" spans="1:22" x14ac:dyDescent="0.25">
      <c r="A191" s="205">
        <f t="shared" si="72"/>
        <v>2017</v>
      </c>
      <c r="B191" s="207">
        <f t="shared" ref="B191:N191" ca="1" si="77">IF($C70="","",IF($C70&lt;0,0,IF(AND($C70=1,start_time&lt;1),-(SUM(B144)*output_kgyear*$E70*percnt_var*start_time+SUM(B144)*output_kgyear*$E70*(1-start_time)),IF($C70&lt;=start_time,-SUM(B144)*output_kgyear*$E70*percnt_var,-SUM(B144)*output_kgyear*$E70))))</f>
        <v>-94441131.730288789</v>
      </c>
      <c r="C191" s="207">
        <f t="shared" ca="1" si="77"/>
        <v>0</v>
      </c>
      <c r="D191" s="207">
        <f t="shared" ca="1" si="77"/>
        <v>0</v>
      </c>
      <c r="E191" s="234">
        <f t="shared" ca="1" si="77"/>
        <v>0</v>
      </c>
      <c r="F191" s="206">
        <f t="shared" ca="1" si="77"/>
        <v>-19850447.5177209</v>
      </c>
      <c r="G191" s="207">
        <f t="shared" ca="1" si="77"/>
        <v>0</v>
      </c>
      <c r="H191" s="207">
        <f t="shared" ca="1" si="77"/>
        <v>0</v>
      </c>
      <c r="I191" s="234">
        <f t="shared" ca="1" si="77"/>
        <v>0</v>
      </c>
      <c r="J191" s="600">
        <f t="shared" ca="1" si="77"/>
        <v>-1711939.3552875004</v>
      </c>
      <c r="K191" s="232">
        <f t="shared" ca="1" si="77"/>
        <v>0</v>
      </c>
      <c r="L191" s="232">
        <f t="shared" ca="1" si="77"/>
        <v>0</v>
      </c>
      <c r="M191" s="207">
        <f t="shared" ca="1" si="77"/>
        <v>0</v>
      </c>
      <c r="N191" s="235">
        <f t="shared" ca="1" si="77"/>
        <v>0</v>
      </c>
    </row>
    <row r="192" spans="1:22" x14ac:dyDescent="0.25">
      <c r="A192" s="205">
        <f t="shared" si="72"/>
        <v>2018</v>
      </c>
      <c r="B192" s="207">
        <f t="shared" ref="B192:N192" ca="1" si="78">IF($C71="","",IF($C71&lt;0,0,IF(AND($C71=1,start_time&lt;1),-(SUM(B145)*output_kgyear*$E71*percnt_var*start_time+SUM(B145)*output_kgyear*$E71*(1-start_time)),IF($C71&lt;=start_time,-SUM(B145)*output_kgyear*$E71*percnt_var,-SUM(B145)*output_kgyear*$E71))))</f>
        <v>-98408123.79837361</v>
      </c>
      <c r="C192" s="207">
        <f t="shared" ca="1" si="78"/>
        <v>0</v>
      </c>
      <c r="D192" s="207">
        <f t="shared" ca="1" si="78"/>
        <v>0</v>
      </c>
      <c r="E192" s="234">
        <f t="shared" ca="1" si="78"/>
        <v>0</v>
      </c>
      <c r="F192" s="206">
        <f t="shared" ca="1" si="78"/>
        <v>-19769160.130865425</v>
      </c>
      <c r="G192" s="207">
        <f t="shared" ca="1" si="78"/>
        <v>0</v>
      </c>
      <c r="H192" s="207">
        <f t="shared" ca="1" si="78"/>
        <v>0</v>
      </c>
      <c r="I192" s="234">
        <f t="shared" ca="1" si="78"/>
        <v>0</v>
      </c>
      <c r="J192" s="600">
        <f t="shared" ca="1" si="78"/>
        <v>-1704928.9805076807</v>
      </c>
      <c r="K192" s="232">
        <f t="shared" ca="1" si="78"/>
        <v>0</v>
      </c>
      <c r="L192" s="232">
        <f t="shared" ca="1" si="78"/>
        <v>0</v>
      </c>
      <c r="M192" s="207">
        <f t="shared" ca="1" si="78"/>
        <v>0</v>
      </c>
      <c r="N192" s="235">
        <f t="shared" ca="1" si="78"/>
        <v>0</v>
      </c>
    </row>
    <row r="193" spans="1:14" x14ac:dyDescent="0.25">
      <c r="A193" s="205">
        <f t="shared" si="72"/>
        <v>2019</v>
      </c>
      <c r="B193" s="207">
        <f t="shared" ref="B193:N193" ca="1" si="79">IF($C72="","",IF($C72&lt;0,0,IF(AND($C72=1,start_time&lt;1),-(SUM(B146)*output_kgyear*$E72*percnt_var*start_time+SUM(B146)*output_kgyear*$E72*(1-start_time)),IF($C72&lt;=start_time,-SUM(B146)*output_kgyear*$E72*percnt_var,-SUM(B146)*output_kgyear*$E72))))</f>
        <v>-102322921.43005295</v>
      </c>
      <c r="C193" s="207">
        <f t="shared" ca="1" si="79"/>
        <v>0</v>
      </c>
      <c r="D193" s="207">
        <f t="shared" ca="1" si="79"/>
        <v>0</v>
      </c>
      <c r="E193" s="234">
        <f t="shared" ca="1" si="79"/>
        <v>0</v>
      </c>
      <c r="F193" s="206">
        <f t="shared" ca="1" si="79"/>
        <v>-20404504.806890685</v>
      </c>
      <c r="G193" s="207">
        <f t="shared" ca="1" si="79"/>
        <v>0</v>
      </c>
      <c r="H193" s="207">
        <f t="shared" ca="1" si="79"/>
        <v>0</v>
      </c>
      <c r="I193" s="234">
        <f t="shared" ca="1" si="79"/>
        <v>0</v>
      </c>
      <c r="J193" s="600">
        <f t="shared" ca="1" si="79"/>
        <v>-1759722.2819730018</v>
      </c>
      <c r="K193" s="232">
        <f t="shared" ca="1" si="79"/>
        <v>0</v>
      </c>
      <c r="L193" s="232">
        <f t="shared" ca="1" si="79"/>
        <v>0</v>
      </c>
      <c r="M193" s="207">
        <f t="shared" ca="1" si="79"/>
        <v>0</v>
      </c>
      <c r="N193" s="235">
        <f t="shared" ca="1" si="79"/>
        <v>0</v>
      </c>
    </row>
    <row r="194" spans="1:14" x14ac:dyDescent="0.25">
      <c r="A194" s="205">
        <f t="shared" si="72"/>
        <v>2020</v>
      </c>
      <c r="B194" s="207">
        <f t="shared" ref="B194:N194" ca="1" si="80">IF($C73="","",IF($C73&lt;0,0,IF(AND($C73=1,start_time&lt;1),-(SUM(B147)*output_kgyear*$E73*percnt_var*start_time+SUM(B147)*output_kgyear*$E73*(1-start_time)),IF($C73&lt;=start_time,-SUM(B147)*output_kgyear*$E73*percnt_var,-SUM(B147)*output_kgyear*$E73))))</f>
        <v>-105844548.21853514</v>
      </c>
      <c r="C194" s="207">
        <f t="shared" ca="1" si="80"/>
        <v>0</v>
      </c>
      <c r="D194" s="207">
        <f t="shared" ca="1" si="80"/>
        <v>0</v>
      </c>
      <c r="E194" s="234">
        <f t="shared" ca="1" si="80"/>
        <v>0</v>
      </c>
      <c r="F194" s="206">
        <f t="shared" ca="1" si="80"/>
        <v>-21179039.013070624</v>
      </c>
      <c r="G194" s="207">
        <f t="shared" ca="1" si="80"/>
        <v>0</v>
      </c>
      <c r="H194" s="207">
        <f t="shared" ca="1" si="80"/>
        <v>0</v>
      </c>
      <c r="I194" s="234">
        <f t="shared" ca="1" si="80"/>
        <v>0</v>
      </c>
      <c r="J194" s="600">
        <f t="shared" ca="1" si="80"/>
        <v>-1826519.5462861664</v>
      </c>
      <c r="K194" s="232">
        <f t="shared" ca="1" si="80"/>
        <v>0</v>
      </c>
      <c r="L194" s="232">
        <f t="shared" ca="1" si="80"/>
        <v>0</v>
      </c>
      <c r="M194" s="207">
        <f t="shared" ca="1" si="80"/>
        <v>0</v>
      </c>
      <c r="N194" s="235">
        <f t="shared" ca="1" si="80"/>
        <v>0</v>
      </c>
    </row>
    <row r="195" spans="1:14" x14ac:dyDescent="0.25">
      <c r="A195" s="205">
        <f t="shared" si="72"/>
        <v>2021</v>
      </c>
      <c r="B195" s="207">
        <f t="shared" ref="B195:N195" ca="1" si="81">IF($C74="","",IF($C74&lt;0,0,IF(AND($C74=1,start_time&lt;1),-(SUM(B148)*output_kgyear*$E74*percnt_var*start_time+SUM(B148)*output_kgyear*$E74*(1-start_time)),IF($C74&lt;=start_time,-SUM(B148)*output_kgyear*$E74*percnt_var,-SUM(B148)*output_kgyear*$E74))))</f>
        <v>-108001044.48880887</v>
      </c>
      <c r="C195" s="207">
        <f t="shared" ca="1" si="81"/>
        <v>0</v>
      </c>
      <c r="D195" s="207">
        <f t="shared" ca="1" si="81"/>
        <v>0</v>
      </c>
      <c r="E195" s="234">
        <f t="shared" ca="1" si="81"/>
        <v>0</v>
      </c>
      <c r="F195" s="206">
        <f t="shared" ca="1" si="81"/>
        <v>-21700304.250908811</v>
      </c>
      <c r="G195" s="207">
        <f t="shared" ca="1" si="81"/>
        <v>0</v>
      </c>
      <c r="H195" s="207">
        <f t="shared" ca="1" si="81"/>
        <v>0</v>
      </c>
      <c r="I195" s="234">
        <f t="shared" ca="1" si="81"/>
        <v>0</v>
      </c>
      <c r="J195" s="600">
        <f t="shared" ca="1" si="81"/>
        <v>-1871474.4257367107</v>
      </c>
      <c r="K195" s="232">
        <f t="shared" ca="1" si="81"/>
        <v>0</v>
      </c>
      <c r="L195" s="232">
        <f t="shared" ca="1" si="81"/>
        <v>0</v>
      </c>
      <c r="M195" s="207">
        <f t="shared" ca="1" si="81"/>
        <v>0</v>
      </c>
      <c r="N195" s="235">
        <f t="shared" ca="1" si="81"/>
        <v>0</v>
      </c>
    </row>
    <row r="196" spans="1:14" x14ac:dyDescent="0.25">
      <c r="A196" s="205">
        <f t="shared" si="72"/>
        <v>2022</v>
      </c>
      <c r="B196" s="207">
        <f t="shared" ref="B196:N196" ca="1" si="82">IF($C75="","",IF($C75&lt;0,0,IF(AND($C75=1,start_time&lt;1),-(SUM(B149)*output_kgyear*$E75*percnt_var*start_time+SUM(B149)*output_kgyear*$E75*(1-start_time)),IF($C75&lt;=start_time,-SUM(B149)*output_kgyear*$E75*percnt_var,-SUM(B149)*output_kgyear*$E75))))</f>
        <v>-110548646.94920032</v>
      </c>
      <c r="C196" s="207">
        <f t="shared" ca="1" si="82"/>
        <v>0</v>
      </c>
      <c r="D196" s="207">
        <f t="shared" ca="1" si="82"/>
        <v>0</v>
      </c>
      <c r="E196" s="234">
        <f t="shared" ca="1" si="82"/>
        <v>0</v>
      </c>
      <c r="F196" s="206">
        <f t="shared" ca="1" si="82"/>
        <v>-22826354.165174782</v>
      </c>
      <c r="G196" s="207">
        <f t="shared" ca="1" si="82"/>
        <v>0</v>
      </c>
      <c r="H196" s="207">
        <f t="shared" ca="1" si="82"/>
        <v>0</v>
      </c>
      <c r="I196" s="234">
        <f t="shared" ca="1" si="82"/>
        <v>0</v>
      </c>
      <c r="J196" s="600">
        <f t="shared" ca="1" si="82"/>
        <v>-1968587.0556927405</v>
      </c>
      <c r="K196" s="232">
        <f t="shared" ca="1" si="82"/>
        <v>0</v>
      </c>
      <c r="L196" s="232">
        <f t="shared" ca="1" si="82"/>
        <v>0</v>
      </c>
      <c r="M196" s="207">
        <f t="shared" ca="1" si="82"/>
        <v>0</v>
      </c>
      <c r="N196" s="235">
        <f t="shared" ca="1" si="82"/>
        <v>0</v>
      </c>
    </row>
    <row r="197" spans="1:14" x14ac:dyDescent="0.25">
      <c r="A197" s="205">
        <f t="shared" si="72"/>
        <v>2023</v>
      </c>
      <c r="B197" s="207">
        <f t="shared" ref="B197:N197" ca="1" si="83">IF($C76="","",IF($C76&lt;0,0,IF(AND($C76=1,start_time&lt;1),-(SUM(B150)*output_kgyear*$E76*percnt_var*start_time+SUM(B150)*output_kgyear*$E76*(1-start_time)),IF($C76&lt;=start_time,-SUM(B150)*output_kgyear*$E76*percnt_var,-SUM(B150)*output_kgyear*$E76))))</f>
        <v>-112967027.99065728</v>
      </c>
      <c r="C197" s="207">
        <f t="shared" ca="1" si="83"/>
        <v>0</v>
      </c>
      <c r="D197" s="207">
        <f t="shared" ca="1" si="83"/>
        <v>0</v>
      </c>
      <c r="E197" s="234">
        <f t="shared" ca="1" si="83"/>
        <v>0</v>
      </c>
      <c r="F197" s="206">
        <f t="shared" ca="1" si="83"/>
        <v>-23333775.252468415</v>
      </c>
      <c r="G197" s="207">
        <f t="shared" ca="1" si="83"/>
        <v>0</v>
      </c>
      <c r="H197" s="207">
        <f t="shared" ca="1" si="83"/>
        <v>0</v>
      </c>
      <c r="I197" s="234">
        <f t="shared" ca="1" si="83"/>
        <v>0</v>
      </c>
      <c r="J197" s="600">
        <f t="shared" ca="1" si="83"/>
        <v>-2012347.9899621198</v>
      </c>
      <c r="K197" s="232">
        <f t="shared" ca="1" si="83"/>
        <v>0</v>
      </c>
      <c r="L197" s="232">
        <f t="shared" ca="1" si="83"/>
        <v>0</v>
      </c>
      <c r="M197" s="207">
        <f t="shared" ca="1" si="83"/>
        <v>0</v>
      </c>
      <c r="N197" s="235">
        <f t="shared" ca="1" si="83"/>
        <v>0</v>
      </c>
    </row>
    <row r="198" spans="1:14" x14ac:dyDescent="0.25">
      <c r="A198" s="205">
        <f t="shared" si="72"/>
        <v>2024</v>
      </c>
      <c r="B198" s="207">
        <f t="shared" ref="B198:N198" ca="1" si="84">IF($C77="","",IF($C77&lt;0,0,IF(AND($C77=1,start_time&lt;1),-(SUM(B151)*output_kgyear*$E77*percnt_var*start_time+SUM(B151)*output_kgyear*$E77*(1-start_time)),IF($C77&lt;=start_time,-SUM(B151)*output_kgyear*$E77*percnt_var,-SUM(B151)*output_kgyear*$E77))))</f>
        <v>-115124711.8159911</v>
      </c>
      <c r="C198" s="207">
        <f t="shared" ca="1" si="84"/>
        <v>0</v>
      </c>
      <c r="D198" s="207">
        <f t="shared" ca="1" si="84"/>
        <v>0</v>
      </c>
      <c r="E198" s="234">
        <f t="shared" ca="1" si="84"/>
        <v>0</v>
      </c>
      <c r="F198" s="206">
        <f t="shared" ca="1" si="84"/>
        <v>-23714436.645034578</v>
      </c>
      <c r="G198" s="207">
        <f t="shared" ca="1" si="84"/>
        <v>0</v>
      </c>
      <c r="H198" s="207">
        <f t="shared" ca="1" si="84"/>
        <v>0</v>
      </c>
      <c r="I198" s="234">
        <f t="shared" ca="1" si="84"/>
        <v>0</v>
      </c>
      <c r="J198" s="600">
        <f t="shared" ca="1" si="84"/>
        <v>-2045176.9334099086</v>
      </c>
      <c r="K198" s="232">
        <f t="shared" ca="1" si="84"/>
        <v>0</v>
      </c>
      <c r="L198" s="232">
        <f t="shared" ca="1" si="84"/>
        <v>0</v>
      </c>
      <c r="M198" s="207">
        <f t="shared" ca="1" si="84"/>
        <v>0</v>
      </c>
      <c r="N198" s="235">
        <f t="shared" ca="1" si="84"/>
        <v>0</v>
      </c>
    </row>
    <row r="199" spans="1:14" x14ac:dyDescent="0.25">
      <c r="A199" s="205">
        <f t="shared" si="72"/>
        <v>2025</v>
      </c>
      <c r="B199" s="207">
        <f t="shared" ref="B199:N199" ca="1" si="85">IF($C78="","",IF($C78&lt;0,0,IF(AND($C78=1,start_time&lt;1),-(SUM(B152)*output_kgyear*$E78*percnt_var*start_time+SUM(B152)*output_kgyear*$E78*(1-start_time)),IF($C78&lt;=start_time,-SUM(B152)*output_kgyear*$E78*percnt_var,-SUM(B152)*output_kgyear*$E78))))</f>
        <v>-117242628.23594682</v>
      </c>
      <c r="C199" s="207">
        <f t="shared" ca="1" si="85"/>
        <v>0</v>
      </c>
      <c r="D199" s="207">
        <f t="shared" ca="1" si="85"/>
        <v>0</v>
      </c>
      <c r="E199" s="234">
        <f t="shared" ca="1" si="85"/>
        <v>0</v>
      </c>
      <c r="F199" s="206">
        <f t="shared" ca="1" si="85"/>
        <v>-24745250.48477092</v>
      </c>
      <c r="G199" s="207">
        <f t="shared" ca="1" si="85"/>
        <v>0</v>
      </c>
      <c r="H199" s="207">
        <f t="shared" ca="1" si="85"/>
        <v>0</v>
      </c>
      <c r="I199" s="234">
        <f t="shared" ca="1" si="85"/>
        <v>0</v>
      </c>
      <c r="J199" s="600">
        <f t="shared" ca="1" si="85"/>
        <v>-2134076.2279293044</v>
      </c>
      <c r="K199" s="232">
        <f t="shared" ca="1" si="85"/>
        <v>0</v>
      </c>
      <c r="L199" s="232">
        <f t="shared" ca="1" si="85"/>
        <v>0</v>
      </c>
      <c r="M199" s="207">
        <f t="shared" ca="1" si="85"/>
        <v>0</v>
      </c>
      <c r="N199" s="235">
        <f t="shared" ca="1" si="85"/>
        <v>0</v>
      </c>
    </row>
    <row r="200" spans="1:14" x14ac:dyDescent="0.25">
      <c r="A200" s="205">
        <f t="shared" si="72"/>
        <v>2026</v>
      </c>
      <c r="B200" s="207">
        <f t="shared" ref="B200:N200" ca="1" si="86">IF($C79="","",IF($C79&lt;0,0,IF(AND($C79=1,start_time&lt;1),-(SUM(B153)*output_kgyear*$E79*percnt_var*start_time+SUM(B153)*output_kgyear*$E79*(1-start_time)),IF($C79&lt;=start_time,-SUM(B153)*output_kgyear*$E79*percnt_var,-SUM(B153)*output_kgyear*$E79))))</f>
        <v>-119392183.04924169</v>
      </c>
      <c r="C200" s="207">
        <f t="shared" ca="1" si="86"/>
        <v>0</v>
      </c>
      <c r="D200" s="207">
        <f t="shared" ca="1" si="86"/>
        <v>0</v>
      </c>
      <c r="E200" s="234">
        <f t="shared" ca="1" si="86"/>
        <v>0</v>
      </c>
      <c r="F200" s="206">
        <f t="shared" ca="1" si="86"/>
        <v>-25471483.078948148</v>
      </c>
      <c r="G200" s="207">
        <f t="shared" ca="1" si="86"/>
        <v>0</v>
      </c>
      <c r="H200" s="207">
        <f t="shared" ca="1" si="86"/>
        <v>0</v>
      </c>
      <c r="I200" s="234">
        <f t="shared" ca="1" si="86"/>
        <v>0</v>
      </c>
      <c r="J200" s="600">
        <f t="shared" ca="1" si="86"/>
        <v>-2196707.8717728313</v>
      </c>
      <c r="K200" s="232">
        <f t="shared" ca="1" si="86"/>
        <v>0</v>
      </c>
      <c r="L200" s="232">
        <f t="shared" ca="1" si="86"/>
        <v>0</v>
      </c>
      <c r="M200" s="207">
        <f t="shared" ca="1" si="86"/>
        <v>0</v>
      </c>
      <c r="N200" s="235">
        <f t="shared" ca="1" si="86"/>
        <v>0</v>
      </c>
    </row>
    <row r="201" spans="1:14" x14ac:dyDescent="0.25">
      <c r="A201" s="205">
        <f t="shared" si="72"/>
        <v>2027</v>
      </c>
      <c r="B201" s="207">
        <f t="shared" ref="B201:N201" ca="1" si="87">IF($C80="","",IF($C80&lt;0,0,IF(AND($C80=1,start_time&lt;1),-(SUM(B154)*output_kgyear*$E80*percnt_var*start_time+SUM(B154)*output_kgyear*$E80*(1-start_time)),IF($C80&lt;=start_time,-SUM(B154)*output_kgyear*$E80*percnt_var,-SUM(B154)*output_kgyear*$E80))))</f>
        <v>-121275015.49936453</v>
      </c>
      <c r="C201" s="207">
        <f t="shared" ca="1" si="87"/>
        <v>0</v>
      </c>
      <c r="D201" s="207">
        <f t="shared" ca="1" si="87"/>
        <v>0</v>
      </c>
      <c r="E201" s="234">
        <f t="shared" ca="1" si="87"/>
        <v>0</v>
      </c>
      <c r="F201" s="206">
        <f t="shared" ca="1" si="87"/>
        <v>-26104989.373018727</v>
      </c>
      <c r="G201" s="207">
        <f t="shared" ca="1" si="87"/>
        <v>0</v>
      </c>
      <c r="H201" s="207">
        <f t="shared" ca="1" si="87"/>
        <v>0</v>
      </c>
      <c r="I201" s="234">
        <f t="shared" ca="1" si="87"/>
        <v>0</v>
      </c>
      <c r="J201" s="600">
        <f t="shared" ca="1" si="87"/>
        <v>-2251342.627773853</v>
      </c>
      <c r="K201" s="232">
        <f t="shared" ca="1" si="87"/>
        <v>0</v>
      </c>
      <c r="L201" s="232">
        <f t="shared" ca="1" si="87"/>
        <v>0</v>
      </c>
      <c r="M201" s="207">
        <f t="shared" ca="1" si="87"/>
        <v>0</v>
      </c>
      <c r="N201" s="235">
        <f t="shared" ca="1" si="87"/>
        <v>0</v>
      </c>
    </row>
    <row r="202" spans="1:14" x14ac:dyDescent="0.25">
      <c r="A202" s="205">
        <f t="shared" si="72"/>
        <v>2028</v>
      </c>
      <c r="B202" s="207">
        <f t="shared" ref="B202:N202" ca="1" si="88">IF($C81="","",IF($C81&lt;0,0,IF(AND($C81=1,start_time&lt;1),-(SUM(B155)*output_kgyear*$E81*percnt_var*start_time+SUM(B155)*output_kgyear*$E81*(1-start_time)),IF($C81&lt;=start_time,-SUM(B155)*output_kgyear*$E81*percnt_var,-SUM(B155)*output_kgyear*$E81))))</f>
        <v>-123062111.56763035</v>
      </c>
      <c r="C202" s="207">
        <f t="shared" ca="1" si="88"/>
        <v>0</v>
      </c>
      <c r="D202" s="207">
        <f t="shared" ca="1" si="88"/>
        <v>0</v>
      </c>
      <c r="E202" s="234">
        <f t="shared" ca="1" si="88"/>
        <v>0</v>
      </c>
      <c r="F202" s="206">
        <f t="shared" ca="1" si="88"/>
        <v>-26773824.418172918</v>
      </c>
      <c r="G202" s="207">
        <f t="shared" ca="1" si="88"/>
        <v>0</v>
      </c>
      <c r="H202" s="207">
        <f t="shared" ca="1" si="88"/>
        <v>0</v>
      </c>
      <c r="I202" s="234">
        <f t="shared" ca="1" si="88"/>
        <v>0</v>
      </c>
      <c r="J202" s="600">
        <f t="shared" ca="1" si="88"/>
        <v>-2309024.2006942001</v>
      </c>
      <c r="K202" s="232">
        <f t="shared" ca="1" si="88"/>
        <v>0</v>
      </c>
      <c r="L202" s="232">
        <f t="shared" ca="1" si="88"/>
        <v>0</v>
      </c>
      <c r="M202" s="207">
        <f t="shared" ca="1" si="88"/>
        <v>0</v>
      </c>
      <c r="N202" s="235">
        <f t="shared" ca="1" si="88"/>
        <v>0</v>
      </c>
    </row>
    <row r="203" spans="1:14" x14ac:dyDescent="0.25">
      <c r="A203" s="205">
        <f t="shared" si="72"/>
        <v>2029</v>
      </c>
      <c r="B203" s="207">
        <f t="shared" ref="B203:N203" ca="1" si="89">IF($C82="","",IF($C82&lt;0,0,IF(AND($C82=1,start_time&lt;1),-(SUM(B156)*output_kgyear*$E82*percnt_var*start_time+SUM(B156)*output_kgyear*$E82*(1-start_time)),IF($C82&lt;=start_time,-SUM(B156)*output_kgyear*$E82*percnt_var,-SUM(B156)*output_kgyear*$E82))))</f>
        <v>-124781034.47131927</v>
      </c>
      <c r="C203" s="207">
        <f t="shared" ca="1" si="89"/>
        <v>0</v>
      </c>
      <c r="D203" s="207">
        <f t="shared" ca="1" si="89"/>
        <v>0</v>
      </c>
      <c r="E203" s="234">
        <f t="shared" ca="1" si="89"/>
        <v>0</v>
      </c>
      <c r="F203" s="206">
        <f t="shared" ca="1" si="89"/>
        <v>-27420901.597322196</v>
      </c>
      <c r="G203" s="207">
        <f t="shared" ca="1" si="89"/>
        <v>0</v>
      </c>
      <c r="H203" s="207">
        <f t="shared" ca="1" si="89"/>
        <v>0</v>
      </c>
      <c r="I203" s="234">
        <f t="shared" ca="1" si="89"/>
        <v>0</v>
      </c>
      <c r="J203" s="600">
        <f t="shared" ca="1" si="89"/>
        <v>-2364829.3349565463</v>
      </c>
      <c r="K203" s="232">
        <f t="shared" ca="1" si="89"/>
        <v>0</v>
      </c>
      <c r="L203" s="232">
        <f t="shared" ca="1" si="89"/>
        <v>0</v>
      </c>
      <c r="M203" s="207">
        <f t="shared" ca="1" si="89"/>
        <v>0</v>
      </c>
      <c r="N203" s="235">
        <f t="shared" ca="1" si="89"/>
        <v>0</v>
      </c>
    </row>
    <row r="204" spans="1:14" x14ac:dyDescent="0.25">
      <c r="A204" s="205">
        <f t="shared" si="72"/>
        <v>2030</v>
      </c>
      <c r="B204" s="207">
        <f t="shared" ref="B204:N204" ca="1" si="90">IF($C83="","",IF($C83&lt;0,0,IF(AND($C83=1,start_time&lt;1),-(SUM(B157)*output_kgyear*$E83*percnt_var*start_time+SUM(B157)*output_kgyear*$E83*(1-start_time)),IF($C83&lt;=start_time,-SUM(B157)*output_kgyear*$E83*percnt_var,-SUM(B157)*output_kgyear*$E83))))</f>
        <v>-127013913.85265982</v>
      </c>
      <c r="C204" s="207">
        <f t="shared" ca="1" si="90"/>
        <v>0</v>
      </c>
      <c r="D204" s="207">
        <f t="shared" ca="1" si="90"/>
        <v>0</v>
      </c>
      <c r="E204" s="234">
        <f t="shared" ca="1" si="90"/>
        <v>0</v>
      </c>
      <c r="F204" s="206">
        <f t="shared" ca="1" si="90"/>
        <v>-28039858.743637912</v>
      </c>
      <c r="G204" s="207">
        <f t="shared" ca="1" si="90"/>
        <v>0</v>
      </c>
      <c r="H204" s="207">
        <f t="shared" ca="1" si="90"/>
        <v>0</v>
      </c>
      <c r="I204" s="234">
        <f t="shared" ca="1" si="90"/>
        <v>0</v>
      </c>
      <c r="J204" s="600">
        <f t="shared" ca="1" si="90"/>
        <v>-2418209.3455113904</v>
      </c>
      <c r="K204" s="232">
        <f t="shared" ca="1" si="90"/>
        <v>0</v>
      </c>
      <c r="L204" s="232">
        <f t="shared" ca="1" si="90"/>
        <v>0</v>
      </c>
      <c r="M204" s="207">
        <f t="shared" ca="1" si="90"/>
        <v>0</v>
      </c>
      <c r="N204" s="235">
        <f t="shared" ca="1" si="90"/>
        <v>0</v>
      </c>
    </row>
    <row r="205" spans="1:14" x14ac:dyDescent="0.25">
      <c r="A205" s="205">
        <f t="shared" si="72"/>
        <v>2031</v>
      </c>
      <c r="B205" s="207">
        <f t="shared" ref="B205:N205" ca="1" si="91">IF($C84="","",IF($C84&lt;0,0,IF(AND($C84=1,start_time&lt;1),-(SUM(B158)*output_kgyear*$E84*percnt_var*start_time+SUM(B158)*output_kgyear*$E84*(1-start_time)),IF($C84&lt;=start_time,-SUM(B158)*output_kgyear*$E84*percnt_var,-SUM(B158)*output_kgyear*$E84))))</f>
        <v>-129466507.23394915</v>
      </c>
      <c r="C205" s="207">
        <f t="shared" ca="1" si="91"/>
        <v>0</v>
      </c>
      <c r="D205" s="207">
        <f t="shared" ca="1" si="91"/>
        <v>0</v>
      </c>
      <c r="E205" s="234">
        <f t="shared" ca="1" si="91"/>
        <v>0</v>
      </c>
      <c r="F205" s="206">
        <f t="shared" ca="1" si="91"/>
        <v>-28608813.406773534</v>
      </c>
      <c r="G205" s="207">
        <f t="shared" ca="1" si="91"/>
        <v>0</v>
      </c>
      <c r="H205" s="207">
        <f t="shared" ca="1" si="91"/>
        <v>0</v>
      </c>
      <c r="I205" s="234">
        <f t="shared" ca="1" si="91"/>
        <v>0</v>
      </c>
      <c r="J205" s="600">
        <f t="shared" ca="1" si="91"/>
        <v>-2467277.04931639</v>
      </c>
      <c r="K205" s="232">
        <f t="shared" ca="1" si="91"/>
        <v>0</v>
      </c>
      <c r="L205" s="232">
        <f t="shared" ca="1" si="91"/>
        <v>0</v>
      </c>
      <c r="M205" s="207">
        <f t="shared" ca="1" si="91"/>
        <v>0</v>
      </c>
      <c r="N205" s="235">
        <f t="shared" ca="1" si="91"/>
        <v>0</v>
      </c>
    </row>
    <row r="206" spans="1:14" x14ac:dyDescent="0.25">
      <c r="A206" s="205">
        <f t="shared" si="72"/>
        <v>2032</v>
      </c>
      <c r="B206" s="207">
        <f t="shared" ref="B206:N206" ca="1" si="92">IF($C85="","",IF($C85&lt;0,0,IF(AND($C85=1,start_time&lt;1),-(SUM(B159)*output_kgyear*$E85*percnt_var*start_time+SUM(B159)*output_kgyear*$E85*(1-start_time)),IF($C85&lt;=start_time,-SUM(B159)*output_kgyear*$E85*percnt_var,-SUM(B159)*output_kgyear*$E85))))</f>
        <v>-132115326.46265835</v>
      </c>
      <c r="C206" s="207">
        <f t="shared" ca="1" si="92"/>
        <v>0</v>
      </c>
      <c r="D206" s="207">
        <f t="shared" ca="1" si="92"/>
        <v>0</v>
      </c>
      <c r="E206" s="234">
        <f t="shared" ca="1" si="92"/>
        <v>0</v>
      </c>
      <c r="F206" s="206">
        <f t="shared" ca="1" si="92"/>
        <v>-29085869.935263</v>
      </c>
      <c r="G206" s="207">
        <f t="shared" ca="1" si="92"/>
        <v>0</v>
      </c>
      <c r="H206" s="207">
        <f t="shared" ca="1" si="92"/>
        <v>0</v>
      </c>
      <c r="I206" s="234">
        <f t="shared" ca="1" si="92"/>
        <v>0</v>
      </c>
      <c r="J206" s="600">
        <f t="shared" ca="1" si="92"/>
        <v>-2508419.2878018883</v>
      </c>
      <c r="K206" s="232">
        <f t="shared" ca="1" si="92"/>
        <v>0</v>
      </c>
      <c r="L206" s="232">
        <f t="shared" ca="1" si="92"/>
        <v>0</v>
      </c>
      <c r="M206" s="207">
        <f t="shared" ca="1" si="92"/>
        <v>0</v>
      </c>
      <c r="N206" s="235">
        <f t="shared" ca="1" si="92"/>
        <v>0</v>
      </c>
    </row>
    <row r="207" spans="1:14" x14ac:dyDescent="0.25">
      <c r="A207" s="205">
        <f t="shared" si="72"/>
        <v>2033</v>
      </c>
      <c r="B207" s="207">
        <f t="shared" ref="B207:N207" ca="1" si="93">IF($C86="","",IF($C86&lt;0,0,IF(AND($C86=1,start_time&lt;1),-(SUM(B160)*output_kgyear*$E86*percnt_var*start_time+SUM(B160)*output_kgyear*$E86*(1-start_time)),IF($C86&lt;=start_time,-SUM(B160)*output_kgyear*$E86*percnt_var,-SUM(B160)*output_kgyear*$E86))))</f>
        <v>-134948357.96769586</v>
      </c>
      <c r="C207" s="207">
        <f t="shared" ca="1" si="93"/>
        <v>0</v>
      </c>
      <c r="D207" s="207">
        <f t="shared" ca="1" si="93"/>
        <v>0</v>
      </c>
      <c r="E207" s="234">
        <f t="shared" ca="1" si="93"/>
        <v>0</v>
      </c>
      <c r="F207" s="206">
        <f t="shared" ca="1" si="93"/>
        <v>-29532561.79098621</v>
      </c>
      <c r="G207" s="207">
        <f t="shared" ca="1" si="93"/>
        <v>0</v>
      </c>
      <c r="H207" s="207">
        <f t="shared" ca="1" si="93"/>
        <v>0</v>
      </c>
      <c r="I207" s="234">
        <f t="shared" ca="1" si="93"/>
        <v>0</v>
      </c>
      <c r="J207" s="600">
        <f t="shared" ca="1" si="93"/>
        <v>-2546942.820675205</v>
      </c>
      <c r="K207" s="232">
        <f t="shared" ca="1" si="93"/>
        <v>0</v>
      </c>
      <c r="L207" s="232">
        <f t="shared" ca="1" si="93"/>
        <v>0</v>
      </c>
      <c r="M207" s="207">
        <f t="shared" ca="1" si="93"/>
        <v>0</v>
      </c>
      <c r="N207" s="235">
        <f t="shared" ca="1" si="93"/>
        <v>0</v>
      </c>
    </row>
    <row r="208" spans="1:14" x14ac:dyDescent="0.25">
      <c r="A208" s="205">
        <f t="shared" si="72"/>
        <v>2034</v>
      </c>
      <c r="B208" s="207">
        <f t="shared" ref="B208:N208" ca="1" si="94">IF($C87="","",IF($C87&lt;0,0,IF(AND($C87=1,start_time&lt;1),-(SUM(B161)*output_kgyear*$E87*percnt_var*start_time+SUM(B161)*output_kgyear*$E87*(1-start_time)),IF($C87&lt;=start_time,-SUM(B161)*output_kgyear*$E87*percnt_var,-SUM(B161)*output_kgyear*$E87))))</f>
        <v>-138214323.67580751</v>
      </c>
      <c r="C208" s="207">
        <f t="shared" ca="1" si="94"/>
        <v>0</v>
      </c>
      <c r="D208" s="207">
        <f t="shared" ca="1" si="94"/>
        <v>0</v>
      </c>
      <c r="E208" s="234">
        <f t="shared" ca="1" si="94"/>
        <v>0</v>
      </c>
      <c r="F208" s="206">
        <f t="shared" ca="1" si="94"/>
        <v>-30006219.344556496</v>
      </c>
      <c r="G208" s="207">
        <f t="shared" ca="1" si="94"/>
        <v>0</v>
      </c>
      <c r="H208" s="207">
        <f t="shared" ca="1" si="94"/>
        <v>0</v>
      </c>
      <c r="I208" s="234">
        <f t="shared" ca="1" si="94"/>
        <v>0</v>
      </c>
      <c r="J208" s="600">
        <f t="shared" ca="1" si="94"/>
        <v>-2587791.925269058</v>
      </c>
      <c r="K208" s="232">
        <f t="shared" ca="1" si="94"/>
        <v>0</v>
      </c>
      <c r="L208" s="232">
        <f t="shared" ca="1" si="94"/>
        <v>0</v>
      </c>
      <c r="M208" s="207">
        <f t="shared" ca="1" si="94"/>
        <v>0</v>
      </c>
      <c r="N208" s="235">
        <f t="shared" ca="1" si="94"/>
        <v>0</v>
      </c>
    </row>
    <row r="209" spans="1:14" x14ac:dyDescent="0.25">
      <c r="A209" s="205">
        <f t="shared" si="72"/>
        <v>2035</v>
      </c>
      <c r="B209" s="207">
        <f t="shared" ref="B209:N209" ca="1" si="95">IF($C88="","",IF($C88&lt;0,0,IF(AND($C88=1,start_time&lt;1),-(SUM(B162)*output_kgyear*$E88*percnt_var*start_time+SUM(B162)*output_kgyear*$E88*(1-start_time)),IF($C88&lt;=start_time,-SUM(B162)*output_kgyear*$E88*percnt_var,-SUM(B162)*output_kgyear*$E88))))</f>
        <v>-141142693.48797289</v>
      </c>
      <c r="C209" s="207">
        <f t="shared" ca="1" si="95"/>
        <v>0</v>
      </c>
      <c r="D209" s="207">
        <f t="shared" ca="1" si="95"/>
        <v>0</v>
      </c>
      <c r="E209" s="234">
        <f t="shared" ca="1" si="95"/>
        <v>0</v>
      </c>
      <c r="F209" s="206">
        <f t="shared" ca="1" si="95"/>
        <v>-30684456.032325484</v>
      </c>
      <c r="G209" s="207">
        <f t="shared" ca="1" si="95"/>
        <v>0</v>
      </c>
      <c r="H209" s="207">
        <f t="shared" ca="1" si="95"/>
        <v>0</v>
      </c>
      <c r="I209" s="234">
        <f t="shared" ca="1" si="95"/>
        <v>0</v>
      </c>
      <c r="J209" s="600">
        <f t="shared" ca="1" si="95"/>
        <v>-2646284.3132595574</v>
      </c>
      <c r="K209" s="232">
        <f t="shared" ca="1" si="95"/>
        <v>0</v>
      </c>
      <c r="L209" s="232">
        <f t="shared" ca="1" si="95"/>
        <v>0</v>
      </c>
      <c r="M209" s="207">
        <f t="shared" ca="1" si="95"/>
        <v>0</v>
      </c>
      <c r="N209" s="235">
        <f t="shared" ca="1" si="95"/>
        <v>0</v>
      </c>
    </row>
    <row r="210" spans="1:14" x14ac:dyDescent="0.25">
      <c r="A210" s="205">
        <f t="shared" si="72"/>
        <v>2036</v>
      </c>
      <c r="B210" s="207">
        <f t="shared" ref="B210:N210" ca="1" si="96">IF($C89="","",IF($C89&lt;0,0,IF(AND($C89=1,start_time&lt;1),-(SUM(B163)*output_kgyear*$E89*percnt_var*start_time+SUM(B163)*output_kgyear*$E89*(1-start_time)),IF($C89&lt;=start_time,-SUM(B163)*output_kgyear*$E89*percnt_var,-SUM(B163)*output_kgyear*$E89))))</f>
        <v>-144852096.36814529</v>
      </c>
      <c r="C210" s="207">
        <f t="shared" ca="1" si="96"/>
        <v>0</v>
      </c>
      <c r="D210" s="207">
        <f t="shared" ca="1" si="96"/>
        <v>0</v>
      </c>
      <c r="E210" s="234">
        <f t="shared" ca="1" si="96"/>
        <v>0</v>
      </c>
      <c r="F210" s="206">
        <f t="shared" ca="1" si="96"/>
        <v>-31381146.20813372</v>
      </c>
      <c r="G210" s="207">
        <f t="shared" ca="1" si="96"/>
        <v>0</v>
      </c>
      <c r="H210" s="207">
        <f t="shared" ca="1" si="96"/>
        <v>0</v>
      </c>
      <c r="I210" s="234">
        <f t="shared" ca="1" si="96"/>
        <v>0</v>
      </c>
      <c r="J210" s="600">
        <f t="shared" ca="1" si="96"/>
        <v>-2706368.1642328692</v>
      </c>
      <c r="K210" s="232">
        <f t="shared" ca="1" si="96"/>
        <v>0</v>
      </c>
      <c r="L210" s="232">
        <f t="shared" ca="1" si="96"/>
        <v>0</v>
      </c>
      <c r="M210" s="207">
        <f t="shared" ca="1" si="96"/>
        <v>0</v>
      </c>
      <c r="N210" s="235">
        <f t="shared" ca="1" si="96"/>
        <v>0</v>
      </c>
    </row>
    <row r="211" spans="1:14" x14ac:dyDescent="0.25">
      <c r="A211" s="205">
        <f t="shared" si="72"/>
        <v>2037</v>
      </c>
      <c r="B211" s="207">
        <f t="shared" ref="B211:N211" ca="1" si="97">IF($C90="","",IF($C90&lt;0,0,IF(AND($C90=1,start_time&lt;1),-(SUM(B164)*output_kgyear*$E90*percnt_var*start_time+SUM(B164)*output_kgyear*$E90*(1-start_time)),IF($C90&lt;=start_time,-SUM(B164)*output_kgyear*$E90*percnt_var,-SUM(B164)*output_kgyear*$E90))))</f>
        <v>-147795171.15804785</v>
      </c>
      <c r="C211" s="207">
        <f t="shared" ca="1" si="97"/>
        <v>0</v>
      </c>
      <c r="D211" s="207">
        <f t="shared" ca="1" si="97"/>
        <v>0</v>
      </c>
      <c r="E211" s="234">
        <f t="shared" ca="1" si="97"/>
        <v>0</v>
      </c>
      <c r="F211" s="206">
        <f t="shared" ca="1" si="97"/>
        <v>-31953210.001238346</v>
      </c>
      <c r="G211" s="207">
        <f t="shared" ca="1" si="97"/>
        <v>0</v>
      </c>
      <c r="H211" s="207">
        <f t="shared" ca="1" si="97"/>
        <v>0</v>
      </c>
      <c r="I211" s="234">
        <f t="shared" ca="1" si="97"/>
        <v>0</v>
      </c>
      <c r="J211" s="600">
        <f t="shared" ca="1" si="97"/>
        <v>-2755704.0051642423</v>
      </c>
      <c r="K211" s="232">
        <f t="shared" ca="1" si="97"/>
        <v>0</v>
      </c>
      <c r="L211" s="232">
        <f t="shared" ca="1" si="97"/>
        <v>0</v>
      </c>
      <c r="M211" s="207">
        <f t="shared" ca="1" si="97"/>
        <v>0</v>
      </c>
      <c r="N211" s="235">
        <f t="shared" ca="1" si="97"/>
        <v>0</v>
      </c>
    </row>
    <row r="212" spans="1:14" x14ac:dyDescent="0.25">
      <c r="A212" s="205">
        <f t="shared" si="72"/>
        <v>2038</v>
      </c>
      <c r="B212" s="207">
        <f t="shared" ref="B212:N212" ca="1" si="98">IF($C91="","",IF($C91&lt;0,0,IF(AND($C91=1,start_time&lt;1),-(SUM(B165)*output_kgyear*$E91*percnt_var*start_time+SUM(B165)*output_kgyear*$E91*(1-start_time)),IF($C91&lt;=start_time,-SUM(B165)*output_kgyear*$E91*percnt_var,-SUM(B165)*output_kgyear*$E91))))</f>
        <v>-151164766.63353547</v>
      </c>
      <c r="C212" s="207">
        <f t="shared" ca="1" si="98"/>
        <v>0</v>
      </c>
      <c r="D212" s="207">
        <f t="shared" ca="1" si="98"/>
        <v>0</v>
      </c>
      <c r="E212" s="234">
        <f t="shared" ca="1" si="98"/>
        <v>0</v>
      </c>
      <c r="F212" s="206">
        <f t="shared" ca="1" si="98"/>
        <v>-32567553.061372191</v>
      </c>
      <c r="G212" s="207">
        <f t="shared" ca="1" si="98"/>
        <v>0</v>
      </c>
      <c r="H212" s="207">
        <f t="shared" ca="1" si="98"/>
        <v>0</v>
      </c>
      <c r="I212" s="234">
        <f t="shared" ca="1" si="98"/>
        <v>0</v>
      </c>
      <c r="J212" s="600">
        <f t="shared" ca="1" si="98"/>
        <v>-2808686.0883818627</v>
      </c>
      <c r="K212" s="232">
        <f t="shared" ca="1" si="98"/>
        <v>0</v>
      </c>
      <c r="L212" s="232">
        <f t="shared" ca="1" si="98"/>
        <v>0</v>
      </c>
      <c r="M212" s="207">
        <f t="shared" ca="1" si="98"/>
        <v>0</v>
      </c>
      <c r="N212" s="235">
        <f t="shared" ca="1" si="98"/>
        <v>0</v>
      </c>
    </row>
    <row r="213" spans="1:14" x14ac:dyDescent="0.25">
      <c r="A213" s="205">
        <f t="shared" si="72"/>
        <v>2039</v>
      </c>
      <c r="B213" s="207">
        <f t="shared" ref="B213:N213" ca="1" si="99">IF($C92="","",IF($C92&lt;0,0,IF(AND($C92=1,start_time&lt;1),-(SUM(B166)*output_kgyear*$E92*percnt_var*start_time+SUM(B166)*output_kgyear*$E92*(1-start_time)),IF($C92&lt;=start_time,-SUM(B166)*output_kgyear*$E92*percnt_var,-SUM(B166)*output_kgyear*$E92))))</f>
        <v>-154463508.37827903</v>
      </c>
      <c r="C213" s="207">
        <f t="shared" ca="1" si="99"/>
        <v>0</v>
      </c>
      <c r="D213" s="207">
        <f t="shared" ca="1" si="99"/>
        <v>0</v>
      </c>
      <c r="E213" s="234">
        <f t="shared" ca="1" si="99"/>
        <v>0</v>
      </c>
      <c r="F213" s="206">
        <f t="shared" ca="1" si="99"/>
        <v>-33212020.472980514</v>
      </c>
      <c r="G213" s="207">
        <f t="shared" ca="1" si="99"/>
        <v>0</v>
      </c>
      <c r="H213" s="207">
        <f t="shared" ca="1" si="99"/>
        <v>0</v>
      </c>
      <c r="I213" s="234">
        <f t="shared" ca="1" si="99"/>
        <v>0</v>
      </c>
      <c r="J213" s="600">
        <f t="shared" ca="1" si="99"/>
        <v>-2864266.1514584064</v>
      </c>
      <c r="K213" s="232">
        <f t="shared" ca="1" si="99"/>
        <v>0</v>
      </c>
      <c r="L213" s="232">
        <f t="shared" ca="1" si="99"/>
        <v>0</v>
      </c>
      <c r="M213" s="207">
        <f t="shared" ca="1" si="99"/>
        <v>0</v>
      </c>
      <c r="N213" s="235">
        <f t="shared" ca="1" si="99"/>
        <v>0</v>
      </c>
    </row>
    <row r="214" spans="1:14" x14ac:dyDescent="0.25">
      <c r="A214" s="205">
        <f t="shared" si="72"/>
        <v>2040</v>
      </c>
      <c r="B214" s="207">
        <f t="shared" ref="B214:N214" ca="1" si="100">IF($C93="","",IF($C93&lt;0,0,IF(AND($C93=1,start_time&lt;1),-(SUM(B167)*output_kgyear*$E93*percnt_var*start_time+SUM(B167)*output_kgyear*$E93*(1-start_time)),IF($C93&lt;=start_time,-SUM(B167)*output_kgyear*$E93*percnt_var,-SUM(B167)*output_kgyear*$E93))))</f>
        <v>-158316740.19416234</v>
      </c>
      <c r="C214" s="207">
        <f t="shared" ca="1" si="100"/>
        <v>0</v>
      </c>
      <c r="D214" s="207">
        <f t="shared" ca="1" si="100"/>
        <v>0</v>
      </c>
      <c r="E214" s="234">
        <f t="shared" ca="1" si="100"/>
        <v>0</v>
      </c>
      <c r="F214" s="206">
        <f t="shared" ca="1" si="100"/>
        <v>-33763695.810949787</v>
      </c>
      <c r="G214" s="207">
        <f t="shared" ca="1" si="100"/>
        <v>0</v>
      </c>
      <c r="H214" s="207">
        <f t="shared" ca="1" si="100"/>
        <v>0</v>
      </c>
      <c r="I214" s="234">
        <f t="shared" ca="1" si="100"/>
        <v>0</v>
      </c>
      <c r="J214" s="600">
        <f t="shared" ca="1" si="100"/>
        <v>-2911843.6542612026</v>
      </c>
      <c r="K214" s="232">
        <f t="shared" ca="1" si="100"/>
        <v>0</v>
      </c>
      <c r="L214" s="232">
        <f t="shared" ca="1" si="100"/>
        <v>0</v>
      </c>
      <c r="M214" s="207">
        <f t="shared" ca="1" si="100"/>
        <v>0</v>
      </c>
      <c r="N214" s="235">
        <f t="shared" ca="1" si="100"/>
        <v>0</v>
      </c>
    </row>
    <row r="215" spans="1:14" x14ac:dyDescent="0.25">
      <c r="A215" s="205">
        <f t="shared" si="72"/>
        <v>2041</v>
      </c>
      <c r="B215" s="207">
        <f t="shared" ref="B215:N215" ca="1" si="101">IF($C94="","",IF($C94&lt;0,0,IF(AND($C94=1,start_time&lt;1),-(SUM(B168)*output_kgyear*$E94*percnt_var*start_time+SUM(B168)*output_kgyear*$E94*(1-start_time)),IF($C94&lt;=start_time,-SUM(B168)*output_kgyear*$E94*percnt_var,-SUM(B168)*output_kgyear*$E94))))</f>
        <v>-161404674.92941689</v>
      </c>
      <c r="C215" s="207">
        <f t="shared" ca="1" si="101"/>
        <v>0</v>
      </c>
      <c r="D215" s="207">
        <f t="shared" ca="1" si="101"/>
        <v>0</v>
      </c>
      <c r="E215" s="234">
        <f t="shared" ca="1" si="101"/>
        <v>0</v>
      </c>
      <c r="F215" s="206">
        <f t="shared" ca="1" si="101"/>
        <v>-34304022.66768121</v>
      </c>
      <c r="G215" s="207">
        <f t="shared" ca="1" si="101"/>
        <v>0</v>
      </c>
      <c r="H215" s="207">
        <f t="shared" ca="1" si="101"/>
        <v>0</v>
      </c>
      <c r="I215" s="234">
        <f t="shared" ca="1" si="101"/>
        <v>0</v>
      </c>
      <c r="J215" s="600">
        <f t="shared" ca="1" si="101"/>
        <v>-2958442.4430256141</v>
      </c>
      <c r="K215" s="232">
        <f t="shared" ca="1" si="101"/>
        <v>0</v>
      </c>
      <c r="L215" s="232">
        <f t="shared" ca="1" si="101"/>
        <v>0</v>
      </c>
      <c r="M215" s="207">
        <f t="shared" ca="1" si="101"/>
        <v>0</v>
      </c>
      <c r="N215" s="235">
        <f t="shared" ca="1" si="101"/>
        <v>0</v>
      </c>
    </row>
    <row r="216" spans="1:14" x14ac:dyDescent="0.25">
      <c r="A216" s="205">
        <f t="shared" si="72"/>
        <v>2042</v>
      </c>
      <c r="B216" s="207">
        <f t="shared" ref="B216:N216" ca="1" si="102">IF($C95="","",IF($C95&lt;0,0,IF(AND($C95=1,start_time&lt;1),-(SUM(B169)*output_kgyear*$E95*percnt_var*start_time+SUM(B169)*output_kgyear*$E95*(1-start_time)),IF($C95&lt;=start_time,-SUM(B169)*output_kgyear*$E95*percnt_var,-SUM(B169)*output_kgyear*$E95))))</f>
        <v>-164502343.73986849</v>
      </c>
      <c r="C216" s="207">
        <f t="shared" ca="1" si="102"/>
        <v>0</v>
      </c>
      <c r="D216" s="207">
        <f t="shared" ca="1" si="102"/>
        <v>0</v>
      </c>
      <c r="E216" s="234">
        <f t="shared" ca="1" si="102"/>
        <v>0</v>
      </c>
      <c r="F216" s="206">
        <f t="shared" ca="1" si="102"/>
        <v>-34996342.461739063</v>
      </c>
      <c r="G216" s="207">
        <f t="shared" ca="1" si="102"/>
        <v>0</v>
      </c>
      <c r="H216" s="207">
        <f t="shared" ca="1" si="102"/>
        <v>0</v>
      </c>
      <c r="I216" s="234">
        <f t="shared" ca="1" si="102"/>
        <v>0</v>
      </c>
      <c r="J216" s="600">
        <f t="shared" ca="1" si="102"/>
        <v>-3018149.3841831936</v>
      </c>
      <c r="K216" s="232">
        <f t="shared" ca="1" si="102"/>
        <v>0</v>
      </c>
      <c r="L216" s="232">
        <f t="shared" ca="1" si="102"/>
        <v>0</v>
      </c>
      <c r="M216" s="207">
        <f t="shared" ca="1" si="102"/>
        <v>0</v>
      </c>
      <c r="N216" s="235">
        <f t="shared" ca="1" si="102"/>
        <v>0</v>
      </c>
    </row>
    <row r="217" spans="1:14" x14ac:dyDescent="0.25">
      <c r="A217" s="205">
        <f t="shared" si="72"/>
        <v>2043</v>
      </c>
      <c r="B217" s="207">
        <f t="shared" ref="B217:N217" ca="1" si="103">IF($C96="","",IF($C96&lt;0,0,IF(AND($C96=1,start_time&lt;1),-(SUM(B170)*output_kgyear*$E96*percnt_var*start_time+SUM(B170)*output_kgyear*$E96*(1-start_time)),IF($C96&lt;=start_time,-SUM(B170)*output_kgyear*$E96*percnt_var,-SUM(B170)*output_kgyear*$E96))))</f>
        <v>-167980722.18207237</v>
      </c>
      <c r="C217" s="207">
        <f t="shared" ca="1" si="103"/>
        <v>0</v>
      </c>
      <c r="D217" s="207">
        <f t="shared" ca="1" si="103"/>
        <v>0</v>
      </c>
      <c r="E217" s="234">
        <f t="shared" ca="1" si="103"/>
        <v>0</v>
      </c>
      <c r="F217" s="206">
        <f t="shared" ca="1" si="103"/>
        <v>-35770103.328111514</v>
      </c>
      <c r="G217" s="207">
        <f t="shared" ca="1" si="103"/>
        <v>0</v>
      </c>
      <c r="H217" s="207">
        <f t="shared" ca="1" si="103"/>
        <v>0</v>
      </c>
      <c r="I217" s="234">
        <f t="shared" ca="1" si="103"/>
        <v>0</v>
      </c>
      <c r="J217" s="600">
        <f t="shared" ca="1" si="103"/>
        <v>-3084879.9542392008</v>
      </c>
      <c r="K217" s="232">
        <f t="shared" ca="1" si="103"/>
        <v>0</v>
      </c>
      <c r="L217" s="232">
        <f t="shared" ca="1" si="103"/>
        <v>0</v>
      </c>
      <c r="M217" s="207">
        <f t="shared" ca="1" si="103"/>
        <v>0</v>
      </c>
      <c r="N217" s="235">
        <f t="shared" ca="1" si="103"/>
        <v>0</v>
      </c>
    </row>
    <row r="218" spans="1:14" x14ac:dyDescent="0.25">
      <c r="A218" s="205">
        <f t="shared" si="72"/>
        <v>2044</v>
      </c>
      <c r="B218" s="207">
        <f t="shared" ref="B218:N218" ca="1" si="104">IF($C97="","",IF($C97&lt;0,0,IF(AND($C97=1,start_time&lt;1),-(SUM(B171)*output_kgyear*$E97*percnt_var*start_time+SUM(B171)*output_kgyear*$E97*(1-start_time)),IF($C97&lt;=start_time,-SUM(B171)*output_kgyear*$E97*percnt_var,-SUM(B171)*output_kgyear*$E97))))</f>
        <v>-171141482.86568317</v>
      </c>
      <c r="C218" s="207">
        <f t="shared" ca="1" si="104"/>
        <v>0</v>
      </c>
      <c r="D218" s="207">
        <f t="shared" ca="1" si="104"/>
        <v>0</v>
      </c>
      <c r="E218" s="234">
        <f t="shared" ca="1" si="104"/>
        <v>0</v>
      </c>
      <c r="F218" s="206">
        <f t="shared" ca="1" si="104"/>
        <v>-36587073.344048768</v>
      </c>
      <c r="G218" s="207">
        <f t="shared" ca="1" si="104"/>
        <v>0</v>
      </c>
      <c r="H218" s="207">
        <f t="shared" ca="1" si="104"/>
        <v>0</v>
      </c>
      <c r="I218" s="234">
        <f t="shared" ca="1" si="104"/>
        <v>0</v>
      </c>
      <c r="J218" s="600">
        <f t="shared" ca="1" si="104"/>
        <v>-3155336.9613733855</v>
      </c>
      <c r="K218" s="232">
        <f t="shared" ca="1" si="104"/>
        <v>0</v>
      </c>
      <c r="L218" s="232">
        <f t="shared" ca="1" si="104"/>
        <v>0</v>
      </c>
      <c r="M218" s="207">
        <f t="shared" ca="1" si="104"/>
        <v>0</v>
      </c>
      <c r="N218" s="235">
        <f t="shared" ca="1" si="104"/>
        <v>0</v>
      </c>
    </row>
    <row r="219" spans="1:14" x14ac:dyDescent="0.25">
      <c r="A219" s="205" t="str">
        <f t="shared" si="72"/>
        <v/>
      </c>
      <c r="B219" s="207" t="str">
        <f t="shared" ref="B219:N219" si="105">IF($C98="","",IF($C98&lt;0,0,IF(AND($C98=1,start_time&lt;1),-(SUM(B172)*output_kgyear*$E98*percnt_var*start_time+SUM(B172)*output_kgyear*$E98*(1-start_time)),IF($C98&lt;=start_time,-SUM(B172)*output_kgyear*$E98*percnt_var,-SUM(B172)*output_kgyear*$E98))))</f>
        <v/>
      </c>
      <c r="C219" s="207" t="str">
        <f t="shared" si="105"/>
        <v/>
      </c>
      <c r="D219" s="207" t="str">
        <f t="shared" si="105"/>
        <v/>
      </c>
      <c r="E219" s="234" t="str">
        <f t="shared" si="105"/>
        <v/>
      </c>
      <c r="F219" s="206" t="str">
        <f t="shared" si="105"/>
        <v/>
      </c>
      <c r="G219" s="207" t="str">
        <f t="shared" si="105"/>
        <v/>
      </c>
      <c r="H219" s="207" t="str">
        <f t="shared" si="105"/>
        <v/>
      </c>
      <c r="I219" s="234" t="str">
        <f t="shared" si="105"/>
        <v/>
      </c>
      <c r="J219" s="600" t="str">
        <f t="shared" si="105"/>
        <v/>
      </c>
      <c r="K219" s="232" t="str">
        <f t="shared" si="105"/>
        <v/>
      </c>
      <c r="L219" s="232" t="str">
        <f t="shared" si="105"/>
        <v/>
      </c>
      <c r="M219" s="207" t="str">
        <f t="shared" si="105"/>
        <v/>
      </c>
      <c r="N219" s="235" t="str">
        <f t="shared" si="105"/>
        <v/>
      </c>
    </row>
    <row r="220" spans="1:14" x14ac:dyDescent="0.25">
      <c r="A220" s="205" t="str">
        <f t="shared" si="72"/>
        <v/>
      </c>
      <c r="B220" s="207" t="str">
        <f t="shared" ref="B220:N220" si="106">IF($C99="","",IF($C99&lt;0,0,IF(AND($C99=1,start_time&lt;1),-(SUM(B173)*output_kgyear*$E99*percnt_var*start_time+SUM(B173)*output_kgyear*$E99*(1-start_time)),IF($C99&lt;=start_time,-SUM(B173)*output_kgyear*$E99*percnt_var,-SUM(B173)*output_kgyear*$E99))))</f>
        <v/>
      </c>
      <c r="C220" s="207" t="str">
        <f t="shared" si="106"/>
        <v/>
      </c>
      <c r="D220" s="207" t="str">
        <f t="shared" si="106"/>
        <v/>
      </c>
      <c r="E220" s="234" t="str">
        <f t="shared" si="106"/>
        <v/>
      </c>
      <c r="F220" s="206" t="str">
        <f t="shared" si="106"/>
        <v/>
      </c>
      <c r="G220" s="207" t="str">
        <f t="shared" si="106"/>
        <v/>
      </c>
      <c r="H220" s="207" t="str">
        <f t="shared" si="106"/>
        <v/>
      </c>
      <c r="I220" s="234" t="str">
        <f t="shared" si="106"/>
        <v/>
      </c>
      <c r="J220" s="600" t="str">
        <f t="shared" si="106"/>
        <v/>
      </c>
      <c r="K220" s="232" t="str">
        <f t="shared" si="106"/>
        <v/>
      </c>
      <c r="L220" s="232" t="str">
        <f t="shared" si="106"/>
        <v/>
      </c>
      <c r="M220" s="207" t="str">
        <f t="shared" si="106"/>
        <v/>
      </c>
      <c r="N220" s="235" t="str">
        <f t="shared" si="106"/>
        <v/>
      </c>
    </row>
    <row r="221" spans="1:14" x14ac:dyDescent="0.25">
      <c r="A221" s="205" t="str">
        <f t="shared" si="72"/>
        <v/>
      </c>
      <c r="B221" s="207" t="str">
        <f t="shared" ref="B221:N221" si="107">IF($C100="","",IF($C100&lt;0,0,IF(AND($C100=1,start_time&lt;1),-(SUM(B174)*output_kgyear*$E100*percnt_var*start_time+SUM(B174)*output_kgyear*$E100*(1-start_time)),IF($C100&lt;=start_time,-SUM(B174)*output_kgyear*$E100*percnt_var,-SUM(B174)*output_kgyear*$E100))))</f>
        <v/>
      </c>
      <c r="C221" s="207" t="str">
        <f t="shared" si="107"/>
        <v/>
      </c>
      <c r="D221" s="207" t="str">
        <f t="shared" si="107"/>
        <v/>
      </c>
      <c r="E221" s="234" t="str">
        <f t="shared" si="107"/>
        <v/>
      </c>
      <c r="F221" s="206" t="str">
        <f t="shared" si="107"/>
        <v/>
      </c>
      <c r="G221" s="207" t="str">
        <f t="shared" si="107"/>
        <v/>
      </c>
      <c r="H221" s="207" t="str">
        <f t="shared" si="107"/>
        <v/>
      </c>
      <c r="I221" s="234" t="str">
        <f t="shared" si="107"/>
        <v/>
      </c>
      <c r="J221" s="600" t="str">
        <f t="shared" si="107"/>
        <v/>
      </c>
      <c r="K221" s="232" t="str">
        <f t="shared" si="107"/>
        <v/>
      </c>
      <c r="L221" s="232" t="str">
        <f t="shared" si="107"/>
        <v/>
      </c>
      <c r="M221" s="207" t="str">
        <f t="shared" si="107"/>
        <v/>
      </c>
      <c r="N221" s="235" t="str">
        <f t="shared" si="107"/>
        <v/>
      </c>
    </row>
    <row r="222" spans="1:14" x14ac:dyDescent="0.25">
      <c r="A222" s="205" t="str">
        <f t="shared" si="72"/>
        <v/>
      </c>
      <c r="B222" s="207" t="str">
        <f t="shared" ref="B222:N222" si="108">IF($C101="","",IF($C101&lt;0,0,IF(AND($C101=1,start_time&lt;1),-(SUM(B175)*output_kgyear*$E101*percnt_var*start_time+SUM(B175)*output_kgyear*$E101*(1-start_time)),IF($C101&lt;=start_time,-SUM(B175)*output_kgyear*$E101*percnt_var,-SUM(B175)*output_kgyear*$E101))))</f>
        <v/>
      </c>
      <c r="C222" s="207" t="str">
        <f t="shared" si="108"/>
        <v/>
      </c>
      <c r="D222" s="207" t="str">
        <f t="shared" si="108"/>
        <v/>
      </c>
      <c r="E222" s="234" t="str">
        <f t="shared" si="108"/>
        <v/>
      </c>
      <c r="F222" s="206" t="str">
        <f t="shared" si="108"/>
        <v/>
      </c>
      <c r="G222" s="207" t="str">
        <f t="shared" si="108"/>
        <v/>
      </c>
      <c r="H222" s="207" t="str">
        <f t="shared" si="108"/>
        <v/>
      </c>
      <c r="I222" s="234" t="str">
        <f t="shared" si="108"/>
        <v/>
      </c>
      <c r="J222" s="600" t="str">
        <f t="shared" si="108"/>
        <v/>
      </c>
      <c r="K222" s="232" t="str">
        <f t="shared" si="108"/>
        <v/>
      </c>
      <c r="L222" s="232" t="str">
        <f t="shared" si="108"/>
        <v/>
      </c>
      <c r="M222" s="207" t="str">
        <f t="shared" si="108"/>
        <v/>
      </c>
      <c r="N222" s="235" t="str">
        <f t="shared" si="108"/>
        <v/>
      </c>
    </row>
    <row r="223" spans="1:14" x14ac:dyDescent="0.25">
      <c r="A223" s="205" t="str">
        <f t="shared" si="72"/>
        <v/>
      </c>
      <c r="B223" s="207" t="str">
        <f t="shared" ref="B223:N223" si="109">IF($C102="","",IF($C102&lt;0,0,IF(AND($C102=1,start_time&lt;1),-(SUM(B176)*output_kgyear*$E102*percnt_var*start_time+SUM(B176)*output_kgyear*$E102*(1-start_time)),IF($C102&lt;=start_time,-SUM(B176)*output_kgyear*$E102*percnt_var,-SUM(B176)*output_kgyear*$E102))))</f>
        <v/>
      </c>
      <c r="C223" s="207" t="str">
        <f t="shared" si="109"/>
        <v/>
      </c>
      <c r="D223" s="207" t="str">
        <f t="shared" si="109"/>
        <v/>
      </c>
      <c r="E223" s="234" t="str">
        <f t="shared" si="109"/>
        <v/>
      </c>
      <c r="F223" s="206" t="str">
        <f t="shared" si="109"/>
        <v/>
      </c>
      <c r="G223" s="207" t="str">
        <f t="shared" si="109"/>
        <v/>
      </c>
      <c r="H223" s="207" t="str">
        <f t="shared" si="109"/>
        <v/>
      </c>
      <c r="I223" s="234" t="str">
        <f t="shared" si="109"/>
        <v/>
      </c>
      <c r="J223" s="600" t="str">
        <f t="shared" si="109"/>
        <v/>
      </c>
      <c r="K223" s="232" t="str">
        <f t="shared" si="109"/>
        <v/>
      </c>
      <c r="L223" s="232" t="str">
        <f t="shared" si="109"/>
        <v/>
      </c>
      <c r="M223" s="207" t="str">
        <f t="shared" si="109"/>
        <v/>
      </c>
      <c r="N223" s="235" t="str">
        <f t="shared" si="109"/>
        <v/>
      </c>
    </row>
    <row r="224" spans="1:14" x14ac:dyDescent="0.25">
      <c r="A224" s="205" t="str">
        <f t="shared" si="72"/>
        <v/>
      </c>
      <c r="B224" s="207" t="str">
        <f t="shared" ref="B224:N224" si="110">IF($C103="","",IF($C103&lt;0,0,IF(AND($C103=1,start_time&lt;1),-(SUM(B177)*output_kgyear*$E103*percnt_var*start_time+SUM(B177)*output_kgyear*$E103*(1-start_time)),IF($C103&lt;=start_time,-SUM(B177)*output_kgyear*$E103*percnt_var,-SUM(B177)*output_kgyear*$E103))))</f>
        <v/>
      </c>
      <c r="C224" s="207" t="str">
        <f t="shared" si="110"/>
        <v/>
      </c>
      <c r="D224" s="207" t="str">
        <f t="shared" si="110"/>
        <v/>
      </c>
      <c r="E224" s="234" t="str">
        <f t="shared" si="110"/>
        <v/>
      </c>
      <c r="F224" s="206" t="str">
        <f t="shared" si="110"/>
        <v/>
      </c>
      <c r="G224" s="207" t="str">
        <f t="shared" si="110"/>
        <v/>
      </c>
      <c r="H224" s="207" t="str">
        <f t="shared" si="110"/>
        <v/>
      </c>
      <c r="I224" s="234" t="str">
        <f t="shared" si="110"/>
        <v/>
      </c>
      <c r="J224" s="600" t="str">
        <f t="shared" si="110"/>
        <v/>
      </c>
      <c r="K224" s="232" t="str">
        <f t="shared" si="110"/>
        <v/>
      </c>
      <c r="L224" s="232" t="str">
        <f t="shared" si="110"/>
        <v/>
      </c>
      <c r="M224" s="207" t="str">
        <f t="shared" si="110"/>
        <v/>
      </c>
      <c r="N224" s="235" t="str">
        <f t="shared" si="110"/>
        <v/>
      </c>
    </row>
    <row r="225" spans="1:14" x14ac:dyDescent="0.25">
      <c r="A225" s="205" t="str">
        <f t="shared" si="72"/>
        <v/>
      </c>
      <c r="B225" s="207" t="str">
        <f t="shared" ref="B225:N225" si="111">IF($C104="","",IF($C104&lt;0,0,IF(AND($C104=1,start_time&lt;1),-(SUM(B178)*output_kgyear*$E104*percnt_var*start_time+SUM(B178)*output_kgyear*$E104*(1-start_time)),IF($C104&lt;=start_time,-SUM(B178)*output_kgyear*$E104*percnt_var,-SUM(B178)*output_kgyear*$E104))))</f>
        <v/>
      </c>
      <c r="C225" s="207" t="str">
        <f t="shared" si="111"/>
        <v/>
      </c>
      <c r="D225" s="207" t="str">
        <f t="shared" si="111"/>
        <v/>
      </c>
      <c r="E225" s="234" t="str">
        <f t="shared" si="111"/>
        <v/>
      </c>
      <c r="F225" s="206" t="str">
        <f t="shared" si="111"/>
        <v/>
      </c>
      <c r="G225" s="207" t="str">
        <f t="shared" si="111"/>
        <v/>
      </c>
      <c r="H225" s="207" t="str">
        <f t="shared" si="111"/>
        <v/>
      </c>
      <c r="I225" s="234" t="str">
        <f t="shared" si="111"/>
        <v/>
      </c>
      <c r="J225" s="600" t="str">
        <f t="shared" si="111"/>
        <v/>
      </c>
      <c r="K225" s="232" t="str">
        <f t="shared" si="111"/>
        <v/>
      </c>
      <c r="L225" s="232" t="str">
        <f t="shared" si="111"/>
        <v/>
      </c>
      <c r="M225" s="207" t="str">
        <f t="shared" si="111"/>
        <v/>
      </c>
      <c r="N225" s="235" t="str">
        <f t="shared" si="111"/>
        <v/>
      </c>
    </row>
    <row r="226" spans="1:14" x14ac:dyDescent="0.25">
      <c r="A226" s="205" t="str">
        <f t="shared" si="72"/>
        <v/>
      </c>
      <c r="B226" s="207" t="str">
        <f t="shared" ref="B226:N226" si="112">IF($C105="","",IF($C105&lt;0,0,IF(AND($C105=1,start_time&lt;1),-(SUM(B179)*output_kgyear*$E105*percnt_var*start_time+SUM(B179)*output_kgyear*$E105*(1-start_time)),IF($C105&lt;=start_time,-SUM(B179)*output_kgyear*$E105*percnt_var,-SUM(B179)*output_kgyear*$E105))))</f>
        <v/>
      </c>
      <c r="C226" s="207" t="str">
        <f t="shared" si="112"/>
        <v/>
      </c>
      <c r="D226" s="207" t="str">
        <f t="shared" si="112"/>
        <v/>
      </c>
      <c r="E226" s="234" t="str">
        <f t="shared" si="112"/>
        <v/>
      </c>
      <c r="F226" s="206" t="str">
        <f t="shared" si="112"/>
        <v/>
      </c>
      <c r="G226" s="207" t="str">
        <f t="shared" si="112"/>
        <v/>
      </c>
      <c r="H226" s="207" t="str">
        <f t="shared" si="112"/>
        <v/>
      </c>
      <c r="I226" s="234" t="str">
        <f t="shared" si="112"/>
        <v/>
      </c>
      <c r="J226" s="600" t="str">
        <f t="shared" si="112"/>
        <v/>
      </c>
      <c r="K226" s="232" t="str">
        <f t="shared" si="112"/>
        <v/>
      </c>
      <c r="L226" s="232" t="str">
        <f t="shared" si="112"/>
        <v/>
      </c>
      <c r="M226" s="207" t="str">
        <f t="shared" si="112"/>
        <v/>
      </c>
      <c r="N226" s="235" t="str">
        <f t="shared" si="112"/>
        <v/>
      </c>
    </row>
    <row r="227" spans="1:14" x14ac:dyDescent="0.25">
      <c r="A227" s="205" t="str">
        <f t="shared" si="72"/>
        <v/>
      </c>
      <c r="B227" s="207" t="str">
        <f t="shared" ref="B227:N227" si="113">IF($C106="","",IF($C106&lt;0,0,IF(AND($C106=1,start_time&lt;1),-(SUM(B180)*output_kgyear*$E106*percnt_var*start_time+SUM(B180)*output_kgyear*$E106*(1-start_time)),IF($C106&lt;=start_time,-SUM(B180)*output_kgyear*$E106*percnt_var,-SUM(B180)*output_kgyear*$E106))))</f>
        <v/>
      </c>
      <c r="C227" s="207" t="str">
        <f t="shared" si="113"/>
        <v/>
      </c>
      <c r="D227" s="207" t="str">
        <f t="shared" si="113"/>
        <v/>
      </c>
      <c r="E227" s="234" t="str">
        <f t="shared" si="113"/>
        <v/>
      </c>
      <c r="F227" s="206" t="str">
        <f t="shared" si="113"/>
        <v/>
      </c>
      <c r="G227" s="207" t="str">
        <f t="shared" si="113"/>
        <v/>
      </c>
      <c r="H227" s="207" t="str">
        <f t="shared" si="113"/>
        <v/>
      </c>
      <c r="I227" s="234" t="str">
        <f t="shared" si="113"/>
        <v/>
      </c>
      <c r="J227" s="600" t="str">
        <f t="shared" si="113"/>
        <v/>
      </c>
      <c r="K227" s="232" t="str">
        <f t="shared" si="113"/>
        <v/>
      </c>
      <c r="L227" s="232" t="str">
        <f t="shared" si="113"/>
        <v/>
      </c>
      <c r="M227" s="207" t="str">
        <f t="shared" si="113"/>
        <v/>
      </c>
      <c r="N227" s="235" t="str">
        <f t="shared" si="113"/>
        <v/>
      </c>
    </row>
    <row r="228" spans="1:14" x14ac:dyDescent="0.25">
      <c r="A228" s="205" t="str">
        <f t="shared" si="72"/>
        <v/>
      </c>
      <c r="B228" s="207" t="str">
        <f t="shared" ref="B228:N228" si="114">IF($C107="","",IF($C107&lt;0,0,IF(AND($C107=1,start_time&lt;1),-(SUM(B181)*output_kgyear*$E107*percnt_var*start_time+SUM(B181)*output_kgyear*$E107*(1-start_time)),IF($C107&lt;=start_time,-SUM(B181)*output_kgyear*$E107*percnt_var,-SUM(B181)*output_kgyear*$E107))))</f>
        <v/>
      </c>
      <c r="C228" s="207" t="str">
        <f t="shared" si="114"/>
        <v/>
      </c>
      <c r="D228" s="207" t="str">
        <f t="shared" si="114"/>
        <v/>
      </c>
      <c r="E228" s="234" t="str">
        <f t="shared" si="114"/>
        <v/>
      </c>
      <c r="F228" s="206" t="str">
        <f t="shared" si="114"/>
        <v/>
      </c>
      <c r="G228" s="207" t="str">
        <f t="shared" si="114"/>
        <v/>
      </c>
      <c r="H228" s="207" t="str">
        <f t="shared" si="114"/>
        <v/>
      </c>
      <c r="I228" s="234" t="str">
        <f t="shared" si="114"/>
        <v/>
      </c>
      <c r="J228" s="600" t="str">
        <f t="shared" si="114"/>
        <v/>
      </c>
      <c r="K228" s="232" t="str">
        <f t="shared" si="114"/>
        <v/>
      </c>
      <c r="L228" s="232" t="str">
        <f t="shared" si="114"/>
        <v/>
      </c>
      <c r="M228" s="207" t="str">
        <f t="shared" si="114"/>
        <v/>
      </c>
      <c r="N228" s="235" t="str">
        <f t="shared" si="114"/>
        <v/>
      </c>
    </row>
    <row r="229" spans="1:14" x14ac:dyDescent="0.25">
      <c r="A229" s="205" t="str">
        <f t="shared" si="72"/>
        <v/>
      </c>
      <c r="B229" s="207" t="str">
        <f t="shared" ref="B229:N229" si="115">IF($C108="","",IF($C108&lt;0,0,IF(AND($C108=1,start_time&lt;1),-(SUM(B182)*output_kgyear*$E108*percnt_var*start_time+SUM(B182)*output_kgyear*$E108*(1-start_time)),IF($C108&lt;=start_time,-SUM(B182)*output_kgyear*$E108*percnt_var,-SUM(B182)*output_kgyear*$E108))))</f>
        <v/>
      </c>
      <c r="C229" s="207" t="str">
        <f t="shared" si="115"/>
        <v/>
      </c>
      <c r="D229" s="207" t="str">
        <f t="shared" si="115"/>
        <v/>
      </c>
      <c r="E229" s="234" t="str">
        <f t="shared" si="115"/>
        <v/>
      </c>
      <c r="F229" s="206" t="str">
        <f t="shared" si="115"/>
        <v/>
      </c>
      <c r="G229" s="207" t="str">
        <f t="shared" si="115"/>
        <v/>
      </c>
      <c r="H229" s="207" t="str">
        <f t="shared" si="115"/>
        <v/>
      </c>
      <c r="I229" s="234" t="str">
        <f t="shared" si="115"/>
        <v/>
      </c>
      <c r="J229" s="600" t="str">
        <f t="shared" si="115"/>
        <v/>
      </c>
      <c r="K229" s="232" t="str">
        <f t="shared" si="115"/>
        <v/>
      </c>
      <c r="L229" s="232" t="str">
        <f t="shared" si="115"/>
        <v/>
      </c>
      <c r="M229" s="207" t="str">
        <f t="shared" si="115"/>
        <v/>
      </c>
      <c r="N229" s="235" t="str">
        <f t="shared" si="115"/>
        <v/>
      </c>
    </row>
    <row r="231" spans="1:14" x14ac:dyDescent="0.25">
      <c r="A231" s="207" t="s">
        <v>1191</v>
      </c>
      <c r="B231" s="207">
        <f ca="1">+B186+NPV($X$59,B187:B228)</f>
        <v>-857317884.15171587</v>
      </c>
      <c r="C231" s="207">
        <f t="shared" ref="C231:N231" ca="1" si="116">+C186+NPV($X$59,C187:C228)</f>
        <v>0</v>
      </c>
      <c r="D231" s="207">
        <f t="shared" ca="1" si="116"/>
        <v>0</v>
      </c>
      <c r="E231" s="207">
        <f t="shared" ca="1" si="116"/>
        <v>0</v>
      </c>
      <c r="F231" s="207">
        <f t="shared" ca="1" si="116"/>
        <v>-179820209.76884505</v>
      </c>
      <c r="G231" s="207">
        <f t="shared" ca="1" si="116"/>
        <v>0</v>
      </c>
      <c r="H231" s="207">
        <f t="shared" ca="1" si="116"/>
        <v>0</v>
      </c>
      <c r="I231" s="207">
        <f t="shared" ca="1" si="116"/>
        <v>0</v>
      </c>
      <c r="J231" s="207">
        <f t="shared" ca="1" si="116"/>
        <v>-15508027.90236962</v>
      </c>
      <c r="K231" s="207">
        <f t="shared" ca="1" si="116"/>
        <v>0</v>
      </c>
      <c r="L231" s="207">
        <f t="shared" ca="1" si="116"/>
        <v>0</v>
      </c>
      <c r="M231" s="207">
        <f t="shared" ca="1" si="116"/>
        <v>0</v>
      </c>
      <c r="N231" s="207">
        <f t="shared" ca="1" si="116"/>
        <v>0</v>
      </c>
    </row>
    <row r="232" spans="1:14" x14ac:dyDescent="0.25">
      <c r="A232" s="207" t="s">
        <v>1190</v>
      </c>
      <c r="B232" s="207">
        <f ca="1">-B231/$AE$116*(1+inflation_rate)^construct/INFLATION_FACTOR</f>
        <v>0.48092254303115112</v>
      </c>
      <c r="C232" s="207">
        <f t="shared" ref="C232:N232" ca="1" si="117">-C231/$AE$116*(1+inflation_rate)^construct/INFLATION_FACTOR</f>
        <v>0</v>
      </c>
      <c r="D232" s="207">
        <f t="shared" ca="1" si="117"/>
        <v>0</v>
      </c>
      <c r="E232" s="207">
        <f t="shared" ca="1" si="117"/>
        <v>0</v>
      </c>
      <c r="F232" s="207">
        <f ca="1">-F231/$AE$116*(1+inflation_rate)^construct/INFLATION_FACTOR</f>
        <v>0.10087226006721689</v>
      </c>
      <c r="G232" s="207">
        <f t="shared" ca="1" si="117"/>
        <v>0</v>
      </c>
      <c r="H232" s="207">
        <f t="shared" ca="1" si="117"/>
        <v>0</v>
      </c>
      <c r="I232" s="207">
        <f t="shared" ca="1" si="117"/>
        <v>0</v>
      </c>
      <c r="J232" s="207">
        <f t="shared" ca="1" si="117"/>
        <v>8.6994105151384053E-3</v>
      </c>
      <c r="K232" s="207">
        <f t="shared" ca="1" si="117"/>
        <v>0</v>
      </c>
      <c r="L232" s="207">
        <f t="shared" ca="1" si="117"/>
        <v>0</v>
      </c>
      <c r="M232" s="207">
        <f t="shared" ca="1" si="117"/>
        <v>0</v>
      </c>
      <c r="N232" s="207">
        <f t="shared" ca="1" si="117"/>
        <v>0</v>
      </c>
    </row>
    <row r="233" spans="1:14" x14ac:dyDescent="0.25">
      <c r="A233" s="207" t="s">
        <v>1192</v>
      </c>
      <c r="B233" s="207">
        <f ca="1">IF(B132&gt;0,B232/B133*(1+inflation_rate)^construct,"")</f>
        <v>5.2475186406653537E-2</v>
      </c>
      <c r="C233" s="207" t="str">
        <f t="shared" ref="C233:N233" si="118">IF(C132&gt;0,C232/C133*(1+inflation_rate)^construct,"")</f>
        <v/>
      </c>
      <c r="D233" s="207" t="str">
        <f t="shared" si="118"/>
        <v/>
      </c>
      <c r="E233" s="207" t="str">
        <f t="shared" si="118"/>
        <v/>
      </c>
      <c r="F233" s="207">
        <f t="shared" ca="1" si="118"/>
        <v>7.8352102677591809E-2</v>
      </c>
      <c r="G233" s="207" t="str">
        <f t="shared" si="118"/>
        <v/>
      </c>
      <c r="H233" s="207" t="str">
        <f t="shared" si="118"/>
        <v/>
      </c>
      <c r="I233" s="207" t="str">
        <f t="shared" si="118"/>
        <v/>
      </c>
      <c r="J233" s="207">
        <f t="shared" ca="1" si="118"/>
        <v>7.8352102677591767E-2</v>
      </c>
      <c r="K233" s="207" t="str">
        <f t="shared" si="118"/>
        <v/>
      </c>
      <c r="L233" s="207" t="str">
        <f t="shared" si="118"/>
        <v/>
      </c>
      <c r="M233" s="207" t="str">
        <f t="shared" si="118"/>
        <v/>
      </c>
      <c r="N233" s="207" t="str">
        <f t="shared" si="118"/>
        <v/>
      </c>
    </row>
    <row r="279" spans="1:5" x14ac:dyDescent="0.25">
      <c r="A279" s="53" t="s">
        <v>193</v>
      </c>
    </row>
    <row r="280" spans="1:5" x14ac:dyDescent="0.25">
      <c r="A280" s="53" t="s">
        <v>1053</v>
      </c>
      <c r="B280" s="53" t="s">
        <v>637</v>
      </c>
      <c r="C280" s="53" t="s">
        <v>194</v>
      </c>
      <c r="D280" s="53" t="s">
        <v>195</v>
      </c>
      <c r="E280" s="53" t="s">
        <v>196</v>
      </c>
    </row>
    <row r="281" spans="1:5" x14ac:dyDescent="0.25">
      <c r="A281" s="53" t="str">
        <f>'HyARC Physical Property Data'!A76</f>
        <v>Commercial Electricity</v>
      </c>
      <c r="B281" s="53">
        <f ca="1">VLOOKUP(A281,MASTER_PROPERTY_TABLE,9,FALSE)</f>
        <v>3.5999999999999995E-3</v>
      </c>
      <c r="C281" s="53">
        <f ca="1">MATCH(startup_year,Feedstock_Year,0)</f>
        <v>19</v>
      </c>
      <c r="D281" s="53">
        <f ca="1">VLOOKUP(A281,FEEDPRICETABLE,C281,FALSE)</f>
        <v>29.932211922183079</v>
      </c>
      <c r="E281" s="53">
        <f ca="1">B281*D281</f>
        <v>0.10775596291985907</v>
      </c>
    </row>
    <row r="282" spans="1:5" x14ac:dyDescent="0.25">
      <c r="A282" s="53" t="str">
        <f>'HyARC Physical Property Data'!A77</f>
        <v>Industrial Electricity</v>
      </c>
      <c r="B282" s="53">
        <f ca="1">VLOOKUP(A282,MASTER_PROPERTY_TABLE,9,FALSE)</f>
        <v>3.5999999999999995E-3</v>
      </c>
      <c r="C282" s="53">
        <f ca="1">MATCH(startup_year,Feedstock_Year,0)+2</f>
        <v>21</v>
      </c>
      <c r="D282" s="53">
        <f ca="1">VLOOKUP(A282,FEEDPRICETABLE,C282,FALSE)</f>
        <v>19.537493744407882</v>
      </c>
      <c r="E282" s="53">
        <f ca="1">B282*D282</f>
        <v>7.033497747986836E-2</v>
      </c>
    </row>
  </sheetData>
  <mergeCells count="2">
    <mergeCell ref="D15:E15"/>
    <mergeCell ref="W53:X53"/>
  </mergeCells>
  <phoneticPr fontId="0" type="noConversion"/>
  <hyperlinks>
    <hyperlink ref="A3" location="'Cash Flow Analysis'!A16" display="DCF Calculations" xr:uid="{00000000-0004-0000-0A00-000000000000}"/>
    <hyperlink ref="A4" location="'Cash Flow Analysis'!A64" display="Yearly Cash Flow Calculations" xr:uid="{00000000-0004-0000-0A00-000001000000}"/>
    <hyperlink ref="A5" location="'Cash Flow Analysis'!A118" display="Specific Item Cost Calculation" xr:uid="{00000000-0004-0000-0A00-000002000000}"/>
    <hyperlink ref="A6" location="'Cash Flow Analysis'!A130" display="Feedstock, Utility, and Byproduct Cost Information" xr:uid="{00000000-0004-0000-0A00-000003000000}"/>
  </hyperlinks>
  <pageMargins left="0.75" right="0.75" top="1" bottom="1" header="0.5" footer="0.5"/>
  <pageSetup scale="84"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51"/>
  </sheetPr>
  <dimension ref="A3:DB309"/>
  <sheetViews>
    <sheetView topLeftCell="A67" workbookViewId="0">
      <selection activeCell="J138" sqref="J138"/>
    </sheetView>
  </sheetViews>
  <sheetFormatPr defaultRowHeight="13.2" x14ac:dyDescent="0.25"/>
  <cols>
    <col min="1" max="1" width="30.33203125" customWidth="1"/>
    <col min="2" max="2" width="18.88671875" customWidth="1"/>
    <col min="3" max="3" width="11.33203125" customWidth="1"/>
    <col min="5" max="5" width="12.6640625" customWidth="1"/>
    <col min="6" max="6" width="12.44140625" customWidth="1"/>
    <col min="7" max="7" width="11.6640625" customWidth="1"/>
  </cols>
  <sheetData>
    <row r="3" spans="1:104" ht="13.8" thickBot="1" x14ac:dyDescent="0.3">
      <c r="BW3" s="1389" t="s">
        <v>1295</v>
      </c>
      <c r="BX3" s="1389"/>
      <c r="BY3" s="1389"/>
      <c r="BZ3" s="1389"/>
      <c r="CA3" s="1389"/>
      <c r="CB3" s="1389"/>
      <c r="CC3" s="1389"/>
      <c r="CD3" s="1389"/>
    </row>
    <row r="4" spans="1:104" ht="13.8" thickTop="1" x14ac:dyDescent="0.25">
      <c r="A4" s="862" t="s">
        <v>1118</v>
      </c>
      <c r="B4" s="863" t="str">
        <f>"Prices are in $(" &amp; ref_year&amp;")/GJ LHV"</f>
        <v>Prices are in $(2016)/GJ LHV</v>
      </c>
      <c r="C4" s="864"/>
      <c r="D4" s="864"/>
      <c r="E4" s="864"/>
      <c r="F4" s="864"/>
      <c r="G4" s="864"/>
      <c r="H4" s="864"/>
      <c r="I4" s="864"/>
      <c r="J4" s="864"/>
      <c r="K4" s="864"/>
      <c r="L4" s="864"/>
      <c r="M4" s="864"/>
      <c r="N4" s="864"/>
      <c r="O4" s="864"/>
      <c r="P4" s="864"/>
      <c r="Q4" s="864"/>
      <c r="R4" s="864"/>
      <c r="S4" s="864"/>
      <c r="T4" s="864"/>
      <c r="U4" s="864"/>
      <c r="V4" s="864"/>
      <c r="W4" s="864"/>
      <c r="X4" s="864"/>
      <c r="Y4" s="864"/>
      <c r="Z4" s="864"/>
      <c r="AA4" s="864"/>
      <c r="AB4" s="864"/>
      <c r="AC4" s="864"/>
      <c r="AD4" s="864"/>
      <c r="AE4" s="864"/>
      <c r="AF4" s="864"/>
      <c r="AG4" s="864"/>
      <c r="AH4" s="877" t="s">
        <v>772</v>
      </c>
      <c r="AI4" s="878"/>
      <c r="AJ4" s="878"/>
      <c r="AK4" s="878"/>
      <c r="AL4" s="878"/>
      <c r="AM4" s="878"/>
      <c r="AN4" s="878"/>
      <c r="AO4" s="878"/>
      <c r="AP4" s="878"/>
      <c r="AQ4" s="878"/>
      <c r="AR4" s="878"/>
      <c r="AS4" s="878"/>
      <c r="AT4" s="878"/>
      <c r="AU4" s="878"/>
      <c r="AV4" s="878"/>
      <c r="AW4" s="878"/>
      <c r="AX4" s="878"/>
      <c r="AY4" s="878"/>
      <c r="AZ4" s="878"/>
      <c r="BA4" s="878"/>
      <c r="BB4" s="878"/>
      <c r="BC4" s="878"/>
      <c r="BD4" s="878"/>
      <c r="BE4" s="878"/>
      <c r="BF4" s="878"/>
      <c r="BG4" s="878"/>
      <c r="BH4" s="878"/>
      <c r="BI4" s="878"/>
      <c r="BJ4" s="878"/>
      <c r="BK4" s="878"/>
      <c r="BL4" s="878"/>
      <c r="BM4" s="878"/>
      <c r="BN4" s="878"/>
      <c r="BO4" s="878"/>
      <c r="BP4" s="878"/>
      <c r="BQ4" s="878"/>
      <c r="BR4" s="878"/>
      <c r="BS4" s="878"/>
      <c r="BT4" s="878"/>
      <c r="BU4" s="878"/>
      <c r="BV4" s="879"/>
    </row>
    <row r="5" spans="1:104" ht="40.200000000000003" thickBot="1" x14ac:dyDescent="0.3">
      <c r="A5" s="882" t="s">
        <v>1085</v>
      </c>
      <c r="B5" s="883" t="s">
        <v>678</v>
      </c>
      <c r="C5" s="883" t="s">
        <v>679</v>
      </c>
      <c r="D5" s="883" t="s">
        <v>690</v>
      </c>
      <c r="E5" s="883" t="s">
        <v>691</v>
      </c>
      <c r="F5" s="884" t="s">
        <v>680</v>
      </c>
      <c r="G5" s="884" t="s">
        <v>692</v>
      </c>
      <c r="H5" s="884">
        <v>2004</v>
      </c>
      <c r="I5" s="884">
        <v>2005</v>
      </c>
      <c r="J5" s="884">
        <v>2006</v>
      </c>
      <c r="K5" s="884">
        <v>2007</v>
      </c>
      <c r="L5" s="884">
        <v>2008</v>
      </c>
      <c r="M5" s="884">
        <v>2009</v>
      </c>
      <c r="N5" s="884">
        <v>2010</v>
      </c>
      <c r="O5" s="884">
        <v>2011</v>
      </c>
      <c r="P5" s="884">
        <v>2012</v>
      </c>
      <c r="Q5" s="884">
        <v>2013</v>
      </c>
      <c r="R5" s="884">
        <v>2014</v>
      </c>
      <c r="S5" s="884">
        <v>2015</v>
      </c>
      <c r="T5" s="884">
        <v>2016</v>
      </c>
      <c r="U5" s="884">
        <v>2017</v>
      </c>
      <c r="V5" s="884">
        <v>2018</v>
      </c>
      <c r="W5" s="884">
        <v>2019</v>
      </c>
      <c r="X5" s="884">
        <v>2020</v>
      </c>
      <c r="Y5" s="884">
        <v>2021</v>
      </c>
      <c r="Z5" s="884">
        <v>2022</v>
      </c>
      <c r="AA5" s="884">
        <v>2023</v>
      </c>
      <c r="AB5" s="884">
        <v>2024</v>
      </c>
      <c r="AC5" s="884">
        <v>2025</v>
      </c>
      <c r="AD5" s="884">
        <v>2026</v>
      </c>
      <c r="AE5" s="884">
        <v>2027</v>
      </c>
      <c r="AF5" s="884">
        <v>2028</v>
      </c>
      <c r="AG5" s="884">
        <v>2029</v>
      </c>
      <c r="AH5" s="884">
        <v>2030</v>
      </c>
      <c r="AI5" s="884">
        <v>2031</v>
      </c>
      <c r="AJ5" s="884">
        <v>2032</v>
      </c>
      <c r="AK5" s="884">
        <v>2033</v>
      </c>
      <c r="AL5" s="884">
        <v>2034</v>
      </c>
      <c r="AM5" s="884">
        <v>2035</v>
      </c>
      <c r="AN5" s="884">
        <v>2036</v>
      </c>
      <c r="AO5" s="884">
        <v>2037</v>
      </c>
      <c r="AP5" s="884">
        <v>2038</v>
      </c>
      <c r="AQ5" s="884">
        <v>2039</v>
      </c>
      <c r="AR5" s="884">
        <v>2040</v>
      </c>
      <c r="AS5" s="884">
        <v>2041</v>
      </c>
      <c r="AT5" s="884">
        <v>2042</v>
      </c>
      <c r="AU5" s="884">
        <v>2043</v>
      </c>
      <c r="AV5" s="884">
        <v>2044</v>
      </c>
      <c r="AW5" s="884">
        <v>2045</v>
      </c>
      <c r="AX5" s="884">
        <v>2046</v>
      </c>
      <c r="AY5" s="884">
        <v>2047</v>
      </c>
      <c r="AZ5" s="884">
        <v>2048</v>
      </c>
      <c r="BA5" s="884">
        <v>2049</v>
      </c>
      <c r="BB5" s="884">
        <v>2050</v>
      </c>
      <c r="BC5" s="884">
        <v>2051</v>
      </c>
      <c r="BD5" s="884">
        <v>2052</v>
      </c>
      <c r="BE5" s="884">
        <v>2053</v>
      </c>
      <c r="BF5" s="884">
        <v>2054</v>
      </c>
      <c r="BG5" s="884">
        <v>2055</v>
      </c>
      <c r="BH5" s="884">
        <v>2056</v>
      </c>
      <c r="BI5" s="884">
        <v>2057</v>
      </c>
      <c r="BJ5" s="884">
        <v>2058</v>
      </c>
      <c r="BK5" s="884">
        <v>2059</v>
      </c>
      <c r="BL5" s="884">
        <v>2060</v>
      </c>
      <c r="BM5" s="884">
        <v>2061</v>
      </c>
      <c r="BN5" s="884">
        <v>2062</v>
      </c>
      <c r="BO5" s="884">
        <v>2063</v>
      </c>
      <c r="BP5" s="884">
        <v>2064</v>
      </c>
      <c r="BQ5" s="884">
        <v>2065</v>
      </c>
      <c r="BR5" s="884">
        <v>2066</v>
      </c>
      <c r="BS5" s="884">
        <v>2067</v>
      </c>
      <c r="BT5" s="884">
        <v>2068</v>
      </c>
      <c r="BU5" s="884">
        <v>2069</v>
      </c>
      <c r="BV5" s="885">
        <v>2070</v>
      </c>
      <c r="BW5" s="1389">
        <f t="shared" ref="BW5" si="0">+BV5+1</f>
        <v>2071</v>
      </c>
      <c r="BX5" s="1389">
        <f t="shared" ref="BX5" si="1">+BW5+1</f>
        <v>2072</v>
      </c>
      <c r="BY5" s="1389">
        <f t="shared" ref="BY5" si="2">+BX5+1</f>
        <v>2073</v>
      </c>
      <c r="BZ5" s="1389">
        <f t="shared" ref="BZ5" si="3">+BY5+1</f>
        <v>2074</v>
      </c>
      <c r="CA5" s="1389">
        <f t="shared" ref="CA5" si="4">+BZ5+1</f>
        <v>2075</v>
      </c>
      <c r="CB5" s="1389">
        <f t="shared" ref="CB5" si="5">+CA5+1</f>
        <v>2076</v>
      </c>
      <c r="CC5" s="1389">
        <f t="shared" ref="CC5" si="6">+CB5+1</f>
        <v>2077</v>
      </c>
      <c r="CD5" s="1389">
        <f t="shared" ref="CD5" si="7">+CC5+1</f>
        <v>2078</v>
      </c>
      <c r="CE5" s="1389">
        <f t="shared" ref="CE5" si="8">+CD5+1</f>
        <v>2079</v>
      </c>
      <c r="CF5" s="1389">
        <f t="shared" ref="CF5" si="9">+CE5+1</f>
        <v>2080</v>
      </c>
      <c r="CG5" s="1389">
        <f t="shared" ref="CG5" si="10">+CF5+1</f>
        <v>2081</v>
      </c>
      <c r="CH5" s="1389">
        <f t="shared" ref="CH5" si="11">+CG5+1</f>
        <v>2082</v>
      </c>
      <c r="CI5" s="1389">
        <f t="shared" ref="CI5" si="12">+CH5+1</f>
        <v>2083</v>
      </c>
      <c r="CJ5" s="1389">
        <f t="shared" ref="CJ5" si="13">+CI5+1</f>
        <v>2084</v>
      </c>
      <c r="CK5" s="1389">
        <f t="shared" ref="CK5" si="14">+CJ5+1</f>
        <v>2085</v>
      </c>
      <c r="CL5" s="1389">
        <f t="shared" ref="CL5" si="15">+CK5+1</f>
        <v>2086</v>
      </c>
      <c r="CM5" s="1389">
        <f t="shared" ref="CM5" si="16">+CL5+1</f>
        <v>2087</v>
      </c>
      <c r="CN5" s="1389">
        <f t="shared" ref="CN5" si="17">+CM5+1</f>
        <v>2088</v>
      </c>
      <c r="CO5" s="1389">
        <f t="shared" ref="CO5" si="18">+CN5+1</f>
        <v>2089</v>
      </c>
      <c r="CP5" s="1389">
        <f t="shared" ref="CP5" si="19">+CO5+1</f>
        <v>2090</v>
      </c>
      <c r="CQ5" s="1389">
        <f t="shared" ref="CQ5" si="20">+CP5+1</f>
        <v>2091</v>
      </c>
      <c r="CR5" s="1389">
        <f t="shared" ref="CR5" si="21">+CQ5+1</f>
        <v>2092</v>
      </c>
      <c r="CS5" s="1389">
        <f t="shared" ref="CS5" si="22">+CR5+1</f>
        <v>2093</v>
      </c>
      <c r="CT5" s="1389">
        <f t="shared" ref="CT5" si="23">+CS5+1</f>
        <v>2094</v>
      </c>
      <c r="CU5" s="1389">
        <f t="shared" ref="CU5" si="24">+CT5+1</f>
        <v>2095</v>
      </c>
      <c r="CV5" s="1389">
        <f t="shared" ref="CV5" si="25">+CU5+1</f>
        <v>2096</v>
      </c>
      <c r="CW5" s="1389">
        <f t="shared" ref="CW5" si="26">+CV5+1</f>
        <v>2097</v>
      </c>
      <c r="CX5" s="1389">
        <f t="shared" ref="CX5" si="27">+CW5+1</f>
        <v>2098</v>
      </c>
      <c r="CY5" s="1389">
        <f t="shared" ref="CY5" si="28">+CX5+1</f>
        <v>2099</v>
      </c>
      <c r="CZ5" s="1389">
        <f t="shared" ref="CZ5" si="29">+CY5+1</f>
        <v>2100</v>
      </c>
    </row>
    <row r="6" spans="1:104" ht="13.8" thickBot="1" x14ac:dyDescent="0.3">
      <c r="A6" s="950" t="s">
        <v>1091</v>
      </c>
      <c r="B6" s="951"/>
      <c r="C6" s="951"/>
      <c r="D6" s="951"/>
      <c r="E6" s="951"/>
      <c r="F6" s="866"/>
      <c r="G6" s="951"/>
      <c r="H6" s="951"/>
      <c r="I6" s="951"/>
      <c r="J6" s="951"/>
      <c r="K6" s="951"/>
      <c r="L6" s="951"/>
      <c r="M6" s="951"/>
      <c r="N6" s="951"/>
      <c r="O6" s="951"/>
      <c r="P6" s="951"/>
      <c r="Q6" s="951"/>
      <c r="R6" s="951"/>
      <c r="S6" s="951"/>
      <c r="T6" s="951"/>
      <c r="U6" s="951"/>
      <c r="V6" s="951"/>
      <c r="W6" s="951"/>
      <c r="X6" s="951"/>
      <c r="Y6" s="951"/>
      <c r="Z6" s="951"/>
      <c r="AA6" s="951"/>
      <c r="AB6" s="951"/>
      <c r="AC6" s="951"/>
      <c r="AD6" s="951"/>
      <c r="AE6" s="951"/>
      <c r="AF6" s="951"/>
      <c r="AG6" s="951"/>
      <c r="AH6" s="951"/>
      <c r="AI6" s="951"/>
      <c r="AJ6" s="951"/>
      <c r="AK6" s="951"/>
      <c r="AL6" s="951"/>
      <c r="AM6" s="951"/>
      <c r="AN6" s="951"/>
      <c r="AO6" s="951"/>
      <c r="AP6" s="951"/>
      <c r="AQ6" s="951"/>
      <c r="AR6" s="951"/>
      <c r="AS6" s="951"/>
      <c r="AT6" s="951"/>
      <c r="AU6" s="951"/>
      <c r="AV6" s="951"/>
      <c r="AW6" s="951"/>
      <c r="AX6" s="951"/>
      <c r="AY6" s="951"/>
      <c r="AZ6" s="951"/>
      <c r="BA6" s="951"/>
      <c r="BC6" s="951"/>
      <c r="BD6" s="951"/>
      <c r="BE6" s="951"/>
      <c r="BF6" s="951"/>
      <c r="BG6" s="951"/>
      <c r="BH6" s="951"/>
      <c r="BI6" s="951"/>
      <c r="BJ6" s="951"/>
      <c r="BK6" s="951"/>
      <c r="BL6" s="951"/>
      <c r="BM6" s="951"/>
      <c r="BN6" s="951"/>
      <c r="BO6" s="951"/>
      <c r="BP6" s="951"/>
      <c r="BR6" s="951"/>
      <c r="BS6" s="951"/>
      <c r="BT6" s="951"/>
      <c r="BU6" s="951"/>
    </row>
    <row r="7" spans="1:104" x14ac:dyDescent="0.25">
      <c r="A7" s="970" t="str">
        <f>'HyARC Physical Property Data'!A73</f>
        <v>Residential Natural Gas</v>
      </c>
      <c r="B7" s="951">
        <v>2007</v>
      </c>
      <c r="C7" s="952">
        <f>VLOOKUP(ref_year,DeflatorTable,2,FALSE)/VLOOKUP(B7,DeflatorTable,2,FALSE)</f>
        <v>1.1446359956438654</v>
      </c>
      <c r="D7" s="970" t="str">
        <f>'HyARC Physical Property Data'!H73</f>
        <v>mmBtu</v>
      </c>
      <c r="E7" s="952" t="s">
        <v>1059</v>
      </c>
      <c r="F7" s="951">
        <f>'HyARC Physical Property Data'!$E$6</f>
        <v>47.141269049911173</v>
      </c>
      <c r="G7" s="951">
        <f>'HyARC Physical Property Data'!$I$6</f>
        <v>52.224661236371581</v>
      </c>
      <c r="H7" s="951">
        <f>((13.7000589370728/(mmBTU_to_GJ))*($C$7))*($G$7/$F$7)</f>
        <v>16.46689578317423</v>
      </c>
      <c r="I7" s="951">
        <f>((13.7000589370728/(mmBTU_to_GJ))*($C$7))*($G$7/$F$7)</f>
        <v>16.46689578317423</v>
      </c>
      <c r="J7" s="951">
        <f>((13.7000589370728/(mmBTU_to_GJ))*($C$7))*($G$7/$F$7)</f>
        <v>16.46689578317423</v>
      </c>
      <c r="K7" s="951">
        <f>((12.6911582946777/(mmBTU_to_GJ))*($C$7))*($G$7/$F$7)</f>
        <v>15.254239559561855</v>
      </c>
      <c r="L7" s="951">
        <f>((12.9778490066528/(mmBTU_to_GJ))*($C$7))*($G$7/$F$7)</f>
        <v>15.59882976152975</v>
      </c>
      <c r="M7" s="951">
        <f>((10.7176141738892/(mmBTU_to_GJ))*($C$7))*($G$7/$F$7)</f>
        <v>12.882122365775233</v>
      </c>
      <c r="N7" s="951">
        <f>((11.192774772644/(mmBTU_to_GJ))*($C$7))*($G$7/$F$7)</f>
        <v>13.453245460639653</v>
      </c>
      <c r="O7" s="951">
        <f>((11.4872808456421/(mmBTU_to_GJ))*($C$7))*($G$7/$F$7)</f>
        <v>13.807229398507864</v>
      </c>
      <c r="P7" s="951">
        <f>((11.3991556167603/(mmBTU_to_GJ))*($C$7))*($G$7/$F$7)</f>
        <v>13.701306572443364</v>
      </c>
      <c r="Q7" s="951">
        <f>((11.3077983856201/(mmBTU_to_GJ))*($C$7))*($G$7/$F$7)</f>
        <v>13.591499015327374</v>
      </c>
      <c r="R7" s="951">
        <f>((11.2896461486816/(mmBTU_to_GJ))*($C$7))*($G$7/$F$7)</f>
        <v>13.569680788466401</v>
      </c>
      <c r="S7" s="951">
        <f>((11.3454151153564/(mmBTU_to_GJ))*($C$7))*($G$7/$F$7)</f>
        <v>13.636712745510335</v>
      </c>
      <c r="T7" s="951">
        <f>((11.5382986068726/(mmBTU_to_GJ))*($C$7))*($G$7/$F$7)</f>
        <v>13.868550606039326</v>
      </c>
      <c r="U7" s="951">
        <f>((11.7583208084106/(mmBTU_to_GJ))*($C$7))*($G$7/$F$7)</f>
        <v>14.133008056868725</v>
      </c>
      <c r="V7" s="951">
        <f>((11.9751005172729/(mmBTU_to_GJ))*($C$7))*($G$7/$F$7)</f>
        <v>14.393568167605377</v>
      </c>
      <c r="W7" s="951">
        <f>((12.23952293396/(mmBTU_to_GJ))*($C$7))*($G$7/$F$7)</f>
        <v>14.711392813347514</v>
      </c>
      <c r="X7" s="951">
        <f>((12.557071685791/(mmBTU_to_GJ))*($C$7))*($G$7/$F$7)</f>
        <v>15.093073083957748</v>
      </c>
      <c r="Y7" s="951">
        <f>((12.7957820892334/(mmBTU_to_GJ))*($C$7))*($G$7/$F$7)</f>
        <v>15.379992969040035</v>
      </c>
      <c r="Z7" s="951">
        <f>((12.8716516494751/(mmBTU_to_GJ))*($C$7))*($G$7/$F$7)</f>
        <v>15.471184995830123</v>
      </c>
      <c r="AA7" s="951">
        <f>((12.6602811813354/(mmBTU_to_GJ))*($C$7))*($G$7/$F$7)</f>
        <v>15.217126565389467</v>
      </c>
      <c r="AB7" s="951">
        <f>((12.6240320205688/(mmBTU_to_GJ))*($C$7))*($G$7/$F$7)</f>
        <v>15.173556595704456</v>
      </c>
      <c r="AC7" s="951">
        <f>((12.5992183685303/(mmBTU_to_GJ))*($C$7))*($G$7/$F$7)</f>
        <v>15.143731627505801</v>
      </c>
      <c r="AD7" s="951">
        <f>((12.7868556976318/(mmBTU_to_GJ))*($C$7))*($G$7/$F$7)</f>
        <v>15.369263821019688</v>
      </c>
      <c r="AE7" s="951">
        <f>((13.07555103302/(mmBTU_to_GJ))*($C$7))*($G$7/$F$7)</f>
        <v>15.716263496186178</v>
      </c>
      <c r="AF7" s="951">
        <f>((13.407883644104/(mmBTU_to_GJ))*($C$7))*($G$7/$F$7)</f>
        <v>16.115713345066876</v>
      </c>
      <c r="AG7" s="951">
        <f>((13.6725673675537/(mmBTU_to_GJ))*($C$7))*($G$7/$F$7)</f>
        <v>16.433852070569323</v>
      </c>
      <c r="AH7" s="951">
        <f>((13.9620389938354/(mmBTU_to_GJ))*($C$7))*($G$7/$F$7)</f>
        <v>16.781784814805029</v>
      </c>
      <c r="AI7" s="951">
        <f>($BB7-$AH7)/20+AH7</f>
        <v>16.924252919684925</v>
      </c>
      <c r="AJ7" s="951">
        <f t="shared" ref="AJ7:AY10" si="30">($BB7-$AH7)/20+AI7</f>
        <v>17.066721024564821</v>
      </c>
      <c r="AK7" s="951">
        <f t="shared" si="30"/>
        <v>17.209189129444717</v>
      </c>
      <c r="AL7" s="951">
        <f t="shared" si="30"/>
        <v>17.351657234324612</v>
      </c>
      <c r="AM7" s="951">
        <f t="shared" si="30"/>
        <v>17.494125339204508</v>
      </c>
      <c r="AN7" s="951">
        <f t="shared" si="30"/>
        <v>17.636593444084404</v>
      </c>
      <c r="AO7" s="951">
        <f t="shared" si="30"/>
        <v>17.7790615489643</v>
      </c>
      <c r="AP7" s="951">
        <f t="shared" si="30"/>
        <v>17.921529653844196</v>
      </c>
      <c r="AQ7" s="951">
        <f t="shared" si="30"/>
        <v>18.063997758724092</v>
      </c>
      <c r="AR7" s="951">
        <f t="shared" si="30"/>
        <v>18.206465863603988</v>
      </c>
      <c r="AS7" s="951">
        <f t="shared" si="30"/>
        <v>18.348933968483884</v>
      </c>
      <c r="AT7" s="951">
        <f t="shared" si="30"/>
        <v>18.49140207336378</v>
      </c>
      <c r="AU7" s="951">
        <f t="shared" si="30"/>
        <v>18.633870178243676</v>
      </c>
      <c r="AV7" s="951">
        <f t="shared" si="30"/>
        <v>18.776338283123572</v>
      </c>
      <c r="AW7" s="951">
        <f t="shared" si="30"/>
        <v>18.918806388003468</v>
      </c>
      <c r="AX7" s="951">
        <f t="shared" si="30"/>
        <v>19.061274492883364</v>
      </c>
      <c r="AY7" s="951">
        <f t="shared" si="30"/>
        <v>19.203742597763259</v>
      </c>
      <c r="AZ7" s="951">
        <f t="shared" ref="AY7:BA10" si="31">($BB7-$AH7)/20+AY7</f>
        <v>19.346210702643155</v>
      </c>
      <c r="BA7" s="951">
        <f t="shared" si="31"/>
        <v>19.488678807523051</v>
      </c>
      <c r="BB7" s="1064">
        <f>1.16978897829057*AH7</f>
        <v>19.631146912402976</v>
      </c>
      <c r="BC7" s="951">
        <f>($BQ7-$BB7)/15+BB7</f>
        <v>19.82552968566489</v>
      </c>
      <c r="BD7" s="951">
        <f t="shared" ref="BD7:BP7" si="32">($BQ7-$BB7)/15+BC7</f>
        <v>20.019912458926804</v>
      </c>
      <c r="BE7" s="951">
        <f t="shared" si="32"/>
        <v>20.214295232188718</v>
      </c>
      <c r="BF7" s="951">
        <f t="shared" si="32"/>
        <v>20.408678005450632</v>
      </c>
      <c r="BG7" s="951">
        <f t="shared" si="32"/>
        <v>20.603060778712546</v>
      </c>
      <c r="BH7" s="951">
        <f t="shared" si="32"/>
        <v>20.79744355197446</v>
      </c>
      <c r="BI7" s="951">
        <f t="shared" si="32"/>
        <v>20.991826325236374</v>
      </c>
      <c r="BJ7" s="951">
        <f t="shared" si="32"/>
        <v>21.186209098498288</v>
      </c>
      <c r="BK7" s="951">
        <f t="shared" si="32"/>
        <v>21.380591871760203</v>
      </c>
      <c r="BL7" s="951">
        <f t="shared" si="32"/>
        <v>21.574974645022117</v>
      </c>
      <c r="BM7" s="951">
        <f t="shared" si="32"/>
        <v>21.769357418284031</v>
      </c>
      <c r="BN7" s="951">
        <f t="shared" si="32"/>
        <v>21.963740191545945</v>
      </c>
      <c r="BO7" s="951">
        <f t="shared" si="32"/>
        <v>22.158122964807859</v>
      </c>
      <c r="BP7" s="951">
        <f t="shared" si="32"/>
        <v>22.352505738069773</v>
      </c>
      <c r="BQ7" s="1064">
        <f>1.14852629914794*BB7</f>
        <v>22.546888511331698</v>
      </c>
      <c r="BR7" s="951">
        <f>($BV7-$BQ7)/5+BQ7</f>
        <v>22.770142238524333</v>
      </c>
      <c r="BS7" s="951">
        <f>($BV7-$BQ7)/5+BR7</f>
        <v>22.993395965716967</v>
      </c>
      <c r="BT7" s="951">
        <f>($BV7-$BQ7)/5+BS7</f>
        <v>23.216649692909602</v>
      </c>
      <c r="BU7" s="951">
        <f>($BV7-$BQ7)/5+BT7</f>
        <v>23.439903420102237</v>
      </c>
      <c r="BV7" s="1065">
        <f>1.04950876638265*BQ7</f>
        <v>23.663157147294871</v>
      </c>
      <c r="BW7" s="1388">
        <f>+BV7*BW$133/BV$133</f>
        <v>23.741725786947789</v>
      </c>
      <c r="BX7" s="1388">
        <f t="shared" ref="BX7:CZ7" si="33">+BW7*BX$133/BW$133</f>
        <v>23.820555297586708</v>
      </c>
      <c r="BY7" s="1388">
        <f t="shared" si="33"/>
        <v>23.899646545380008</v>
      </c>
      <c r="BZ7" s="1388">
        <f t="shared" si="33"/>
        <v>23.979000399372005</v>
      </c>
      <c r="CA7" s="1388">
        <f t="shared" si="33"/>
        <v>24.058617731492493</v>
      </c>
      <c r="CB7" s="1388">
        <f t="shared" si="33"/>
        <v>24.109957095304743</v>
      </c>
      <c r="CC7" s="1388">
        <f t="shared" si="33"/>
        <v>24.1614060136353</v>
      </c>
      <c r="CD7" s="1388">
        <f t="shared" si="33"/>
        <v>24.212964720265646</v>
      </c>
      <c r="CE7" s="1388">
        <f t="shared" si="33"/>
        <v>24.264633449476126</v>
      </c>
      <c r="CF7" s="1388">
        <f t="shared" si="33"/>
        <v>24.316412436047038</v>
      </c>
      <c r="CG7" s="1388">
        <f t="shared" si="33"/>
        <v>24.333224744531737</v>
      </c>
      <c r="CH7" s="1388">
        <f t="shared" si="33"/>
        <v>24.350048677005677</v>
      </c>
      <c r="CI7" s="1388">
        <f t="shared" si="33"/>
        <v>24.366884241505659</v>
      </c>
      <c r="CJ7" s="1388">
        <f t="shared" si="33"/>
        <v>24.383731446074034</v>
      </c>
      <c r="CK7" s="1388">
        <f t="shared" si="33"/>
        <v>24.400590298758722</v>
      </c>
      <c r="CL7" s="1388">
        <f t="shared" si="33"/>
        <v>24.406304701449077</v>
      </c>
      <c r="CM7" s="1388">
        <f t="shared" si="33"/>
        <v>24.41202044240206</v>
      </c>
      <c r="CN7" s="1388">
        <f t="shared" si="33"/>
        <v>24.41773752193108</v>
      </c>
      <c r="CO7" s="1388">
        <f t="shared" si="33"/>
        <v>24.423455940349619</v>
      </c>
      <c r="CP7" s="1388">
        <f t="shared" si="33"/>
        <v>24.429175697971235</v>
      </c>
      <c r="CQ7" s="1388">
        <f t="shared" si="33"/>
        <v>24.437844539812179</v>
      </c>
      <c r="CR7" s="1388">
        <f t="shared" si="33"/>
        <v>24.446516457844467</v>
      </c>
      <c r="CS7" s="1388">
        <f t="shared" si="33"/>
        <v>24.455191453159703</v>
      </c>
      <c r="CT7" s="1388">
        <f t="shared" si="33"/>
        <v>24.463869526849884</v>
      </c>
      <c r="CU7" s="1388">
        <f t="shared" si="33"/>
        <v>24.472550680007387</v>
      </c>
      <c r="CV7" s="1388">
        <f t="shared" si="33"/>
        <v>24.485911011470357</v>
      </c>
      <c r="CW7" s="1388">
        <f t="shared" si="33"/>
        <v>24.499278636756479</v>
      </c>
      <c r="CX7" s="1388">
        <f t="shared" si="33"/>
        <v>24.512653559847685</v>
      </c>
      <c r="CY7" s="1388">
        <f t="shared" si="33"/>
        <v>24.526035784728073</v>
      </c>
      <c r="CZ7" s="1388">
        <f t="shared" si="33"/>
        <v>24.539425315383912</v>
      </c>
    </row>
    <row r="8" spans="1:104" x14ac:dyDescent="0.25">
      <c r="A8" s="870" t="str">
        <f>'HyARC Physical Property Data'!A71</f>
        <v>Commercial Natural Gas</v>
      </c>
      <c r="B8" s="260">
        <v>2007</v>
      </c>
      <c r="C8" s="869">
        <f>VLOOKUP(ref_year,DeflatorTable,2,FALSE)/VLOOKUP(B8,DeflatorTable,2,FALSE)</f>
        <v>1.1446359956438654</v>
      </c>
      <c r="D8" s="870" t="str">
        <f>'HyARC Physical Property Data'!H71</f>
        <v>mmBtu</v>
      </c>
      <c r="E8" s="869" t="s">
        <v>1059</v>
      </c>
      <c r="F8" s="260">
        <f>'HyARC Physical Property Data'!$E$6</f>
        <v>47.141269049911173</v>
      </c>
      <c r="G8" s="260">
        <f>'HyARC Physical Property Data'!$I$6</f>
        <v>52.224661236371581</v>
      </c>
      <c r="H8" s="260">
        <f>((11.8960943222046/(mmBTU_to_GJ))*($C$8))*($G$8/$F$8)</f>
        <v>14.298606037413785</v>
      </c>
      <c r="I8" s="260">
        <f>((11.8960943222046/(mmBTU_to_GJ))*($C$8))*($G$8/$F$8)</f>
        <v>14.298606037413785</v>
      </c>
      <c r="J8" s="260">
        <f>((11.8960943222046/(mmBTU_to_GJ))*($C$8))*($G$8/$F$8)</f>
        <v>14.298606037413785</v>
      </c>
      <c r="K8" s="260">
        <f>((10.9898433685303/(mmBTU_to_GJ))*($C$8))*($G$8/$F$8)</f>
        <v>13.209330430929022</v>
      </c>
      <c r="L8" s="260">
        <f>((11.3387994766235/(mmBTU_to_GJ))*($C$8))*($G$8/$F$8)</f>
        <v>13.628761025444446</v>
      </c>
      <c r="M8" s="260">
        <f>((8.90759468078613/(mmBTU_to_GJ))*($C$8))*($G$8/$F$8)</f>
        <v>10.706554910529642</v>
      </c>
      <c r="N8" s="260">
        <f>((9.46560573577881/(mmBTU_to_GJ))*($C$8))*($G$8/$F$8)</f>
        <v>11.377260776148852</v>
      </c>
      <c r="O8" s="260">
        <f>((9.74632167816162/(mmBTU_to_GJ))*($C$8))*($G$8/$F$8)</f>
        <v>11.714669555857421</v>
      </c>
      <c r="P8" s="260">
        <f>((9.72109222412109/(mmBTU_to_GJ))*($C$8))*($G$8/$F$8)</f>
        <v>11.684344811105591</v>
      </c>
      <c r="Q8" s="260">
        <f>((9.67193412780762/(mmBTU_to_GJ))*($C$8))*($G$8/$F$8)</f>
        <v>11.625258842745071</v>
      </c>
      <c r="R8" s="260">
        <f>((9.71388721466064/(mmBTU_to_GJ))*($C$8))*($G$8/$F$8)</f>
        <v>11.675684692163989</v>
      </c>
      <c r="S8" s="260">
        <f>((9.83065605163574/(mmBTU_to_GJ))*($C$8))*($G$8/$F$8)</f>
        <v>11.816035932842832</v>
      </c>
      <c r="T8" s="260">
        <f>((10.0382099151611/(mmBTU_to_GJ))*($C$8))*($G$8/$F$8)</f>
        <v>12.065506964738809</v>
      </c>
      <c r="U8" s="260">
        <f>((10.2545003890991/(mmBTU_to_GJ))*($C$8))*($G$8/$F$8)</f>
        <v>12.32547903563206</v>
      </c>
      <c r="V8" s="260">
        <f>((10.476261138916/(mmBTU_to_GJ))*($C$8))*($G$8/$F$8)</f>
        <v>12.592026148517233</v>
      </c>
      <c r="W8" s="260">
        <f>((10.746561050415/(mmBTU_to_GJ))*($C$8))*($G$8/$F$8)</f>
        <v>12.916915296315764</v>
      </c>
      <c r="X8" s="260">
        <f>((11.0803880691528/(mmBTU_to_GJ))*($C$8))*($G$8/$F$8)</f>
        <v>13.318161360468658</v>
      </c>
      <c r="Y8" s="260">
        <f>((11.3143692016602/(mmBTU_to_GJ))*($C$8))*($G$8/$F$8)</f>
        <v>13.599396860397949</v>
      </c>
      <c r="Z8" s="260">
        <f>((11.4017143249512/(mmBTU_to_GJ))*($C$8))*($G$8/$F$8)</f>
        <v>13.704382032287196</v>
      </c>
      <c r="AA8" s="260">
        <f>((11.2125005722046/(mmBTU_to_GJ))*($C$8))*($G$8/$F$8)</f>
        <v>13.476955043722189</v>
      </c>
      <c r="AB8" s="260">
        <f>((11.1975994110107/(mmBTU_to_GJ))*($C$8))*($G$8/$F$8)</f>
        <v>13.459044473442507</v>
      </c>
      <c r="AC8" s="260">
        <f>((11.159740447998/(mmBTU_to_GJ))*($C$8))*($G$8/$F$8)</f>
        <v>13.413539589029041</v>
      </c>
      <c r="AD8" s="260">
        <f>((11.3503875732422/(mmBTU_to_GJ))*($C$8))*($G$8/$F$8)</f>
        <v>13.642689431170433</v>
      </c>
      <c r="AE8" s="260">
        <f>((11.6409521102905/(mmBTU_to_GJ))*($C$8))*($G$8/$F$8)</f>
        <v>13.99193580827273</v>
      </c>
      <c r="AF8" s="260">
        <f>((11.9785671234131/(mmBTU_to_GJ))*($C$8))*($G$8/$F$8)</f>
        <v>14.397734882675305</v>
      </c>
      <c r="AG8" s="260">
        <f>((12.2332496643066/(mmBTU_to_GJ))*($C$8))*($G$8/$F$8)</f>
        <v>14.703852606544261</v>
      </c>
      <c r="AH8" s="260">
        <f>((12.5188312530518/(mmBTU_to_GJ))*($C$8))*($G$8/$F$8)</f>
        <v>15.0471096889452</v>
      </c>
      <c r="AI8" s="260">
        <f>($BB8-$AH8)/20+AH8</f>
        <v>15.174851357960808</v>
      </c>
      <c r="AJ8" s="260">
        <f t="shared" si="30"/>
        <v>15.302593026976416</v>
      </c>
      <c r="AK8" s="260">
        <f t="shared" si="30"/>
        <v>15.430334695992023</v>
      </c>
      <c r="AL8" s="260">
        <f t="shared" si="30"/>
        <v>15.558076365007631</v>
      </c>
      <c r="AM8" s="260">
        <f t="shared" si="30"/>
        <v>15.685818034023239</v>
      </c>
      <c r="AN8" s="260">
        <f t="shared" si="30"/>
        <v>15.813559703038846</v>
      </c>
      <c r="AO8" s="260">
        <f t="shared" si="30"/>
        <v>15.941301372054454</v>
      </c>
      <c r="AP8" s="260">
        <f t="shared" si="30"/>
        <v>16.06904304107006</v>
      </c>
      <c r="AQ8" s="260">
        <f t="shared" si="30"/>
        <v>16.196784710085666</v>
      </c>
      <c r="AR8" s="260">
        <f t="shared" si="30"/>
        <v>16.324526379101272</v>
      </c>
      <c r="AS8" s="260">
        <f t="shared" si="30"/>
        <v>16.452268048116878</v>
      </c>
      <c r="AT8" s="260">
        <f t="shared" si="30"/>
        <v>16.580009717132484</v>
      </c>
      <c r="AU8" s="260">
        <f t="shared" si="30"/>
        <v>16.70775138614809</v>
      </c>
      <c r="AV8" s="260">
        <f t="shared" si="30"/>
        <v>16.835493055163695</v>
      </c>
      <c r="AW8" s="260">
        <f t="shared" si="30"/>
        <v>16.963234724179301</v>
      </c>
      <c r="AX8" s="260">
        <f t="shared" si="30"/>
        <v>17.090976393194907</v>
      </c>
      <c r="AY8" s="260">
        <f t="shared" si="31"/>
        <v>17.218718062210513</v>
      </c>
      <c r="AZ8" s="260">
        <f t="shared" si="31"/>
        <v>17.346459731226119</v>
      </c>
      <c r="BA8" s="260">
        <f t="shared" si="31"/>
        <v>17.474201400241725</v>
      </c>
      <c r="BB8" s="1063">
        <f>1.16978897829057*AH8</f>
        <v>17.601943069257342</v>
      </c>
      <c r="BC8" s="260">
        <f t="shared" ref="BC8:BP10" si="34">($BQ8-$BB8)/15+BB8</f>
        <v>17.776233166716644</v>
      </c>
      <c r="BD8" s="260">
        <f t="shared" si="34"/>
        <v>17.950523264175946</v>
      </c>
      <c r="BE8" s="260">
        <f t="shared" si="34"/>
        <v>18.124813361635248</v>
      </c>
      <c r="BF8" s="260">
        <f t="shared" si="34"/>
        <v>18.29910345909455</v>
      </c>
      <c r="BG8" s="260">
        <f t="shared" si="34"/>
        <v>18.473393556553852</v>
      </c>
      <c r="BH8" s="260">
        <f t="shared" si="34"/>
        <v>18.647683654013154</v>
      </c>
      <c r="BI8" s="260">
        <f t="shared" si="34"/>
        <v>18.821973751472456</v>
      </c>
      <c r="BJ8" s="260">
        <f t="shared" si="34"/>
        <v>18.996263848931758</v>
      </c>
      <c r="BK8" s="260">
        <f t="shared" si="34"/>
        <v>19.17055394639106</v>
      </c>
      <c r="BL8" s="260">
        <f t="shared" si="34"/>
        <v>19.344844043850362</v>
      </c>
      <c r="BM8" s="260">
        <f t="shared" si="34"/>
        <v>19.519134141309664</v>
      </c>
      <c r="BN8" s="260">
        <f t="shared" si="34"/>
        <v>19.693424238768966</v>
      </c>
      <c r="BO8" s="260">
        <f t="shared" si="34"/>
        <v>19.867714336228268</v>
      </c>
      <c r="BP8" s="260">
        <f t="shared" si="34"/>
        <v>20.04200443368757</v>
      </c>
      <c r="BQ8" s="1063">
        <f>1.14852629914794*BB8</f>
        <v>20.216294531146865</v>
      </c>
      <c r="BR8" s="260">
        <f t="shared" ref="BR8:BU10" si="35">($BV8-$BQ8)/5+BQ8</f>
        <v>20.416471291759944</v>
      </c>
      <c r="BS8" s="260">
        <f t="shared" si="35"/>
        <v>20.616648052373023</v>
      </c>
      <c r="BT8" s="260">
        <f t="shared" si="35"/>
        <v>20.816824812986102</v>
      </c>
      <c r="BU8" s="260">
        <f t="shared" si="35"/>
        <v>21.017001573599181</v>
      </c>
      <c r="BV8" s="1066">
        <f>1.04950876638265*BQ8</f>
        <v>21.217178334212257</v>
      </c>
      <c r="BW8" s="1388">
        <f>+BV8*BW$134/BV$134</f>
        <v>21.287625604989181</v>
      </c>
      <c r="BX8" s="1388">
        <f t="shared" ref="BX8:CZ8" si="36">+BW8*BX$134/BW$134</f>
        <v>21.358306781419426</v>
      </c>
      <c r="BY8" s="1388">
        <f t="shared" si="36"/>
        <v>21.429222640138541</v>
      </c>
      <c r="BZ8" s="1388">
        <f t="shared" si="36"/>
        <v>21.500373960360729</v>
      </c>
      <c r="CA8" s="1388">
        <f t="shared" si="36"/>
        <v>21.571761523887421</v>
      </c>
      <c r="CB8" s="1388">
        <f t="shared" si="36"/>
        <v>21.617794115007417</v>
      </c>
      <c r="CC8" s="1388">
        <f t="shared" si="36"/>
        <v>21.663924936373601</v>
      </c>
      <c r="CD8" s="1388">
        <f t="shared" si="36"/>
        <v>21.710154197602268</v>
      </c>
      <c r="CE8" s="1388">
        <f t="shared" si="36"/>
        <v>21.756482108757027</v>
      </c>
      <c r="CF8" s="1388">
        <f t="shared" si="36"/>
        <v>21.802908880349733</v>
      </c>
      <c r="CG8" s="1388">
        <f t="shared" si="36"/>
        <v>21.817983358582254</v>
      </c>
      <c r="CH8" s="1388">
        <f t="shared" si="36"/>
        <v>21.833068259272402</v>
      </c>
      <c r="CI8" s="1388">
        <f t="shared" si="36"/>
        <v>21.848163589626239</v>
      </c>
      <c r="CJ8" s="1388">
        <f t="shared" si="36"/>
        <v>21.863269356854815</v>
      </c>
      <c r="CK8" s="1388">
        <f t="shared" si="36"/>
        <v>21.878385568174153</v>
      </c>
      <c r="CL8" s="1388">
        <f t="shared" si="36"/>
        <v>21.883509292798049</v>
      </c>
      <c r="CM8" s="1388">
        <f t="shared" si="36"/>
        <v>21.888634217352987</v>
      </c>
      <c r="CN8" s="1388">
        <f t="shared" si="36"/>
        <v>21.893760342119982</v>
      </c>
      <c r="CO8" s="1388">
        <f t="shared" si="36"/>
        <v>21.898887667380112</v>
      </c>
      <c r="CP8" s="1388">
        <f t="shared" si="36"/>
        <v>21.904016193414524</v>
      </c>
      <c r="CQ8" s="1388">
        <f t="shared" si="36"/>
        <v>21.911788967019731</v>
      </c>
      <c r="CR8" s="1388">
        <f t="shared" si="36"/>
        <v>21.919564498841009</v>
      </c>
      <c r="CS8" s="1388">
        <f t="shared" si="36"/>
        <v>21.927342789857128</v>
      </c>
      <c r="CT8" s="1388">
        <f t="shared" si="36"/>
        <v>21.935123841047208</v>
      </c>
      <c r="CU8" s="1388">
        <f t="shared" si="36"/>
        <v>21.942907653390712</v>
      </c>
      <c r="CV8" s="1388">
        <f t="shared" si="36"/>
        <v>21.954886973541843</v>
      </c>
      <c r="CW8" s="1388">
        <f t="shared" si="36"/>
        <v>21.966872833578826</v>
      </c>
      <c r="CX8" s="1388">
        <f t="shared" si="36"/>
        <v>21.978865237071986</v>
      </c>
      <c r="CY8" s="1388">
        <f t="shared" si="36"/>
        <v>21.990864187593605</v>
      </c>
      <c r="CZ8" s="1388">
        <f t="shared" si="36"/>
        <v>22.002869688717904</v>
      </c>
    </row>
    <row r="9" spans="1:104" x14ac:dyDescent="0.25">
      <c r="A9" s="870" t="str">
        <f>'HyARC Physical Property Data'!A72</f>
        <v>Industrial Natural Gas</v>
      </c>
      <c r="B9" s="260">
        <v>2007</v>
      </c>
      <c r="C9" s="869">
        <f t="shared" ref="C9:C18" si="37">VLOOKUP(ref_year,DeflatorTable,2,FALSE)/VLOOKUP(B9,DeflatorTable,2,FALSE)</f>
        <v>1.1446359956438654</v>
      </c>
      <c r="D9" s="1247" t="str">
        <f>'HyARC Physical Property Data'!H72</f>
        <v>mmBtu</v>
      </c>
      <c r="E9" s="869" t="s">
        <v>1059</v>
      </c>
      <c r="F9" s="260">
        <f>'HyARC Physical Property Data'!$E$6</f>
        <v>47.141269049911173</v>
      </c>
      <c r="G9" s="260">
        <f>'HyARC Physical Property Data'!$I$6</f>
        <v>52.224661236371581</v>
      </c>
      <c r="H9" s="260">
        <f>((7.95407009124756/(mmBTU_to_GJ))*($C$9))*($G$9/$F$9)</f>
        <v>9.5604583780441796</v>
      </c>
      <c r="I9" s="260">
        <f>((7.95407009124756/(mmBTU_to_GJ))*($C$9))*($G$9/$F$9)</f>
        <v>9.5604583780441796</v>
      </c>
      <c r="J9" s="260">
        <f>((7.95407009124756/(mmBTU_to_GJ))*($C$9))*($G$9/$F$9)</f>
        <v>9.5604583780441796</v>
      </c>
      <c r="K9" s="260">
        <f>((7.51525163650513/(mmBTU_to_GJ))*($C$9))*($G$9/$F$9)</f>
        <v>9.0330170148232209</v>
      </c>
      <c r="L9" s="260">
        <f>((8.80127239227294/(mmBTU_to_GJ))*($C$9))*($G$9/$F$9)</f>
        <v>10.578759982608744</v>
      </c>
      <c r="M9" s="260">
        <f>((4.84856796264648/(mmBTU_to_GJ))*($C$9))*($G$9/$F$9)</f>
        <v>5.8277751727392237</v>
      </c>
      <c r="N9" s="260">
        <f>((5.49891996383666/(mmBTU_to_GJ))*($C$9))*($G$9/$F$9)</f>
        <v>6.6094709796819098</v>
      </c>
      <c r="O9" s="260">
        <f>((5.82616424560547/(mmBTU_to_GJ))*($C$9))*($G$9/$F$9)</f>
        <v>7.002804870308081</v>
      </c>
      <c r="P9" s="260">
        <f>((5.87778615951538/(mmBTU_to_GJ))*($C$9))*($G$9/$F$9)</f>
        <v>7.0648522440009209</v>
      </c>
      <c r="Q9" s="260">
        <f>((5.95383930206299/(mmBTU_to_GJ))*($C$9))*($G$9/$F$9)</f>
        <v>7.1562649290168574</v>
      </c>
      <c r="R9" s="260">
        <f>((6.10985708236694/(mmBTU_to_GJ))*($C$9))*($G$9/$F$9)</f>
        <v>7.3437917521048339</v>
      </c>
      <c r="S9" s="260">
        <f>((6.32948446273804/(mmBTU_to_GJ))*($C$9))*($G$9/$F$9)</f>
        <v>7.6077746444642154</v>
      </c>
      <c r="T9" s="260">
        <f>((6.51258134841919/(mmBTU_to_GJ))*($C$9))*($G$9/$F$9)</f>
        <v>7.8278494155716949</v>
      </c>
      <c r="U9" s="260">
        <f>((6.70273017883301/(mmBTU_to_GJ))*($C$9))*($G$9/$F$9)</f>
        <v>8.0564003282428658</v>
      </c>
      <c r="V9" s="260">
        <f>((6.89887094497681/(mmBTU_to_GJ))*($C$9))*($G$9/$F$9)</f>
        <v>8.2921532961503175</v>
      </c>
      <c r="W9" s="260">
        <f>((7.15282821655273/(mmBTU_to_GJ))*($C$9))*($G$9/$F$9)</f>
        <v>8.5973992767426797</v>
      </c>
      <c r="X9" s="260">
        <f>((7.46860218048096/(mmBTU_to_GJ))*($C$9))*($G$9/$F$9)</f>
        <v>8.9769463267904062</v>
      </c>
      <c r="Y9" s="260">
        <f>((7.67867755889893/(mmBTU_to_GJ))*($C$9))*($G$9/$F$9)</f>
        <v>9.2294481137468605</v>
      </c>
      <c r="Z9" s="260">
        <f>((7.75380706787109/(mmBTU_to_GJ))*($C$9))*($G$9/$F$9)</f>
        <v>9.3197506299745712</v>
      </c>
      <c r="AA9" s="260">
        <f>((7.55847835540771/(mmBTU_to_GJ))*($C$9))*($G$9/$F$9)</f>
        <v>9.084973716505079</v>
      </c>
      <c r="AB9" s="260">
        <f>((7.54617786407471/(mmBTU_to_GJ))*($C$9))*($G$9/$F$9)</f>
        <v>9.0701890422352296</v>
      </c>
      <c r="AC9" s="260">
        <f>((7.45927095413208/(mmBTU_to_GJ))*($C$9))*($G$9/$F$9)</f>
        <v>8.9657305843967432</v>
      </c>
      <c r="AD9" s="260">
        <f>((7.60022306442261/(mmBTU_to_GJ))*($C$9))*($G$9/$F$9)</f>
        <v>9.1351491045092246</v>
      </c>
      <c r="AE9" s="260">
        <f>((7.85960483551025/(mmBTU_to_GJ))*($C$9))*($G$9/$F$9)</f>
        <v>9.4469151058216188</v>
      </c>
      <c r="AF9" s="260">
        <f>((8.19417572021484/(mmBTU_to_GJ))*($C$9))*($G$9/$F$9)</f>
        <v>9.8490552656428605</v>
      </c>
      <c r="AG9" s="260">
        <f>((8.42161273956299/(mmBTU_to_GJ))*($C$9))*($G$9/$F$9)</f>
        <v>10.122425016243508</v>
      </c>
      <c r="AH9" s="260">
        <f>((8.69355010986328/(mmBTU_to_GJ))*($C$9))*($G$9/$F$9)</f>
        <v>10.449282320788951</v>
      </c>
      <c r="AI9" s="260">
        <f>($BB9-$AH9)/20+AH9</f>
        <v>10.537990969244774</v>
      </c>
      <c r="AJ9" s="260">
        <f t="shared" si="30"/>
        <v>10.626699617700597</v>
      </c>
      <c r="AK9" s="260">
        <f t="shared" si="30"/>
        <v>10.71540826615642</v>
      </c>
      <c r="AL9" s="260">
        <f t="shared" si="30"/>
        <v>10.804116914612242</v>
      </c>
      <c r="AM9" s="260">
        <f t="shared" si="30"/>
        <v>10.892825563068065</v>
      </c>
      <c r="AN9" s="260">
        <f t="shared" si="30"/>
        <v>10.981534211523888</v>
      </c>
      <c r="AO9" s="260">
        <f t="shared" si="30"/>
        <v>11.070242859979711</v>
      </c>
      <c r="AP9" s="260">
        <f t="shared" si="30"/>
        <v>11.158951508435534</v>
      </c>
      <c r="AQ9" s="260">
        <f t="shared" si="30"/>
        <v>11.247660156891357</v>
      </c>
      <c r="AR9" s="260">
        <f t="shared" si="30"/>
        <v>11.336368805347179</v>
      </c>
      <c r="AS9" s="260">
        <f t="shared" si="30"/>
        <v>11.425077453803002</v>
      </c>
      <c r="AT9" s="260">
        <f t="shared" si="30"/>
        <v>11.513786102258825</v>
      </c>
      <c r="AU9" s="260">
        <f t="shared" si="30"/>
        <v>11.602494750714648</v>
      </c>
      <c r="AV9" s="260">
        <f t="shared" si="30"/>
        <v>11.691203399170471</v>
      </c>
      <c r="AW9" s="260">
        <f t="shared" si="30"/>
        <v>11.779912047626294</v>
      </c>
      <c r="AX9" s="260">
        <f t="shared" si="30"/>
        <v>11.868620696082116</v>
      </c>
      <c r="AY9" s="260">
        <f t="shared" si="30"/>
        <v>11.957329344537939</v>
      </c>
      <c r="AZ9" s="260">
        <f t="shared" si="31"/>
        <v>12.046037992993762</v>
      </c>
      <c r="BA9" s="260">
        <f t="shared" si="31"/>
        <v>12.134746641449585</v>
      </c>
      <c r="BB9" s="1063">
        <f>1.16978897829057*AH9</f>
        <v>12.223455289905422</v>
      </c>
      <c r="BC9" s="260">
        <f t="shared" si="34"/>
        <v>12.344488928372753</v>
      </c>
      <c r="BD9" s="260">
        <f t="shared" si="34"/>
        <v>12.465522566840084</v>
      </c>
      <c r="BE9" s="260">
        <f t="shared" si="34"/>
        <v>12.586556205307415</v>
      </c>
      <c r="BF9" s="260">
        <f t="shared" si="34"/>
        <v>12.707589843774747</v>
      </c>
      <c r="BG9" s="260">
        <f t="shared" si="34"/>
        <v>12.828623482242078</v>
      </c>
      <c r="BH9" s="260">
        <f t="shared" si="34"/>
        <v>12.949657120709409</v>
      </c>
      <c r="BI9" s="260">
        <f t="shared" si="34"/>
        <v>13.07069075917674</v>
      </c>
      <c r="BJ9" s="260">
        <f t="shared" si="34"/>
        <v>13.191724397644071</v>
      </c>
      <c r="BK9" s="260">
        <f t="shared" si="34"/>
        <v>13.312758036111402</v>
      </c>
      <c r="BL9" s="260">
        <f t="shared" si="34"/>
        <v>13.433791674578734</v>
      </c>
      <c r="BM9" s="260">
        <f t="shared" si="34"/>
        <v>13.554825313046065</v>
      </c>
      <c r="BN9" s="260">
        <f t="shared" si="34"/>
        <v>13.675858951513396</v>
      </c>
      <c r="BO9" s="260">
        <f t="shared" si="34"/>
        <v>13.796892589980727</v>
      </c>
      <c r="BP9" s="260">
        <f t="shared" si="34"/>
        <v>13.917926228448058</v>
      </c>
      <c r="BQ9" s="1063">
        <f>1.14852629914794*BB9</f>
        <v>14.038959866915382</v>
      </c>
      <c r="BR9" s="260">
        <f t="shared" si="35"/>
        <v>14.177970183776685</v>
      </c>
      <c r="BS9" s="260">
        <f t="shared" si="35"/>
        <v>14.316980500637987</v>
      </c>
      <c r="BT9" s="260">
        <f t="shared" si="35"/>
        <v>14.455990817499289</v>
      </c>
      <c r="BU9" s="260">
        <f t="shared" si="35"/>
        <v>14.595001134360592</v>
      </c>
      <c r="BV9" s="1066">
        <f>1.04950876638265*BQ9</f>
        <v>14.734011451221894</v>
      </c>
      <c r="BW9" s="1388">
        <f>+BV9*BW$135/BV$135</f>
        <v>14.78293270163439</v>
      </c>
      <c r="BX9" s="1388">
        <f t="shared" ref="BX9:CZ9" si="38">+BW9*BX$135/BW$135</f>
        <v>14.832016384983078</v>
      </c>
      <c r="BY9" s="1388">
        <f t="shared" si="38"/>
        <v>14.881263040593069</v>
      </c>
      <c r="BZ9" s="1388">
        <f t="shared" si="38"/>
        <v>14.93067320958019</v>
      </c>
      <c r="CA9" s="1388">
        <f t="shared" si="38"/>
        <v>14.980247434856935</v>
      </c>
      <c r="CB9" s="1388">
        <f t="shared" si="38"/>
        <v>15.012214207912603</v>
      </c>
      <c r="CC9" s="1388">
        <f t="shared" si="38"/>
        <v>15.044249195768062</v>
      </c>
      <c r="CD9" s="1388">
        <f t="shared" si="38"/>
        <v>15.076352543988799</v>
      </c>
      <c r="CE9" s="1388">
        <f t="shared" si="38"/>
        <v>15.10852439845093</v>
      </c>
      <c r="CF9" s="1388">
        <f t="shared" si="38"/>
        <v>15.140764905341857</v>
      </c>
      <c r="CG9" s="1388">
        <f t="shared" si="38"/>
        <v>15.151233193414877</v>
      </c>
      <c r="CH9" s="1388">
        <f t="shared" si="38"/>
        <v>15.16170871923684</v>
      </c>
      <c r="CI9" s="1388">
        <f t="shared" si="38"/>
        <v>15.172191487811906</v>
      </c>
      <c r="CJ9" s="1388">
        <f t="shared" si="38"/>
        <v>15.182681504147698</v>
      </c>
      <c r="CK9" s="1388">
        <f t="shared" si="38"/>
        <v>15.193178773255301</v>
      </c>
      <c r="CL9" s="1388">
        <f t="shared" si="38"/>
        <v>15.196736881505712</v>
      </c>
      <c r="CM9" s="1388">
        <f t="shared" si="38"/>
        <v>15.200295823033644</v>
      </c>
      <c r="CN9" s="1388">
        <f t="shared" si="38"/>
        <v>15.20385559803424</v>
      </c>
      <c r="CO9" s="1388">
        <f t="shared" si="38"/>
        <v>15.207416206702694</v>
      </c>
      <c r="CP9" s="1388">
        <f t="shared" si="38"/>
        <v>15.210977649234243</v>
      </c>
      <c r="CQ9" s="1388">
        <f t="shared" si="38"/>
        <v>15.216375357332034</v>
      </c>
      <c r="CR9" s="1388">
        <f t="shared" si="38"/>
        <v>15.221774980839431</v>
      </c>
      <c r="CS9" s="1388">
        <f t="shared" si="38"/>
        <v>15.22717652043613</v>
      </c>
      <c r="CT9" s="1388">
        <f t="shared" si="38"/>
        <v>15.232579976802066</v>
      </c>
      <c r="CU9" s="1388">
        <f t="shared" si="38"/>
        <v>15.237985350617416</v>
      </c>
      <c r="CV9" s="1388">
        <f t="shared" si="38"/>
        <v>15.246304243804076</v>
      </c>
      <c r="CW9" s="1388">
        <f t="shared" si="38"/>
        <v>15.254627678534927</v>
      </c>
      <c r="CX9" s="1388">
        <f t="shared" si="38"/>
        <v>15.262955657289339</v>
      </c>
      <c r="CY9" s="1388">
        <f t="shared" si="38"/>
        <v>15.271288182548037</v>
      </c>
      <c r="CZ9" s="1388">
        <f t="shared" si="38"/>
        <v>15.279625256793102</v>
      </c>
    </row>
    <row r="10" spans="1:104" x14ac:dyDescent="0.25">
      <c r="A10" s="870" t="str">
        <f>'HyARC Physical Property Data'!A74</f>
        <v>Electric Utility Natural Gas</v>
      </c>
      <c r="B10" s="260">
        <v>2007</v>
      </c>
      <c r="C10" s="869">
        <f t="shared" si="37"/>
        <v>1.1446359956438654</v>
      </c>
      <c r="D10" s="1247" t="str">
        <f>'HyARC Physical Property Data'!H74</f>
        <v>mmBtu</v>
      </c>
      <c r="E10" s="869" t="s">
        <v>1059</v>
      </c>
      <c r="F10" s="260">
        <f>'HyARC Physical Property Data'!$E$6</f>
        <v>47.141269049911173</v>
      </c>
      <c r="G10" s="260">
        <f>'HyARC Physical Property Data'!$I$6</f>
        <v>52.224661236371581</v>
      </c>
      <c r="H10" s="260">
        <f>((7.05463790893555/(mmBTU_to_GJ))*($C$10))*($G$10/$F$10)</f>
        <v>8.4793786485193543</v>
      </c>
      <c r="I10" s="260">
        <f>((7.05463790893555/(mmBTU_to_GJ))*($C$10))*($G$10/$F$10)</f>
        <v>8.4793786485193543</v>
      </c>
      <c r="J10" s="260">
        <f>((7.05463790893555/(mmBTU_to_GJ))*($C$10))*($G$10/$F$10)</f>
        <v>8.4793786485193543</v>
      </c>
      <c r="K10" s="260">
        <f>((7.01915979385375/(mmBTU_to_GJ))*($C$10))*($G$10/$F$10)</f>
        <v>8.4367354433828741</v>
      </c>
      <c r="L10" s="260">
        <f>((8.87161254882813/(mmBTU_to_GJ))*($C$10))*($G$10/$F$10)</f>
        <v>10.663305898264051</v>
      </c>
      <c r="M10" s="260">
        <f>((4.55562210083008/(mmBTU_to_GJ))*($C$10))*($G$10/$F$10)</f>
        <v>5.4756665432216405</v>
      </c>
      <c r="N10" s="260">
        <f>((5.12931346893311/(mmBTU_to_GJ))*($C$10))*($G$10/$F$10)</f>
        <v>6.1652194870192449</v>
      </c>
      <c r="O10" s="260">
        <f>((5.45354604721069/(mmBTU_to_GJ))*($C$10))*($G$10/$F$10)</f>
        <v>6.5549334364650393</v>
      </c>
      <c r="P10" s="260">
        <f>((5.51876354217529/(mmBTU_to_GJ))*($C$10))*($G$10/$F$10)</f>
        <v>6.6333221279118835</v>
      </c>
      <c r="Q10" s="260">
        <f>((5.53977298736572/(mmBTU_to_GJ))*($C$10))*($G$10/$F$10)</f>
        <v>6.6585745991605227</v>
      </c>
      <c r="R10" s="260">
        <f>((5.68350362777709/(mmBTU_to_GJ))*($C$10))*($G$10/$F$10)</f>
        <v>6.8313327958496117</v>
      </c>
      <c r="S10" s="260">
        <f>((5.8920464515686/(mmBTU_to_GJ))*($C$10))*($G$10/$F$10)</f>
        <v>7.0819925164739512</v>
      </c>
      <c r="T10" s="260">
        <f>((6.08193254470825/(mmBTU_to_GJ))*($C$10))*($G$10/$F$10)</f>
        <v>7.3102276299699529</v>
      </c>
      <c r="U10" s="260">
        <f>((6.26939964294434/(mmBTU_to_GJ))*($C$10))*($G$10/$F$10)</f>
        <v>7.5355552131290491</v>
      </c>
      <c r="V10" s="260">
        <f>((6.47751331329346/(mmBTU_to_GJ))*($C$10))*($G$10/$F$10)</f>
        <v>7.785699109329328</v>
      </c>
      <c r="W10" s="260">
        <f>((6.73541975021362/(mmBTU_to_GJ))*($C$10))*($G$10/$F$10)</f>
        <v>8.0956918208994786</v>
      </c>
      <c r="X10" s="260">
        <f>((7.02784395217896/(mmBTU_to_GJ))*($C$10))*($G$10/$F$10)</f>
        <v>8.4471734371727294</v>
      </c>
      <c r="Y10" s="260">
        <f>((7.25390911102295/(mmBTU_to_GJ))*($C$10))*($G$10/$F$10)</f>
        <v>8.7188942690311428</v>
      </c>
      <c r="Z10" s="260">
        <f>((7.3283839225769/(mmBTU_to_GJ))*($C$10))*($G$10/$F$10)</f>
        <v>8.8084098664430517</v>
      </c>
      <c r="AA10" s="260">
        <f>((7.15062761306763/(mmBTU_to_GJ))*($C$10))*($G$10/$F$10)</f>
        <v>8.5947542437237932</v>
      </c>
      <c r="AB10" s="260">
        <f>((7.19241189956665/(mmBTU_to_GJ))*($C$10))*($G$10/$F$10)</f>
        <v>8.6449772022025897</v>
      </c>
      <c r="AC10" s="260">
        <f>((7.13988399505615/(mmBTU_to_GJ))*($C$10))*($G$10/$F$10)</f>
        <v>8.5818408658367442</v>
      </c>
      <c r="AD10" s="260">
        <f>((7.28062534332275/(mmBTU_to_GJ))*($C$10))*($G$10/$F$10)</f>
        <v>8.7510060588431848</v>
      </c>
      <c r="AE10" s="260">
        <f>((7.5354790687561/(mmBTU_to_GJ))*($C$10))*($G$10/$F$10)</f>
        <v>9.0573295393435789</v>
      </c>
      <c r="AF10" s="260">
        <f>((7.86007928848267/(mmBTU_to_GJ))*($C$10))*($G$10/$F$10)</f>
        <v>9.44748537837933</v>
      </c>
      <c r="AG10" s="260">
        <f>((8.07421207427979/(mmBTU_to_GJ))*($C$10))*($G$10/$F$10)</f>
        <v>9.7048639986960801</v>
      </c>
      <c r="AH10" s="260">
        <f>((8.33951759338379/(mmBTU_to_GJ))*($C$10))*($G$10/$F$10)</f>
        <v>10.023750096475156</v>
      </c>
      <c r="AI10" s="260">
        <f>($BB10-$AH10)/20+AH10</f>
        <v>10.108846210851182</v>
      </c>
      <c r="AJ10" s="260">
        <f t="shared" si="30"/>
        <v>10.193942325227207</v>
      </c>
      <c r="AK10" s="260">
        <f t="shared" si="30"/>
        <v>10.279038439603232</v>
      </c>
      <c r="AL10" s="260">
        <f t="shared" si="30"/>
        <v>10.364134553979257</v>
      </c>
      <c r="AM10" s="260">
        <f t="shared" si="30"/>
        <v>10.449230668355282</v>
      </c>
      <c r="AN10" s="260">
        <f t="shared" si="30"/>
        <v>10.534326782731307</v>
      </c>
      <c r="AO10" s="260">
        <f t="shared" si="30"/>
        <v>10.619422897107333</v>
      </c>
      <c r="AP10" s="260">
        <f t="shared" si="30"/>
        <v>10.704519011483358</v>
      </c>
      <c r="AQ10" s="260">
        <f t="shared" si="30"/>
        <v>10.789615125859383</v>
      </c>
      <c r="AR10" s="260">
        <f t="shared" si="30"/>
        <v>10.874711240235408</v>
      </c>
      <c r="AS10" s="260">
        <f t="shared" si="30"/>
        <v>10.959807354611433</v>
      </c>
      <c r="AT10" s="260">
        <f t="shared" si="30"/>
        <v>11.044903468987458</v>
      </c>
      <c r="AU10" s="260">
        <f t="shared" si="30"/>
        <v>11.129999583363483</v>
      </c>
      <c r="AV10" s="260">
        <f t="shared" si="30"/>
        <v>11.215095697739509</v>
      </c>
      <c r="AW10" s="260">
        <f t="shared" si="30"/>
        <v>11.300191812115534</v>
      </c>
      <c r="AX10" s="260">
        <f t="shared" si="30"/>
        <v>11.385287926491559</v>
      </c>
      <c r="AY10" s="260">
        <f t="shared" si="30"/>
        <v>11.470384040867584</v>
      </c>
      <c r="AZ10" s="260">
        <f t="shared" si="31"/>
        <v>11.555480155243609</v>
      </c>
      <c r="BA10" s="260">
        <f t="shared" si="31"/>
        <v>11.640576269619634</v>
      </c>
      <c r="BB10" s="1063">
        <f>1.16978897829057*AH10</f>
        <v>11.725672383995676</v>
      </c>
      <c r="BC10" s="260">
        <f t="shared" si="34"/>
        <v>11.841777098943414</v>
      </c>
      <c r="BD10" s="260">
        <f t="shared" si="34"/>
        <v>11.957881813891152</v>
      </c>
      <c r="BE10" s="260">
        <f t="shared" si="34"/>
        <v>12.073986528838891</v>
      </c>
      <c r="BF10" s="260">
        <f t="shared" si="34"/>
        <v>12.190091243786629</v>
      </c>
      <c r="BG10" s="260">
        <f t="shared" si="34"/>
        <v>12.306195958734367</v>
      </c>
      <c r="BH10" s="260">
        <f t="shared" si="34"/>
        <v>12.422300673682106</v>
      </c>
      <c r="BI10" s="260">
        <f t="shared" si="34"/>
        <v>12.538405388629844</v>
      </c>
      <c r="BJ10" s="260">
        <f t="shared" si="34"/>
        <v>12.654510103577582</v>
      </c>
      <c r="BK10" s="260">
        <f t="shared" si="34"/>
        <v>12.770614818525321</v>
      </c>
      <c r="BL10" s="260">
        <f t="shared" si="34"/>
        <v>12.886719533473059</v>
      </c>
      <c r="BM10" s="260">
        <f t="shared" si="34"/>
        <v>13.002824248420797</v>
      </c>
      <c r="BN10" s="260">
        <f t="shared" si="34"/>
        <v>13.118928963368536</v>
      </c>
      <c r="BO10" s="260">
        <f t="shared" si="34"/>
        <v>13.235033678316274</v>
      </c>
      <c r="BP10" s="260">
        <f t="shared" si="34"/>
        <v>13.351138393264012</v>
      </c>
      <c r="BQ10" s="1063">
        <f>1.14852629914794*BB10</f>
        <v>13.467243108211756</v>
      </c>
      <c r="BR10" s="260">
        <f t="shared" si="35"/>
        <v>13.600592426784317</v>
      </c>
      <c r="BS10" s="260">
        <f t="shared" si="35"/>
        <v>13.733941745356878</v>
      </c>
      <c r="BT10" s="260">
        <f t="shared" si="35"/>
        <v>13.867291063929439</v>
      </c>
      <c r="BU10" s="260">
        <f t="shared" si="35"/>
        <v>14.000640382502</v>
      </c>
      <c r="BV10" s="1066">
        <f>1.04950876638265*BQ10</f>
        <v>14.133989701074563</v>
      </c>
      <c r="BW10" s="1388">
        <f>+BV10*BW$136/BV$136</f>
        <v>14.180918702845942</v>
      </c>
      <c r="BX10" s="1388">
        <f t="shared" ref="BX10:CZ10" si="39">+BW10*BX$136/BW$136</f>
        <v>14.22800352270222</v>
      </c>
      <c r="BY10" s="1388">
        <f t="shared" si="39"/>
        <v>14.275244678005262</v>
      </c>
      <c r="BZ10" s="1388">
        <f t="shared" si="39"/>
        <v>14.322642687834716</v>
      </c>
      <c r="CA10" s="1388">
        <f t="shared" si="39"/>
        <v>14.370198072993734</v>
      </c>
      <c r="CB10" s="1388">
        <f t="shared" si="39"/>
        <v>14.400863044487831</v>
      </c>
      <c r="CC10" s="1388">
        <f t="shared" si="39"/>
        <v>14.431593452830604</v>
      </c>
      <c r="CD10" s="1388">
        <f t="shared" si="39"/>
        <v>14.46238943765959</v>
      </c>
      <c r="CE10" s="1388">
        <f t="shared" si="39"/>
        <v>14.493251138910308</v>
      </c>
      <c r="CF10" s="1388">
        <f t="shared" si="39"/>
        <v>14.524178696816882</v>
      </c>
      <c r="CG10" s="1388">
        <f t="shared" si="39"/>
        <v>14.534220678683244</v>
      </c>
      <c r="CH10" s="1388">
        <f t="shared" si="39"/>
        <v>14.54426960355147</v>
      </c>
      <c r="CI10" s="1388">
        <f t="shared" si="39"/>
        <v>14.554325476221939</v>
      </c>
      <c r="CJ10" s="1388">
        <f t="shared" si="39"/>
        <v>14.564388301498344</v>
      </c>
      <c r="CK10" s="1388">
        <f t="shared" si="39"/>
        <v>14.574458084187699</v>
      </c>
      <c r="CL10" s="1388">
        <f t="shared" si="39"/>
        <v>14.577871293518578</v>
      </c>
      <c r="CM10" s="1388">
        <f t="shared" si="39"/>
        <v>14.581285302192933</v>
      </c>
      <c r="CN10" s="1388">
        <f t="shared" si="39"/>
        <v>14.584700110397959</v>
      </c>
      <c r="CO10" s="1388">
        <f t="shared" si="39"/>
        <v>14.5881157183209</v>
      </c>
      <c r="CP10" s="1388">
        <f t="shared" si="39"/>
        <v>14.591532126149042</v>
      </c>
      <c r="CQ10" s="1388">
        <f t="shared" si="39"/>
        <v>14.596710020228747</v>
      </c>
      <c r="CR10" s="1388">
        <f t="shared" si="39"/>
        <v>14.601889751715715</v>
      </c>
      <c r="CS10" s="1388">
        <f t="shared" si="39"/>
        <v>14.607071321261961</v>
      </c>
      <c r="CT10" s="1388">
        <f t="shared" si="39"/>
        <v>14.61225472951973</v>
      </c>
      <c r="CU10" s="1388">
        <f t="shared" si="39"/>
        <v>14.617439977141501</v>
      </c>
      <c r="CV10" s="1388">
        <f t="shared" si="39"/>
        <v>14.625420095184293</v>
      </c>
      <c r="CW10" s="1388">
        <f t="shared" si="39"/>
        <v>14.633404569823321</v>
      </c>
      <c r="CX10" s="1388">
        <f t="shared" si="39"/>
        <v>14.641393403436986</v>
      </c>
      <c r="CY10" s="1388">
        <f t="shared" si="39"/>
        <v>14.649386598404989</v>
      </c>
      <c r="CZ10" s="1388">
        <f t="shared" si="39"/>
        <v>14.65738415710833</v>
      </c>
    </row>
    <row r="11" spans="1:104" x14ac:dyDescent="0.25">
      <c r="A11" s="870" t="str">
        <f>'HyARC Physical Property Data'!A75</f>
        <v>Bio Methane</v>
      </c>
      <c r="B11" s="260">
        <v>2007</v>
      </c>
      <c r="C11" s="869">
        <f t="shared" si="37"/>
        <v>1.1446359956438654</v>
      </c>
      <c r="D11" s="1247" t="str">
        <f>'HyARC Physical Property Data'!H75</f>
        <v>mmBtu</v>
      </c>
      <c r="E11" s="869" t="s">
        <v>1059</v>
      </c>
      <c r="F11" s="260">
        <f>'HyARC Physical Property Data'!$E$6</f>
        <v>47.141269049911173</v>
      </c>
      <c r="G11" s="260">
        <f>'HyARC Physical Property Data'!$I$6</f>
        <v>52.224661236371581</v>
      </c>
      <c r="H11" s="260">
        <f t="shared" ref="H11:AM11" si="40">13.11*($C$11/mmBTU_to_GJ)</f>
        <v>14.223865310797228</v>
      </c>
      <c r="I11" s="260">
        <f t="shared" si="40"/>
        <v>14.223865310797228</v>
      </c>
      <c r="J11" s="260">
        <f t="shared" si="40"/>
        <v>14.223865310797228</v>
      </c>
      <c r="K11" s="260">
        <f t="shared" si="40"/>
        <v>14.223865310797228</v>
      </c>
      <c r="L11" s="260">
        <f t="shared" si="40"/>
        <v>14.223865310797228</v>
      </c>
      <c r="M11" s="260">
        <f t="shared" si="40"/>
        <v>14.223865310797228</v>
      </c>
      <c r="N11" s="260">
        <f t="shared" si="40"/>
        <v>14.223865310797228</v>
      </c>
      <c r="O11" s="260">
        <f t="shared" si="40"/>
        <v>14.223865310797228</v>
      </c>
      <c r="P11" s="260">
        <f t="shared" si="40"/>
        <v>14.223865310797228</v>
      </c>
      <c r="Q11" s="260">
        <f t="shared" si="40"/>
        <v>14.223865310797228</v>
      </c>
      <c r="R11" s="260">
        <f t="shared" si="40"/>
        <v>14.223865310797228</v>
      </c>
      <c r="S11" s="260">
        <f t="shared" si="40"/>
        <v>14.223865310797228</v>
      </c>
      <c r="T11" s="260">
        <f t="shared" si="40"/>
        <v>14.223865310797228</v>
      </c>
      <c r="U11" s="260">
        <f t="shared" si="40"/>
        <v>14.223865310797228</v>
      </c>
      <c r="V11" s="260">
        <f t="shared" si="40"/>
        <v>14.223865310797228</v>
      </c>
      <c r="W11" s="260">
        <f t="shared" si="40"/>
        <v>14.223865310797228</v>
      </c>
      <c r="X11" s="260">
        <f t="shared" si="40"/>
        <v>14.223865310797228</v>
      </c>
      <c r="Y11" s="260">
        <f t="shared" si="40"/>
        <v>14.223865310797228</v>
      </c>
      <c r="Z11" s="260">
        <f t="shared" si="40"/>
        <v>14.223865310797228</v>
      </c>
      <c r="AA11" s="260">
        <f t="shared" si="40"/>
        <v>14.223865310797228</v>
      </c>
      <c r="AB11" s="260">
        <f t="shared" si="40"/>
        <v>14.223865310797228</v>
      </c>
      <c r="AC11" s="260">
        <f t="shared" si="40"/>
        <v>14.223865310797228</v>
      </c>
      <c r="AD11" s="260">
        <f t="shared" si="40"/>
        <v>14.223865310797228</v>
      </c>
      <c r="AE11" s="260">
        <f t="shared" si="40"/>
        <v>14.223865310797228</v>
      </c>
      <c r="AF11" s="260">
        <f t="shared" si="40"/>
        <v>14.223865310797228</v>
      </c>
      <c r="AG11" s="260">
        <f t="shared" si="40"/>
        <v>14.223865310797228</v>
      </c>
      <c r="AH11" s="260">
        <f t="shared" si="40"/>
        <v>14.223865310797228</v>
      </c>
      <c r="AI11" s="260">
        <f t="shared" si="40"/>
        <v>14.223865310797228</v>
      </c>
      <c r="AJ11" s="260">
        <f t="shared" si="40"/>
        <v>14.223865310797228</v>
      </c>
      <c r="AK11" s="260">
        <f t="shared" si="40"/>
        <v>14.223865310797228</v>
      </c>
      <c r="AL11" s="260">
        <f t="shared" si="40"/>
        <v>14.223865310797228</v>
      </c>
      <c r="AM11" s="260">
        <f t="shared" si="40"/>
        <v>14.223865310797228</v>
      </c>
      <c r="AN11" s="260">
        <f t="shared" ref="AN11:BV11" si="41">13.11*($C$11/mmBTU_to_GJ)</f>
        <v>14.223865310797228</v>
      </c>
      <c r="AO11" s="260">
        <f t="shared" si="41"/>
        <v>14.223865310797228</v>
      </c>
      <c r="AP11" s="260">
        <f t="shared" si="41"/>
        <v>14.223865310797228</v>
      </c>
      <c r="AQ11" s="260">
        <f t="shared" si="41"/>
        <v>14.223865310797228</v>
      </c>
      <c r="AR11" s="260">
        <f t="shared" si="41"/>
        <v>14.223865310797228</v>
      </c>
      <c r="AS11" s="260">
        <f t="shared" si="41"/>
        <v>14.223865310797228</v>
      </c>
      <c r="AT11" s="260">
        <f t="shared" si="41"/>
        <v>14.223865310797228</v>
      </c>
      <c r="AU11" s="260">
        <f t="shared" si="41"/>
        <v>14.223865310797228</v>
      </c>
      <c r="AV11" s="260">
        <f t="shared" si="41"/>
        <v>14.223865310797228</v>
      </c>
      <c r="AW11" s="260">
        <f t="shared" si="41"/>
        <v>14.223865310797228</v>
      </c>
      <c r="AX11" s="260">
        <f t="shared" si="41"/>
        <v>14.223865310797228</v>
      </c>
      <c r="AY11" s="260">
        <f t="shared" si="41"/>
        <v>14.223865310797228</v>
      </c>
      <c r="AZ11" s="260">
        <f t="shared" si="41"/>
        <v>14.223865310797228</v>
      </c>
      <c r="BA11" s="260">
        <f t="shared" si="41"/>
        <v>14.223865310797228</v>
      </c>
      <c r="BB11" s="260">
        <f t="shared" si="41"/>
        <v>14.223865310797228</v>
      </c>
      <c r="BC11" s="260">
        <f t="shared" si="41"/>
        <v>14.223865310797228</v>
      </c>
      <c r="BD11" s="260">
        <f t="shared" si="41"/>
        <v>14.223865310797228</v>
      </c>
      <c r="BE11" s="260">
        <f t="shared" si="41"/>
        <v>14.223865310797228</v>
      </c>
      <c r="BF11" s="260">
        <f t="shared" si="41"/>
        <v>14.223865310797228</v>
      </c>
      <c r="BG11" s="260">
        <f t="shared" si="41"/>
        <v>14.223865310797228</v>
      </c>
      <c r="BH11" s="260">
        <f t="shared" si="41"/>
        <v>14.223865310797228</v>
      </c>
      <c r="BI11" s="260">
        <f t="shared" si="41"/>
        <v>14.223865310797228</v>
      </c>
      <c r="BJ11" s="260">
        <f t="shared" si="41"/>
        <v>14.223865310797228</v>
      </c>
      <c r="BK11" s="260">
        <f t="shared" si="41"/>
        <v>14.223865310797228</v>
      </c>
      <c r="BL11" s="260">
        <f t="shared" si="41"/>
        <v>14.223865310797228</v>
      </c>
      <c r="BM11" s="260">
        <f t="shared" si="41"/>
        <v>14.223865310797228</v>
      </c>
      <c r="BN11" s="260">
        <f t="shared" si="41"/>
        <v>14.223865310797228</v>
      </c>
      <c r="BO11" s="260">
        <f t="shared" si="41"/>
        <v>14.223865310797228</v>
      </c>
      <c r="BP11" s="260">
        <f t="shared" si="41"/>
        <v>14.223865310797228</v>
      </c>
      <c r="BQ11" s="260">
        <f t="shared" si="41"/>
        <v>14.223865310797228</v>
      </c>
      <c r="BR11" s="260">
        <f t="shared" si="41"/>
        <v>14.223865310797228</v>
      </c>
      <c r="BS11" s="260">
        <f t="shared" si="41"/>
        <v>14.223865310797228</v>
      </c>
      <c r="BT11" s="260">
        <f t="shared" si="41"/>
        <v>14.223865310797228</v>
      </c>
      <c r="BU11" s="260">
        <f t="shared" si="41"/>
        <v>14.223865310797228</v>
      </c>
      <c r="BV11" s="260">
        <f t="shared" si="41"/>
        <v>14.223865310797228</v>
      </c>
      <c r="BW11" s="1388">
        <f>+BV11*BW$136/BV$136</f>
        <v>14.271092726019944</v>
      </c>
      <c r="BX11" s="1388">
        <f t="shared" ref="BX11:CZ11" si="42">+BW11*BX$136/BW$136</f>
        <v>14.318476950147966</v>
      </c>
      <c r="BY11" s="1388">
        <f t="shared" si="42"/>
        <v>14.366018503832969</v>
      </c>
      <c r="BZ11" s="1388">
        <f t="shared" si="42"/>
        <v>14.413717909455341</v>
      </c>
      <c r="CA11" s="1388">
        <f t="shared" si="42"/>
        <v>14.461575691129934</v>
      </c>
      <c r="CB11" s="1388">
        <f t="shared" si="42"/>
        <v>14.49243565590395</v>
      </c>
      <c r="CC11" s="1388">
        <f t="shared" si="42"/>
        <v>14.523361473628309</v>
      </c>
      <c r="CD11" s="1388">
        <f t="shared" si="42"/>
        <v>14.554353284828478</v>
      </c>
      <c r="CE11" s="1388">
        <f t="shared" si="42"/>
        <v>14.585411230329802</v>
      </c>
      <c r="CF11" s="1388">
        <f t="shared" si="42"/>
        <v>14.616535451258134</v>
      </c>
      <c r="CG11" s="1388">
        <f t="shared" si="42"/>
        <v>14.626641288360148</v>
      </c>
      <c r="CH11" s="1388">
        <f t="shared" si="42"/>
        <v>14.636754112613382</v>
      </c>
      <c r="CI11" s="1388">
        <f t="shared" si="42"/>
        <v>14.646873928848736</v>
      </c>
      <c r="CJ11" s="1388">
        <f t="shared" si="42"/>
        <v>14.657000741900452</v>
      </c>
      <c r="CK11" s="1388">
        <f t="shared" si="42"/>
        <v>14.667134556606111</v>
      </c>
      <c r="CL11" s="1388">
        <f t="shared" si="42"/>
        <v>14.670569469948116</v>
      </c>
      <c r="CM11" s="1388">
        <f t="shared" si="42"/>
        <v>14.674005187716483</v>
      </c>
      <c r="CN11" s="1388">
        <f t="shared" si="42"/>
        <v>14.6774417100996</v>
      </c>
      <c r="CO11" s="1388">
        <f t="shared" si="42"/>
        <v>14.6808790372859</v>
      </c>
      <c r="CP11" s="1388">
        <f t="shared" si="42"/>
        <v>14.684317169463862</v>
      </c>
      <c r="CQ11" s="1388">
        <f t="shared" si="42"/>
        <v>14.689527988881515</v>
      </c>
      <c r="CR11" s="1388">
        <f t="shared" si="42"/>
        <v>14.69474065739019</v>
      </c>
      <c r="CS11" s="1388">
        <f t="shared" si="42"/>
        <v>14.699955175646044</v>
      </c>
      <c r="CT11" s="1388">
        <f t="shared" si="42"/>
        <v>14.705171544305472</v>
      </c>
      <c r="CU11" s="1388">
        <f t="shared" si="42"/>
        <v>14.710389764025104</v>
      </c>
      <c r="CV11" s="1388">
        <f t="shared" si="42"/>
        <v>14.718420626266095</v>
      </c>
      <c r="CW11" s="1388">
        <f t="shared" si="42"/>
        <v>14.726455872806168</v>
      </c>
      <c r="CX11" s="1388">
        <f t="shared" si="42"/>
        <v>14.734495506038849</v>
      </c>
      <c r="CY11" s="1388">
        <f t="shared" si="42"/>
        <v>14.74253952835897</v>
      </c>
      <c r="CZ11" s="1388">
        <f t="shared" si="42"/>
        <v>14.750587942162673</v>
      </c>
    </row>
    <row r="12" spans="1:104" x14ac:dyDescent="0.25">
      <c r="A12" s="956" t="str">
        <f>'HyARC Physical Property Data'!A85</f>
        <v>Woody Biomass</v>
      </c>
      <c r="B12" s="260">
        <v>2005</v>
      </c>
      <c r="C12" s="869">
        <f>VLOOKUP(ref_year,DeflatorTable,2,FALSE)/VLOOKUP(B12,DeflatorTable,2,FALSE)</f>
        <v>1.2112501494873942</v>
      </c>
      <c r="D12" s="1247" t="str">
        <f>+'HyARC Physical Property Data'!$H$85</f>
        <v>kg</v>
      </c>
      <c r="E12" s="895" t="s">
        <v>1053</v>
      </c>
      <c r="F12" s="260">
        <f>'HyARC Physical Property Data'!$E$45</f>
        <v>19.551069237418005</v>
      </c>
      <c r="G12" s="260">
        <f>'HyARC Physical Property Data'!$I$45</f>
        <v>20.588656379262464</v>
      </c>
      <c r="H12" s="957">
        <f t="shared" ref="H12:O12" si="43">1.27*($C$12)</f>
        <v>1.5382876898489906</v>
      </c>
      <c r="I12" s="957">
        <f t="shared" si="43"/>
        <v>1.5382876898489906</v>
      </c>
      <c r="J12" s="957">
        <f t="shared" si="43"/>
        <v>1.5382876898489906</v>
      </c>
      <c r="K12" s="957">
        <f t="shared" si="43"/>
        <v>1.5382876898489906</v>
      </c>
      <c r="L12" s="957">
        <f t="shared" si="43"/>
        <v>1.5382876898489906</v>
      </c>
      <c r="M12" s="957">
        <f t="shared" si="43"/>
        <v>1.5382876898489906</v>
      </c>
      <c r="N12" s="957">
        <f t="shared" si="43"/>
        <v>1.5382876898489906</v>
      </c>
      <c r="O12" s="957">
        <f t="shared" si="43"/>
        <v>1.5382876898489906</v>
      </c>
      <c r="P12" s="957">
        <f>1.28*($C$12)</f>
        <v>1.5504001913438645</v>
      </c>
      <c r="Q12" s="957">
        <f>1.32*($C$12)</f>
        <v>1.5988501973233604</v>
      </c>
      <c r="R12" s="957">
        <f>1.32*($C$12)</f>
        <v>1.5988501973233604</v>
      </c>
      <c r="S12" s="957">
        <f>1.34*($C$12)</f>
        <v>1.6230752003131084</v>
      </c>
      <c r="T12" s="957">
        <f>1.34*($C$12)</f>
        <v>1.6230752003131084</v>
      </c>
      <c r="U12" s="957">
        <f>1.36*($C$12)</f>
        <v>1.6473002033028561</v>
      </c>
      <c r="V12" s="957">
        <f>1.36*($C$12)</f>
        <v>1.6473002033028561</v>
      </c>
      <c r="W12" s="957">
        <f>1.38*($C$12)</f>
        <v>1.6715252062926038</v>
      </c>
      <c r="X12" s="957">
        <f>1.4*($C$12)</f>
        <v>1.6957502092823518</v>
      </c>
      <c r="Y12" s="957">
        <f>1.46*($C$12)</f>
        <v>1.7684252182515954</v>
      </c>
      <c r="Z12" s="957">
        <f>1.48*($C$12)</f>
        <v>1.7926502212413433</v>
      </c>
      <c r="AA12" s="957">
        <f>1.48*($C$12)</f>
        <v>1.7926502212413433</v>
      </c>
      <c r="AB12" s="957">
        <f>1.51*($C$12)</f>
        <v>1.8289877257259652</v>
      </c>
      <c r="AC12" s="957">
        <f>1.52*($C$12)</f>
        <v>1.8411002272208392</v>
      </c>
      <c r="AD12" s="957">
        <f>1.62*($C$12)</f>
        <v>1.9622252421695787</v>
      </c>
      <c r="AE12" s="957">
        <f>1.72*($C$12)</f>
        <v>2.083350257118318</v>
      </c>
      <c r="AF12" s="957">
        <f>1.82*($C$12)</f>
        <v>2.2044752720670573</v>
      </c>
      <c r="AG12" s="957">
        <f>1.91*($C$12)</f>
        <v>2.3134877855209228</v>
      </c>
      <c r="AH12" s="957">
        <f>2.01*($C$12)</f>
        <v>2.4346128004696621</v>
      </c>
      <c r="AI12" s="957">
        <f>2.11*($C$12)</f>
        <v>2.5557378154184014</v>
      </c>
      <c r="AJ12" s="957">
        <f>2.2*($C$12)</f>
        <v>2.6647503288722674</v>
      </c>
      <c r="AK12" s="957">
        <f>2.3*($C$12)</f>
        <v>2.7858753438210062</v>
      </c>
      <c r="AL12" s="957">
        <f>2.4*($C$12)</f>
        <v>2.9070003587697459</v>
      </c>
      <c r="AM12" s="957">
        <f>2.5*($C$12)</f>
        <v>3.0281253737184857</v>
      </c>
      <c r="AN12" s="957">
        <f>2.57*($C$12)</f>
        <v>3.1129128841826028</v>
      </c>
      <c r="AO12" s="957">
        <f>2.64*($C$12)</f>
        <v>3.1977003946467208</v>
      </c>
      <c r="AP12" s="957">
        <f>2.71*($C$12)</f>
        <v>3.282487905110838</v>
      </c>
      <c r="AQ12" s="957">
        <f>2.78*($C$12)</f>
        <v>3.3672754155749556</v>
      </c>
      <c r="AR12" s="957">
        <f>2.85*($C$12)</f>
        <v>3.4520629260390736</v>
      </c>
      <c r="AS12" s="957">
        <f>2.92*($C$12)</f>
        <v>3.5368504365031908</v>
      </c>
      <c r="AT12" s="957">
        <f>2.99*($C$12)</f>
        <v>3.6216379469673088</v>
      </c>
      <c r="AU12" s="957">
        <f>3.07*($C$12)</f>
        <v>3.7185379589263001</v>
      </c>
      <c r="AV12" s="957">
        <f>3.14*($C$12)</f>
        <v>3.8033254693904177</v>
      </c>
      <c r="AW12" s="957">
        <f>3.21*($C$12)</f>
        <v>3.8881129798545353</v>
      </c>
      <c r="AX12" s="957">
        <f>3.28*($C$12)</f>
        <v>3.9729004903186529</v>
      </c>
      <c r="AY12" s="957">
        <f>3.35*($C$12)</f>
        <v>4.0576880007827709</v>
      </c>
      <c r="AZ12" s="957">
        <f>3.42*($C$12)</f>
        <v>4.1424755112468876</v>
      </c>
      <c r="BA12" s="957">
        <f>3.49*($C$12)</f>
        <v>4.2272630217110061</v>
      </c>
      <c r="BB12" s="957">
        <f>3.56*($C$12)</f>
        <v>4.3120505321751237</v>
      </c>
      <c r="BC12" s="957">
        <f>3.64*($C$12)</f>
        <v>4.4089505441341146</v>
      </c>
      <c r="BD12" s="957">
        <f>3.71*($C$12)</f>
        <v>4.4937380545982322</v>
      </c>
      <c r="BE12" s="957">
        <f>3.78*($C$12)</f>
        <v>4.5785255650623498</v>
      </c>
      <c r="BF12" s="957">
        <f>3.85*($C$12)</f>
        <v>4.6633130755264673</v>
      </c>
      <c r="BG12" s="957">
        <f>3.92*($C$12)</f>
        <v>4.7481005859905849</v>
      </c>
      <c r="BH12" s="957">
        <f>3.99*($C$12)</f>
        <v>4.8328880964547034</v>
      </c>
      <c r="BI12" s="957">
        <f>4.06*($C$12)</f>
        <v>4.9176756069188201</v>
      </c>
      <c r="BJ12" s="957">
        <f>4.14*($C$12)</f>
        <v>5.0145756188778119</v>
      </c>
      <c r="BK12" s="957">
        <f>4.21*($C$12)</f>
        <v>5.0993631293419295</v>
      </c>
      <c r="BL12" s="957">
        <f>4.28*($C$12)</f>
        <v>5.1841506398060471</v>
      </c>
      <c r="BM12" s="957">
        <f>4.35*($C$12)</f>
        <v>5.2689381502701647</v>
      </c>
      <c r="BN12" s="957">
        <f>4.42*($C$12)</f>
        <v>5.3537256607342822</v>
      </c>
      <c r="BO12" s="957">
        <f>4.49*($C$12)</f>
        <v>5.4385131711983998</v>
      </c>
      <c r="BP12" s="957">
        <f>4.56*($C$12)</f>
        <v>5.5233006816625174</v>
      </c>
      <c r="BQ12" s="957">
        <f>4.63*($C$12)</f>
        <v>5.608088192126635</v>
      </c>
      <c r="BR12" s="957">
        <f>4.71*($C$12)</f>
        <v>5.7049882040856268</v>
      </c>
      <c r="BS12" s="957">
        <f>4.78*($C$12)</f>
        <v>5.7897757145497444</v>
      </c>
      <c r="BT12" s="957">
        <f>4.85*($C$12)</f>
        <v>5.8745632250138611</v>
      </c>
      <c r="BU12" s="957">
        <f>4.92*($C$12)</f>
        <v>5.9593507354779796</v>
      </c>
      <c r="BV12" s="958">
        <f>4.99*($C$12)</f>
        <v>6.0441382459420971</v>
      </c>
      <c r="BW12" s="1388">
        <f>+BV12*BW$137/BV$137</f>
        <v>6.0586659764672328</v>
      </c>
      <c r="BX12" s="1388">
        <f t="shared" ref="BX12:CZ12" si="44">+BW12*BX$137/BW$137</f>
        <v>6.0732286259412112</v>
      </c>
      <c r="BY12" s="1388">
        <f t="shared" si="44"/>
        <v>6.0878262782954495</v>
      </c>
      <c r="BZ12" s="1388">
        <f t="shared" si="44"/>
        <v>6.1024590176630999</v>
      </c>
      <c r="CA12" s="1388">
        <f t="shared" si="44"/>
        <v>6.1171269283795393</v>
      </c>
      <c r="CB12" s="1388">
        <f t="shared" si="44"/>
        <v>6.1299667153690152</v>
      </c>
      <c r="CC12" s="1388">
        <f t="shared" si="44"/>
        <v>6.1428334529403346</v>
      </c>
      <c r="CD12" s="1388">
        <f t="shared" si="44"/>
        <v>6.155727197662495</v>
      </c>
      <c r="CE12" s="1388">
        <f t="shared" si="44"/>
        <v>6.1686480062232301</v>
      </c>
      <c r="CF12" s="1388">
        <f t="shared" si="44"/>
        <v>6.18159593542926</v>
      </c>
      <c r="CG12" s="1388">
        <f t="shared" si="44"/>
        <v>6.197524392005751</v>
      </c>
      <c r="CH12" s="1388">
        <f t="shared" si="44"/>
        <v>6.2134938923080965</v>
      </c>
      <c r="CI12" s="1388">
        <f t="shared" si="44"/>
        <v>6.229504542095909</v>
      </c>
      <c r="CJ12" s="1388">
        <f t="shared" si="44"/>
        <v>6.245556447401321</v>
      </c>
      <c r="CK12" s="1388">
        <f t="shared" si="44"/>
        <v>6.2616497145296828</v>
      </c>
      <c r="CL12" s="1388">
        <f t="shared" si="44"/>
        <v>6.2750522655841658</v>
      </c>
      <c r="CM12" s="1388">
        <f t="shared" si="44"/>
        <v>6.2884835037072264</v>
      </c>
      <c r="CN12" s="1388">
        <f t="shared" si="44"/>
        <v>6.3019434903011975</v>
      </c>
      <c r="CO12" s="1388">
        <f t="shared" si="44"/>
        <v>6.3154322868998385</v>
      </c>
      <c r="CP12" s="1388">
        <f t="shared" si="44"/>
        <v>6.3289499551686168</v>
      </c>
      <c r="CQ12" s="1388">
        <f t="shared" si="44"/>
        <v>6.3413225489579119</v>
      </c>
      <c r="CR12" s="1388">
        <f t="shared" si="44"/>
        <v>6.3537193301840116</v>
      </c>
      <c r="CS12" s="1388">
        <f t="shared" si="44"/>
        <v>6.3661403461314299</v>
      </c>
      <c r="CT12" s="1388">
        <f t="shared" si="44"/>
        <v>6.3785856441771198</v>
      </c>
      <c r="CU12" s="1388">
        <f t="shared" si="44"/>
        <v>6.3910552717906537</v>
      </c>
      <c r="CV12" s="1388">
        <f t="shared" si="44"/>
        <v>6.4057772391562917</v>
      </c>
      <c r="CW12" s="1388">
        <f t="shared" si="44"/>
        <v>6.4205331189689208</v>
      </c>
      <c r="CX12" s="1388">
        <f t="shared" si="44"/>
        <v>6.4353229893467718</v>
      </c>
      <c r="CY12" s="1388">
        <f t="shared" si="44"/>
        <v>6.4501469285880244</v>
      </c>
      <c r="CZ12" s="1388">
        <f t="shared" si="44"/>
        <v>6.4650050151712186</v>
      </c>
    </row>
    <row r="13" spans="1:104" x14ac:dyDescent="0.25">
      <c r="A13" s="956" t="str">
        <f>'HyARC Physical Property Data'!A86</f>
        <v>Woody Biomass B2A</v>
      </c>
      <c r="B13" s="260">
        <v>2007</v>
      </c>
      <c r="C13" s="869">
        <f>VLOOKUP(ref_year,DeflatorTable,2,FALSE)/VLOOKUP(B13,DeflatorTable,2,FALSE)</f>
        <v>1.1446359956438654</v>
      </c>
      <c r="D13" s="1247" t="str">
        <f>+'HyARC Physical Property Data'!$H$86</f>
        <v>kg</v>
      </c>
      <c r="E13" s="895" t="s">
        <v>1053</v>
      </c>
      <c r="F13" s="260">
        <f>'HyARC Physical Property Data'!$E$45</f>
        <v>19.551069237418005</v>
      </c>
      <c r="G13" s="260">
        <f>'HyARC Physical Property Data'!$I$45</f>
        <v>20.588656379262464</v>
      </c>
      <c r="H13" s="957">
        <f>3.80872262322035*($C$13)</f>
        <v>4.3596010119611401</v>
      </c>
      <c r="I13" s="957">
        <f>3.80872262322035*($C$13)</f>
        <v>4.3596010119611401</v>
      </c>
      <c r="J13" s="957">
        <f>3.80872262322035*($C$13)</f>
        <v>4.3596010119611401</v>
      </c>
      <c r="K13" s="957">
        <f>3.80872262322035*($C$13)</f>
        <v>4.3596010119611401</v>
      </c>
      <c r="L13" s="957">
        <f>3.58036841709093*($C$13)</f>
        <v>4.0982185678687273</v>
      </c>
      <c r="M13" s="957">
        <f>3.28153451771169*($C$13)</f>
        <v>3.756162529920632</v>
      </c>
      <c r="N13" s="957">
        <f>3.05599949931226*($C$13)</f>
        <v>3.498007029582443</v>
      </c>
      <c r="O13" s="957">
        <f>2.9206784882726*($C$13)</f>
        <v>3.3431137293795268</v>
      </c>
      <c r="P13" s="957">
        <f t="shared" ref="P13:BV13" si="45">2.85865635821276*($C$13)</f>
        <v>3.2721209667865292</v>
      </c>
      <c r="Q13" s="957">
        <f t="shared" si="45"/>
        <v>3.2721209667865292</v>
      </c>
      <c r="R13" s="957">
        <f t="shared" si="45"/>
        <v>3.2721209667865292</v>
      </c>
      <c r="S13" s="957">
        <f t="shared" si="45"/>
        <v>3.2721209667865292</v>
      </c>
      <c r="T13" s="957">
        <f t="shared" si="45"/>
        <v>3.2721209667865292</v>
      </c>
      <c r="U13" s="957">
        <f t="shared" si="45"/>
        <v>3.2721209667865292</v>
      </c>
      <c r="V13" s="957">
        <f t="shared" si="45"/>
        <v>3.2721209667865292</v>
      </c>
      <c r="W13" s="957">
        <f t="shared" si="45"/>
        <v>3.2721209667865292</v>
      </c>
      <c r="X13" s="957">
        <f t="shared" si="45"/>
        <v>3.2721209667865292</v>
      </c>
      <c r="Y13" s="957">
        <f t="shared" si="45"/>
        <v>3.2721209667865292</v>
      </c>
      <c r="Z13" s="957">
        <f t="shared" si="45"/>
        <v>3.2721209667865292</v>
      </c>
      <c r="AA13" s="957">
        <f t="shared" si="45"/>
        <v>3.2721209667865292</v>
      </c>
      <c r="AB13" s="957">
        <f t="shared" si="45"/>
        <v>3.2721209667865292</v>
      </c>
      <c r="AC13" s="957">
        <f t="shared" si="45"/>
        <v>3.2721209667865292</v>
      </c>
      <c r="AD13" s="957">
        <f t="shared" si="45"/>
        <v>3.2721209667865292</v>
      </c>
      <c r="AE13" s="957">
        <f t="shared" si="45"/>
        <v>3.2721209667865292</v>
      </c>
      <c r="AF13" s="957">
        <f t="shared" si="45"/>
        <v>3.2721209667865292</v>
      </c>
      <c r="AG13" s="957">
        <f t="shared" si="45"/>
        <v>3.2721209667865292</v>
      </c>
      <c r="AH13" s="957">
        <f t="shared" si="45"/>
        <v>3.2721209667865292</v>
      </c>
      <c r="AI13" s="957">
        <f t="shared" si="45"/>
        <v>3.2721209667865292</v>
      </c>
      <c r="AJ13" s="957">
        <f t="shared" si="45"/>
        <v>3.2721209667865292</v>
      </c>
      <c r="AK13" s="957">
        <f t="shared" si="45"/>
        <v>3.2721209667865292</v>
      </c>
      <c r="AL13" s="957">
        <f t="shared" si="45"/>
        <v>3.2721209667865292</v>
      </c>
      <c r="AM13" s="957">
        <f t="shared" si="45"/>
        <v>3.2721209667865292</v>
      </c>
      <c r="AN13" s="957">
        <f t="shared" si="45"/>
        <v>3.2721209667865292</v>
      </c>
      <c r="AO13" s="957">
        <f t="shared" si="45"/>
        <v>3.2721209667865292</v>
      </c>
      <c r="AP13" s="957">
        <f t="shared" si="45"/>
        <v>3.2721209667865292</v>
      </c>
      <c r="AQ13" s="957">
        <f t="shared" si="45"/>
        <v>3.2721209667865292</v>
      </c>
      <c r="AR13" s="957">
        <f t="shared" si="45"/>
        <v>3.2721209667865292</v>
      </c>
      <c r="AS13" s="957">
        <f t="shared" si="45"/>
        <v>3.2721209667865292</v>
      </c>
      <c r="AT13" s="957">
        <f t="shared" si="45"/>
        <v>3.2721209667865292</v>
      </c>
      <c r="AU13" s="957">
        <f t="shared" si="45"/>
        <v>3.2721209667865292</v>
      </c>
      <c r="AV13" s="957">
        <f t="shared" si="45"/>
        <v>3.2721209667865292</v>
      </c>
      <c r="AW13" s="957">
        <f t="shared" si="45"/>
        <v>3.2721209667865292</v>
      </c>
      <c r="AX13" s="957">
        <f t="shared" si="45"/>
        <v>3.2721209667865292</v>
      </c>
      <c r="AY13" s="957">
        <f t="shared" si="45"/>
        <v>3.2721209667865292</v>
      </c>
      <c r="AZ13" s="957">
        <f t="shared" si="45"/>
        <v>3.2721209667865292</v>
      </c>
      <c r="BA13" s="957">
        <f t="shared" si="45"/>
        <v>3.2721209667865292</v>
      </c>
      <c r="BB13" s="957">
        <f t="shared" si="45"/>
        <v>3.2721209667865292</v>
      </c>
      <c r="BC13" s="957">
        <f t="shared" si="45"/>
        <v>3.2721209667865292</v>
      </c>
      <c r="BD13" s="957">
        <f t="shared" si="45"/>
        <v>3.2721209667865292</v>
      </c>
      <c r="BE13" s="957">
        <f t="shared" si="45"/>
        <v>3.2721209667865292</v>
      </c>
      <c r="BF13" s="957">
        <f t="shared" si="45"/>
        <v>3.2721209667865292</v>
      </c>
      <c r="BG13" s="957">
        <f t="shared" si="45"/>
        <v>3.2721209667865292</v>
      </c>
      <c r="BH13" s="957">
        <f t="shared" si="45"/>
        <v>3.2721209667865292</v>
      </c>
      <c r="BI13" s="957">
        <f t="shared" si="45"/>
        <v>3.2721209667865292</v>
      </c>
      <c r="BJ13" s="957">
        <f t="shared" si="45"/>
        <v>3.2721209667865292</v>
      </c>
      <c r="BK13" s="957">
        <f t="shared" si="45"/>
        <v>3.2721209667865292</v>
      </c>
      <c r="BL13" s="957">
        <f t="shared" si="45"/>
        <v>3.2721209667865292</v>
      </c>
      <c r="BM13" s="957">
        <f t="shared" si="45"/>
        <v>3.2721209667865292</v>
      </c>
      <c r="BN13" s="957">
        <f t="shared" si="45"/>
        <v>3.2721209667865292</v>
      </c>
      <c r="BO13" s="957">
        <f t="shared" si="45"/>
        <v>3.2721209667865292</v>
      </c>
      <c r="BP13" s="957">
        <f t="shared" si="45"/>
        <v>3.2721209667865292</v>
      </c>
      <c r="BQ13" s="957">
        <f t="shared" si="45"/>
        <v>3.2721209667865292</v>
      </c>
      <c r="BR13" s="957">
        <f t="shared" si="45"/>
        <v>3.2721209667865292</v>
      </c>
      <c r="BS13" s="957">
        <f t="shared" si="45"/>
        <v>3.2721209667865292</v>
      </c>
      <c r="BT13" s="957">
        <f t="shared" si="45"/>
        <v>3.2721209667865292</v>
      </c>
      <c r="BU13" s="957">
        <f t="shared" si="45"/>
        <v>3.2721209667865292</v>
      </c>
      <c r="BV13" s="958">
        <f t="shared" si="45"/>
        <v>3.2721209667865292</v>
      </c>
      <c r="BW13" s="1388">
        <f>+BV13*BW$137/BV$137</f>
        <v>3.2799858583089949</v>
      </c>
      <c r="BX13" s="1388">
        <f t="shared" ref="BX13:CZ13" si="46">+BW13*BX$137/BW$137</f>
        <v>3.2878696539365619</v>
      </c>
      <c r="BY13" s="1388">
        <f t="shared" si="46"/>
        <v>3.2957723991072623</v>
      </c>
      <c r="BZ13" s="1388">
        <f t="shared" si="46"/>
        <v>3.3036941393683414</v>
      </c>
      <c r="CA13" s="1388">
        <f t="shared" si="46"/>
        <v>3.3116349203765254</v>
      </c>
      <c r="CB13" s="1388">
        <f t="shared" si="46"/>
        <v>3.3185860082748779</v>
      </c>
      <c r="CC13" s="1388">
        <f t="shared" si="46"/>
        <v>3.3255516864357837</v>
      </c>
      <c r="CD13" s="1388">
        <f t="shared" si="46"/>
        <v>3.332531985484056</v>
      </c>
      <c r="CE13" s="1388">
        <f t="shared" si="46"/>
        <v>3.3395269361087871</v>
      </c>
      <c r="CF13" s="1388">
        <f t="shared" si="46"/>
        <v>3.3465365690634874</v>
      </c>
      <c r="CG13" s="1388">
        <f t="shared" si="46"/>
        <v>3.3551597730028546</v>
      </c>
      <c r="CH13" s="1388">
        <f t="shared" si="46"/>
        <v>3.3638051968237757</v>
      </c>
      <c r="CI13" s="1388">
        <f t="shared" si="46"/>
        <v>3.3724728977814351</v>
      </c>
      <c r="CJ13" s="1388">
        <f t="shared" si="46"/>
        <v>3.3811629332785507</v>
      </c>
      <c r="CK13" s="1388">
        <f t="shared" si="46"/>
        <v>3.3898753608657524</v>
      </c>
      <c r="CL13" s="1388">
        <f t="shared" si="46"/>
        <v>3.3971311128901611</v>
      </c>
      <c r="CM13" s="1388">
        <f t="shared" si="46"/>
        <v>3.4044023952606257</v>
      </c>
      <c r="CN13" s="1388">
        <f t="shared" si="46"/>
        <v>3.4116892412185864</v>
      </c>
      <c r="CO13" s="1388">
        <f t="shared" si="46"/>
        <v>3.4189916840766337</v>
      </c>
      <c r="CP13" s="1388">
        <f t="shared" si="46"/>
        <v>3.4263097572186623</v>
      </c>
      <c r="CQ13" s="1388">
        <f t="shared" si="46"/>
        <v>3.4330079202824653</v>
      </c>
      <c r="CR13" s="1388">
        <f t="shared" si="46"/>
        <v>3.4397191777223193</v>
      </c>
      <c r="CS13" s="1388">
        <f t="shared" si="46"/>
        <v>3.4464435551366885</v>
      </c>
      <c r="CT13" s="1388">
        <f t="shared" si="46"/>
        <v>3.453181078174079</v>
      </c>
      <c r="CU13" s="1388">
        <f t="shared" si="46"/>
        <v>3.4599317725331393</v>
      </c>
      <c r="CV13" s="1388">
        <f t="shared" si="46"/>
        <v>3.467901818241772</v>
      </c>
      <c r="CW13" s="1388">
        <f t="shared" si="46"/>
        <v>3.4758902231646247</v>
      </c>
      <c r="CX13" s="1388">
        <f t="shared" si="46"/>
        <v>3.4838970295926392</v>
      </c>
      <c r="CY13" s="1388">
        <f t="shared" si="46"/>
        <v>3.4919222799141783</v>
      </c>
      <c r="CZ13" s="1388">
        <f t="shared" si="46"/>
        <v>3.4999660166152444</v>
      </c>
    </row>
    <row r="14" spans="1:104" x14ac:dyDescent="0.25">
      <c r="A14" s="956" t="str">
        <f>'HyARC Physical Property Data'!$A$87</f>
        <v>Woody Biomass MYPP</v>
      </c>
      <c r="B14" s="260">
        <v>2007</v>
      </c>
      <c r="C14" s="869">
        <f>VLOOKUP(ref_year,DeflatorTable,2,FALSE)/VLOOKUP(B14,DeflatorTable,2,FALSE)</f>
        <v>1.1446359956438654</v>
      </c>
      <c r="D14" s="1247" t="str">
        <f>+'HyARC Physical Property Data'!$H$87</f>
        <v>kg</v>
      </c>
      <c r="E14" s="895" t="s">
        <v>1053</v>
      </c>
      <c r="F14" s="260">
        <v>18.608000000000001</v>
      </c>
      <c r="G14" s="260"/>
      <c r="H14" s="260">
        <f>4.44432502149613*$C$14</f>
        <v>5.0871343959451663</v>
      </c>
      <c r="I14" s="260">
        <f t="shared" ref="I14:N14" si="47">4.44432502149613*$C$14</f>
        <v>5.0871343959451663</v>
      </c>
      <c r="J14" s="260">
        <f t="shared" si="47"/>
        <v>5.0871343959451663</v>
      </c>
      <c r="K14" s="260">
        <f t="shared" si="47"/>
        <v>5.0871343959451663</v>
      </c>
      <c r="L14" s="260">
        <f t="shared" si="47"/>
        <v>5.0871343959451663</v>
      </c>
      <c r="M14" s="260">
        <f t="shared" si="47"/>
        <v>5.0871343959451663</v>
      </c>
      <c r="N14" s="260">
        <f t="shared" si="47"/>
        <v>5.0871343959451663</v>
      </c>
      <c r="O14" s="957">
        <f t="shared" ref="O14:T14" si="48">N14-($N$14-$U$14)/7</f>
        <v>4.9664808197552768</v>
      </c>
      <c r="P14" s="957">
        <f t="shared" si="48"/>
        <v>4.8458272435653873</v>
      </c>
      <c r="Q14" s="957">
        <f t="shared" si="48"/>
        <v>4.7251736673754978</v>
      </c>
      <c r="R14" s="957">
        <f t="shared" si="48"/>
        <v>4.6045200911856083</v>
      </c>
      <c r="S14" s="957">
        <f t="shared" si="48"/>
        <v>4.4838665149957189</v>
      </c>
      <c r="T14" s="957">
        <f t="shared" si="48"/>
        <v>4.3632129388058294</v>
      </c>
      <c r="U14" s="957">
        <f>3.70647033533964*$C$14</f>
        <v>4.2425593626159408</v>
      </c>
      <c r="V14" s="957">
        <f t="shared" ref="V14:BV14" si="49">3.70647033533964*$C$14</f>
        <v>4.2425593626159408</v>
      </c>
      <c r="W14" s="957">
        <f t="shared" si="49"/>
        <v>4.2425593626159408</v>
      </c>
      <c r="X14" s="957">
        <f t="shared" si="49"/>
        <v>4.2425593626159408</v>
      </c>
      <c r="Y14" s="957">
        <f t="shared" si="49"/>
        <v>4.2425593626159408</v>
      </c>
      <c r="Z14" s="957">
        <f t="shared" si="49"/>
        <v>4.2425593626159408</v>
      </c>
      <c r="AA14" s="957">
        <f t="shared" si="49"/>
        <v>4.2425593626159408</v>
      </c>
      <c r="AB14" s="957">
        <f t="shared" si="49"/>
        <v>4.2425593626159408</v>
      </c>
      <c r="AC14" s="957">
        <f t="shared" si="49"/>
        <v>4.2425593626159408</v>
      </c>
      <c r="AD14" s="957">
        <f t="shared" si="49"/>
        <v>4.2425593626159408</v>
      </c>
      <c r="AE14" s="957">
        <f t="shared" si="49"/>
        <v>4.2425593626159408</v>
      </c>
      <c r="AF14" s="957">
        <f t="shared" si="49"/>
        <v>4.2425593626159408</v>
      </c>
      <c r="AG14" s="957">
        <f t="shared" si="49"/>
        <v>4.2425593626159408</v>
      </c>
      <c r="AH14" s="957">
        <f t="shared" si="49"/>
        <v>4.2425593626159408</v>
      </c>
      <c r="AI14" s="957">
        <f t="shared" si="49"/>
        <v>4.2425593626159408</v>
      </c>
      <c r="AJ14" s="957">
        <f t="shared" si="49"/>
        <v>4.2425593626159408</v>
      </c>
      <c r="AK14" s="957">
        <f t="shared" si="49"/>
        <v>4.2425593626159408</v>
      </c>
      <c r="AL14" s="957">
        <f t="shared" si="49"/>
        <v>4.2425593626159408</v>
      </c>
      <c r="AM14" s="957">
        <f t="shared" si="49"/>
        <v>4.2425593626159408</v>
      </c>
      <c r="AN14" s="957">
        <f t="shared" si="49"/>
        <v>4.2425593626159408</v>
      </c>
      <c r="AO14" s="957">
        <f t="shared" si="49"/>
        <v>4.2425593626159408</v>
      </c>
      <c r="AP14" s="957">
        <f t="shared" si="49"/>
        <v>4.2425593626159408</v>
      </c>
      <c r="AQ14" s="957">
        <f t="shared" si="49"/>
        <v>4.2425593626159408</v>
      </c>
      <c r="AR14" s="957">
        <f t="shared" si="49"/>
        <v>4.2425593626159408</v>
      </c>
      <c r="AS14" s="957">
        <f t="shared" si="49"/>
        <v>4.2425593626159408</v>
      </c>
      <c r="AT14" s="957">
        <f t="shared" si="49"/>
        <v>4.2425593626159408</v>
      </c>
      <c r="AU14" s="957">
        <f t="shared" si="49"/>
        <v>4.2425593626159408</v>
      </c>
      <c r="AV14" s="957">
        <f t="shared" si="49"/>
        <v>4.2425593626159408</v>
      </c>
      <c r="AW14" s="957">
        <f t="shared" si="49"/>
        <v>4.2425593626159408</v>
      </c>
      <c r="AX14" s="957">
        <f t="shared" si="49"/>
        <v>4.2425593626159408</v>
      </c>
      <c r="AY14" s="957">
        <f t="shared" si="49"/>
        <v>4.2425593626159408</v>
      </c>
      <c r="AZ14" s="957">
        <f t="shared" si="49"/>
        <v>4.2425593626159408</v>
      </c>
      <c r="BA14" s="957">
        <f t="shared" si="49"/>
        <v>4.2425593626159408</v>
      </c>
      <c r="BB14" s="957">
        <f t="shared" si="49"/>
        <v>4.2425593626159408</v>
      </c>
      <c r="BC14" s="957">
        <f t="shared" si="49"/>
        <v>4.2425593626159408</v>
      </c>
      <c r="BD14" s="957">
        <f t="shared" si="49"/>
        <v>4.2425593626159408</v>
      </c>
      <c r="BE14" s="957">
        <f t="shared" si="49"/>
        <v>4.2425593626159408</v>
      </c>
      <c r="BF14" s="957">
        <f t="shared" si="49"/>
        <v>4.2425593626159408</v>
      </c>
      <c r="BG14" s="957">
        <f t="shared" si="49"/>
        <v>4.2425593626159408</v>
      </c>
      <c r="BH14" s="957">
        <f t="shared" si="49"/>
        <v>4.2425593626159408</v>
      </c>
      <c r="BI14" s="957">
        <f t="shared" si="49"/>
        <v>4.2425593626159408</v>
      </c>
      <c r="BJ14" s="957">
        <f t="shared" si="49"/>
        <v>4.2425593626159408</v>
      </c>
      <c r="BK14" s="957">
        <f t="shared" si="49"/>
        <v>4.2425593626159408</v>
      </c>
      <c r="BL14" s="957">
        <f t="shared" si="49"/>
        <v>4.2425593626159408</v>
      </c>
      <c r="BM14" s="957">
        <f t="shared" si="49"/>
        <v>4.2425593626159408</v>
      </c>
      <c r="BN14" s="957">
        <f t="shared" si="49"/>
        <v>4.2425593626159408</v>
      </c>
      <c r="BO14" s="957">
        <f t="shared" si="49"/>
        <v>4.2425593626159408</v>
      </c>
      <c r="BP14" s="957">
        <f t="shared" si="49"/>
        <v>4.2425593626159408</v>
      </c>
      <c r="BQ14" s="957">
        <f t="shared" si="49"/>
        <v>4.2425593626159408</v>
      </c>
      <c r="BR14" s="957">
        <f t="shared" si="49"/>
        <v>4.2425593626159408</v>
      </c>
      <c r="BS14" s="957">
        <f t="shared" si="49"/>
        <v>4.2425593626159408</v>
      </c>
      <c r="BT14" s="957">
        <f t="shared" si="49"/>
        <v>4.2425593626159408</v>
      </c>
      <c r="BU14" s="957">
        <f t="shared" si="49"/>
        <v>4.2425593626159408</v>
      </c>
      <c r="BV14" s="957">
        <f t="shared" si="49"/>
        <v>4.2425593626159408</v>
      </c>
      <c r="BW14" s="1388">
        <f>+BV14*BW$137/BV$137</f>
        <v>4.2527568062628252</v>
      </c>
      <c r="BX14" s="1388">
        <f t="shared" ref="BX14:CZ14" si="50">+BW14*BX$137/BW$137</f>
        <v>4.2629787605524712</v>
      </c>
      <c r="BY14" s="1388">
        <f t="shared" si="50"/>
        <v>4.2732252843988219</v>
      </c>
      <c r="BZ14" s="1388">
        <f t="shared" si="50"/>
        <v>4.2834964368574244</v>
      </c>
      <c r="CA14" s="1388">
        <f t="shared" si="50"/>
        <v>4.2937922771257746</v>
      </c>
      <c r="CB14" s="1388">
        <f t="shared" si="50"/>
        <v>4.302804903291757</v>
      </c>
      <c r="CC14" s="1388">
        <f t="shared" si="50"/>
        <v>4.3118364468680763</v>
      </c>
      <c r="CD14" s="1388">
        <f t="shared" si="50"/>
        <v>4.3208869475621841</v>
      </c>
      <c r="CE14" s="1388">
        <f t="shared" si="50"/>
        <v>4.3299564451648767</v>
      </c>
      <c r="CF14" s="1388">
        <f t="shared" si="50"/>
        <v>4.3390449795504713</v>
      </c>
      <c r="CG14" s="1388">
        <f t="shared" si="50"/>
        <v>4.3502256342328796</v>
      </c>
      <c r="CH14" s="1388">
        <f t="shared" si="50"/>
        <v>4.361435098720146</v>
      </c>
      <c r="CI14" s="1388">
        <f t="shared" si="50"/>
        <v>4.3726734472480695</v>
      </c>
      <c r="CJ14" s="1388">
        <f t="shared" si="50"/>
        <v>4.3839407542437394</v>
      </c>
      <c r="CK14" s="1388">
        <f t="shared" si="50"/>
        <v>4.3952370943260251</v>
      </c>
      <c r="CL14" s="1388">
        <f t="shared" si="50"/>
        <v>4.4046447412304142</v>
      </c>
      <c r="CM14" s="1388">
        <f t="shared" si="50"/>
        <v>4.4140725244365262</v>
      </c>
      <c r="CN14" s="1388">
        <f t="shared" si="50"/>
        <v>4.4235204870444758</v>
      </c>
      <c r="CO14" s="1388">
        <f t="shared" si="50"/>
        <v>4.4329886722466272</v>
      </c>
      <c r="CP14" s="1388">
        <f t="shared" si="50"/>
        <v>4.4424771233277953</v>
      </c>
      <c r="CQ14" s="1388">
        <f t="shared" si="50"/>
        <v>4.4511618127714661</v>
      </c>
      <c r="CR14" s="1388">
        <f t="shared" si="50"/>
        <v>4.4598634800922632</v>
      </c>
      <c r="CS14" s="1388">
        <f t="shared" si="50"/>
        <v>4.4685821584805847</v>
      </c>
      <c r="CT14" s="1388">
        <f t="shared" si="50"/>
        <v>4.4773178811917154</v>
      </c>
      <c r="CU14" s="1388">
        <f t="shared" si="50"/>
        <v>4.486070681545951</v>
      </c>
      <c r="CV14" s="1388">
        <f t="shared" si="50"/>
        <v>4.4964044657748525</v>
      </c>
      <c r="CW14" s="1388">
        <f t="shared" si="50"/>
        <v>4.5067620541531026</v>
      </c>
      <c r="CX14" s="1388">
        <f t="shared" si="50"/>
        <v>4.5171435015141972</v>
      </c>
      <c r="CY14" s="1388">
        <f t="shared" si="50"/>
        <v>4.5275488628179446</v>
      </c>
      <c r="CZ14" s="1388">
        <f t="shared" si="50"/>
        <v>4.537978193150753</v>
      </c>
    </row>
    <row r="15" spans="1:104" x14ac:dyDescent="0.25">
      <c r="A15" s="962" t="str">
        <f>'HyARC Physical Property Data'!A79</f>
        <v>Electric Utility Steam Coal</v>
      </c>
      <c r="B15" s="260">
        <v>2007</v>
      </c>
      <c r="C15" s="869">
        <f>VLOOKUP(ref_year,DeflatorTable,2,FALSE)/VLOOKUP(B15,DeflatorTable,2,FALSE)</f>
        <v>1.1446359956438654</v>
      </c>
      <c r="D15" s="1247" t="str">
        <f>+'HyARC Physical Property Data'!$H$79</f>
        <v>kg</v>
      </c>
      <c r="E15" s="895" t="s">
        <v>1053</v>
      </c>
      <c r="F15" s="260">
        <f>'HyARC Physical Property Data'!E42</f>
        <v>22.7322030001394</v>
      </c>
      <c r="G15" s="260">
        <f>'HyARC Physical Property Data'!I42</f>
        <v>23.967615189707661</v>
      </c>
      <c r="H15" s="260">
        <f>1.73552525043488*($C$15/mmBTU_to_GJ*$G$15/$F$15)</f>
        <v>1.9853138567637905</v>
      </c>
      <c r="I15" s="260">
        <f>1.73552525043488*($C$15/mmBTU_to_GJ*$G$15/$F$15)</f>
        <v>1.9853138567637905</v>
      </c>
      <c r="J15" s="260">
        <f>1.73552525043488*($C$15/mmBTU_to_GJ*$G$15/$F$15)</f>
        <v>1.9853138567637905</v>
      </c>
      <c r="K15" s="260">
        <f>1.78000020980835*($C$15/mmBTU_to_GJ*$G$15/$F$15)</f>
        <v>2.0361899549945894</v>
      </c>
      <c r="L15" s="260">
        <f>1.9310736656189*($C$15/mmBTU_to_GJ*$G$15/$F$15)</f>
        <v>2.2090069307975759</v>
      </c>
      <c r="M15" s="260">
        <f>1.98230564594269*($C$15/mmBTU_to_GJ*$G$15/$F$15)</f>
        <v>2.2676125664233231</v>
      </c>
      <c r="N15" s="260">
        <f>1.86225914955139*($C$15/mmBTU_to_GJ*$G$15/$F$15)</f>
        <v>2.13028816121408</v>
      </c>
      <c r="O15" s="260">
        <f>1.87335216999054*($C$15/mmBTU_to_GJ*$G$15/$F$15)</f>
        <v>2.1429777646558565</v>
      </c>
      <c r="P15" s="260">
        <f>1.85759365558624*($C$15/mmBTU_to_GJ*$G$15/$F$15)</f>
        <v>2.1249511776033034</v>
      </c>
      <c r="Q15" s="260">
        <f>1.88174879550934*($C$15/mmBTU_to_GJ*$G$15/$F$15)</f>
        <v>2.152582889668214</v>
      </c>
      <c r="R15" s="260">
        <f>1.90431761741638*($C$15/mmBTU_to_GJ*$G$15/$F$15)</f>
        <v>2.1783999700314376</v>
      </c>
      <c r="S15" s="260">
        <f>1.90719401836395*($C$15/mmBTU_to_GJ*$G$15/$F$15)</f>
        <v>2.1816903621806665</v>
      </c>
      <c r="T15" s="260">
        <f>1.91704928874969*($C$15/mmBTU_to_GJ*$G$15/$F$15)</f>
        <v>2.1929640701570041</v>
      </c>
      <c r="U15" s="260">
        <f>1.92595064640045*($C$15/mmBTU_to_GJ*$G$15/$F$15)</f>
        <v>2.203146571785048</v>
      </c>
      <c r="V15" s="260">
        <f>1.94080138206482*($C$15/mmBTU_to_GJ*$G$15/$F$15)</f>
        <v>2.2201347264029208</v>
      </c>
      <c r="W15" s="260">
        <f>1.94636797904968*($C$15/mmBTU_to_GJ*$G$15/$F$15)</f>
        <v>2.2265025059130679</v>
      </c>
      <c r="X15" s="260">
        <f>1.95628917217255*($C$15/mmBTU_to_GJ*$G$15/$F$15)</f>
        <v>2.2378516246755447</v>
      </c>
      <c r="Y15" s="260">
        <f>1.96225011348724*($C$15/mmBTU_to_GJ*$G$15/$F$15)</f>
        <v>2.2446705052354474</v>
      </c>
      <c r="Z15" s="260">
        <f>1.97535526752472*($C$15/mmBTU_to_GJ*$G$15/$F$15)</f>
        <v>2.2596618422379557</v>
      </c>
      <c r="AA15" s="260">
        <f>1.98115420341492*($C$15/mmBTU_to_GJ*$G$15/$F$15)</f>
        <v>2.2662954004500389</v>
      </c>
      <c r="AB15" s="260">
        <f>1.98549652099609*($C$15/mmBTU_to_GJ*$G$15/$F$15)</f>
        <v>2.2712626939320582</v>
      </c>
      <c r="AC15" s="260">
        <f>1.98988306522369*($C$15/mmBTU_to_GJ*$G$15/$F$15)</f>
        <v>2.2762805794604768</v>
      </c>
      <c r="AD15" s="260">
        <f>1.99634909629822*($C$15/mmBTU_to_GJ*$G$15/$F$15)</f>
        <v>2.2836772457361834</v>
      </c>
      <c r="AE15" s="260">
        <f>2.00744533538818*($C$15/mmBTU_to_GJ*$G$15/$F$15)</f>
        <v>2.2963705310789013</v>
      </c>
      <c r="AF15" s="260">
        <f>2.02021908760071*($C$15/mmBTU_to_GJ*$G$15/$F$15)</f>
        <v>2.3109827686502347</v>
      </c>
      <c r="AG15" s="260">
        <f>2.03361201286316*($C$15/mmBTU_to_GJ*$G$15/$F$15)</f>
        <v>2.3263032948710327</v>
      </c>
      <c r="AH15" s="260">
        <f>2.04451942443848*($C$15/mmBTU_to_GJ*$G$15/$F$15)</f>
        <v>2.3387805753580104</v>
      </c>
      <c r="AI15" s="260">
        <f>(($BB$15-$AH$15)/20+AH15)</f>
        <v>2.3439232584530902</v>
      </c>
      <c r="AJ15" s="260">
        <f t="shared" ref="AJ15:BA15" si="51">(($BB$15-$AH$15)/20+AI15)</f>
        <v>2.3490659415481701</v>
      </c>
      <c r="AK15" s="260">
        <f t="shared" si="51"/>
        <v>2.3542086246432499</v>
      </c>
      <c r="AL15" s="260">
        <f t="shared" si="51"/>
        <v>2.3593513077383297</v>
      </c>
      <c r="AM15" s="260">
        <f t="shared" si="51"/>
        <v>2.3644939908334095</v>
      </c>
      <c r="AN15" s="260">
        <f t="shared" si="51"/>
        <v>2.3696366739284893</v>
      </c>
      <c r="AO15" s="260">
        <f t="shared" si="51"/>
        <v>2.3747793570235691</v>
      </c>
      <c r="AP15" s="260">
        <f t="shared" si="51"/>
        <v>2.3799220401186489</v>
      </c>
      <c r="AQ15" s="260">
        <f t="shared" si="51"/>
        <v>2.3850647232137288</v>
      </c>
      <c r="AR15" s="260">
        <f t="shared" si="51"/>
        <v>2.3902074063088086</v>
      </c>
      <c r="AS15" s="260">
        <f t="shared" si="51"/>
        <v>2.3953500894038884</v>
      </c>
      <c r="AT15" s="260">
        <f t="shared" si="51"/>
        <v>2.4004927724989682</v>
      </c>
      <c r="AU15" s="260">
        <f t="shared" si="51"/>
        <v>2.405635455594048</v>
      </c>
      <c r="AV15" s="260">
        <f t="shared" si="51"/>
        <v>2.4107781386891278</v>
      </c>
      <c r="AW15" s="260">
        <f t="shared" si="51"/>
        <v>2.4159208217842076</v>
      </c>
      <c r="AX15" s="260">
        <f t="shared" si="51"/>
        <v>2.4210635048792875</v>
      </c>
      <c r="AY15" s="260">
        <f t="shared" si="51"/>
        <v>2.4262061879743673</v>
      </c>
      <c r="AZ15" s="260">
        <f t="shared" si="51"/>
        <v>2.4313488710694471</v>
      </c>
      <c r="BA15" s="260">
        <f t="shared" si="51"/>
        <v>2.4364915541645269</v>
      </c>
      <c r="BB15" s="1063">
        <f>(1.04397747398165*AH15)</f>
        <v>2.4416342372596058</v>
      </c>
      <c r="BC15" s="260">
        <f>(($BQ$15-$BB$15)/15+BB15)</f>
        <v>2.4462649790511035</v>
      </c>
      <c r="BD15" s="260">
        <f t="shared" ref="BD15:BP15" si="52">(($BQ$15-$BB$15)/15+BC15)</f>
        <v>2.4508957208426012</v>
      </c>
      <c r="BE15" s="260">
        <f t="shared" si="52"/>
        <v>2.4555264626340989</v>
      </c>
      <c r="BF15" s="260">
        <f t="shared" si="52"/>
        <v>2.4601572044255966</v>
      </c>
      <c r="BG15" s="260">
        <f t="shared" si="52"/>
        <v>2.4647879462170943</v>
      </c>
      <c r="BH15" s="260">
        <f t="shared" si="52"/>
        <v>2.469418688008592</v>
      </c>
      <c r="BI15" s="260">
        <f t="shared" si="52"/>
        <v>2.4740494298000897</v>
      </c>
      <c r="BJ15" s="260">
        <f t="shared" si="52"/>
        <v>2.4786801715915874</v>
      </c>
      <c r="BK15" s="260">
        <f t="shared" si="52"/>
        <v>2.4833109133830851</v>
      </c>
      <c r="BL15" s="260">
        <f t="shared" si="52"/>
        <v>2.4879416551745828</v>
      </c>
      <c r="BM15" s="260">
        <f t="shared" si="52"/>
        <v>2.4925723969660805</v>
      </c>
      <c r="BN15" s="260">
        <f t="shared" si="52"/>
        <v>2.4972031387575782</v>
      </c>
      <c r="BO15" s="260">
        <f t="shared" si="52"/>
        <v>2.5018338805490759</v>
      </c>
      <c r="BP15" s="260">
        <f t="shared" si="52"/>
        <v>2.5064646223405735</v>
      </c>
      <c r="BQ15" s="1063">
        <f>(1.02844862093285*BB15)</f>
        <v>2.511095364132073</v>
      </c>
      <c r="BR15" s="260">
        <f>(($BV$15-$BQ$15)/5+BQ15)</f>
        <v>2.5158578441414332</v>
      </c>
      <c r="BS15" s="260">
        <f>(($BV$15-$BQ$15)/5+BR15)</f>
        <v>2.5206203241507934</v>
      </c>
      <c r="BT15" s="260">
        <f>(($BV$15-$BQ$15)/5+BS15)</f>
        <v>2.5253828041601536</v>
      </c>
      <c r="BU15" s="260">
        <f>(($BV$15-$BQ$15)/5+BT15)</f>
        <v>2.5301452841695138</v>
      </c>
      <c r="BV15" s="1066">
        <f>(1.00948287364428*BQ15)</f>
        <v>2.5349077641788749</v>
      </c>
      <c r="BW15" s="1388">
        <f>+BV15*BW$138/BV$138</f>
        <v>2.5434781738814416</v>
      </c>
      <c r="BX15" s="1388">
        <f t="shared" ref="BX15:CZ15" si="53">+BW15*BX$138/BW$138</f>
        <v>2.5520775597556495</v>
      </c>
      <c r="BY15" s="1388">
        <f t="shared" si="53"/>
        <v>2.5607060197686384</v>
      </c>
      <c r="BZ15" s="1388">
        <f t="shared" si="53"/>
        <v>2.5693636522187702</v>
      </c>
      <c r="CA15" s="1388">
        <f t="shared" si="53"/>
        <v>2.5780505557367492</v>
      </c>
      <c r="CB15" s="1388">
        <f t="shared" si="53"/>
        <v>2.5854319192311639</v>
      </c>
      <c r="CC15" s="1388">
        <f t="shared" si="53"/>
        <v>2.592834416728135</v>
      </c>
      <c r="CD15" s="1388">
        <f t="shared" si="53"/>
        <v>2.6002581087376306</v>
      </c>
      <c r="CE15" s="1388">
        <f t="shared" si="53"/>
        <v>2.6077030559428676</v>
      </c>
      <c r="CF15" s="1388">
        <f t="shared" si="53"/>
        <v>2.6151693192008074</v>
      </c>
      <c r="CG15" s="1388">
        <f t="shared" si="53"/>
        <v>2.620869818974227</v>
      </c>
      <c r="CH15" s="1388">
        <f t="shared" si="53"/>
        <v>2.6265827445961101</v>
      </c>
      <c r="CI15" s="1388">
        <f t="shared" si="53"/>
        <v>2.6323081231521006</v>
      </c>
      <c r="CJ15" s="1388">
        <f t="shared" si="53"/>
        <v>2.6380459817868847</v>
      </c>
      <c r="CK15" s="1388">
        <f t="shared" si="53"/>
        <v>2.6437963477043169</v>
      </c>
      <c r="CL15" s="1388">
        <f t="shared" si="53"/>
        <v>2.6476946163242814</v>
      </c>
      <c r="CM15" s="1388">
        <f t="shared" si="53"/>
        <v>2.6515986329279162</v>
      </c>
      <c r="CN15" s="1388">
        <f t="shared" si="53"/>
        <v>2.6555084059906031</v>
      </c>
      <c r="CO15" s="1388">
        <f t="shared" si="53"/>
        <v>2.6594239440002214</v>
      </c>
      <c r="CP15" s="1388">
        <f t="shared" si="53"/>
        <v>2.6633452554571648</v>
      </c>
      <c r="CQ15" s="1388">
        <f t="shared" si="53"/>
        <v>2.6646584413422429</v>
      </c>
      <c r="CR15" s="1388">
        <f t="shared" si="53"/>
        <v>2.6659722747052119</v>
      </c>
      <c r="CS15" s="1388">
        <f t="shared" si="53"/>
        <v>2.6672867558653164</v>
      </c>
      <c r="CT15" s="1388">
        <f t="shared" si="53"/>
        <v>2.6686018851419582</v>
      </c>
      <c r="CU15" s="1388">
        <f t="shared" si="53"/>
        <v>2.6699176628546981</v>
      </c>
      <c r="CV15" s="1388">
        <f t="shared" si="53"/>
        <v>2.6680266065225413</v>
      </c>
      <c r="CW15" s="1388">
        <f t="shared" si="53"/>
        <v>2.6661368895927571</v>
      </c>
      <c r="CX15" s="1388">
        <f t="shared" si="53"/>
        <v>2.6642485111166696</v>
      </c>
      <c r="CY15" s="1388">
        <f t="shared" si="53"/>
        <v>2.662361470146275</v>
      </c>
      <c r="CZ15" s="1388">
        <f t="shared" si="53"/>
        <v>2.6604757657342417</v>
      </c>
    </row>
    <row r="16" spans="1:104" x14ac:dyDescent="0.25">
      <c r="A16" s="956" t="str">
        <f>'HyARC Physical Property Data'!A76</f>
        <v>Commercial Electricity</v>
      </c>
      <c r="B16" s="260">
        <v>2007</v>
      </c>
      <c r="C16" s="869">
        <f t="shared" si="37"/>
        <v>1.1446359956438654</v>
      </c>
      <c r="D16" s="1247" t="str">
        <f>'HyARC Physical Property Data'!$H$76</f>
        <v>kWh</v>
      </c>
      <c r="E16" s="869" t="s">
        <v>1072</v>
      </c>
      <c r="F16" s="869"/>
      <c r="G16" s="869"/>
      <c r="H16" s="260">
        <f>(28.3762531280518/(mmBTU_to_GJ))*($C$16)</f>
        <v>30.787185546796138</v>
      </c>
      <c r="I16" s="260">
        <f>(28.3762531280518/(mmBTU_to_GJ))*($C$16)</f>
        <v>30.787185546796138</v>
      </c>
      <c r="J16" s="260">
        <f>(28.3762531280518/(mmBTU_to_GJ))*($C$16)</f>
        <v>30.787185546796138</v>
      </c>
      <c r="K16" s="260">
        <f>(28.0297355651855/(mmBTU_to_GJ))*($C$16)</f>
        <v>30.411226802170969</v>
      </c>
      <c r="L16" s="260">
        <f>(29.057315826416/(mmBTU_to_GJ))*($C$16)</f>
        <v>31.52611339498382</v>
      </c>
      <c r="M16" s="260">
        <f>(27.6067714691162/(mmBTU_to_GJ))*($C$16)</f>
        <v>29.952326395321784</v>
      </c>
      <c r="N16" s="260">
        <f>(24.8355846405029/(mmBTU_to_GJ))*($C$16)</f>
        <v>26.94569113969624</v>
      </c>
      <c r="O16" s="260">
        <f>(25.5812511444092/(mmBTU_to_GJ))*($C$16)</f>
        <v>27.754711728432792</v>
      </c>
      <c r="P16" s="260">
        <f>(25.4402256011963/(mmBTU_to_GJ))*($C$16)</f>
        <v>27.601704227895624</v>
      </c>
      <c r="Q16" s="260">
        <f>(25.4701290130615/(mmBTU_to_GJ))*($C$16)</f>
        <v>27.634148324211708</v>
      </c>
      <c r="R16" s="260">
        <f>(25.6722831726074/(mmBTU_to_GJ))*($C$16)</f>
        <v>27.853478113486943</v>
      </c>
      <c r="S16" s="260">
        <f>(25.7632827758789/(mmBTU_to_GJ))*($C$16)</f>
        <v>27.952209318694404</v>
      </c>
      <c r="T16" s="260">
        <f>(26.1006698608398/(mmBTU_to_GJ))*($C$16)</f>
        <v>28.31826183235469</v>
      </c>
      <c r="U16" s="260">
        <f>(26.4680442810059/(mmBTU_to_GJ))*($C$16)</f>
        <v>28.716849496052234</v>
      </c>
      <c r="V16" s="260">
        <f>(26.885612487793/(mmBTU_to_GJ))*($C$16)</f>
        <v>29.169895562521408</v>
      </c>
      <c r="W16" s="260">
        <f>(27.1694507598877/(mmBTU_to_GJ))*($C$16)</f>
        <v>29.477849593972547</v>
      </c>
      <c r="X16" s="260">
        <f>(27.6201095581055/(mmBTU_to_GJ))*($C$16)</f>
        <v>29.966797728753303</v>
      </c>
      <c r="Y16" s="260">
        <f>(28.0024471282958/(mmBTU_to_GJ))*($C$16)</f>
        <v>30.381619857025179</v>
      </c>
      <c r="Z16" s="260">
        <f>(28.2454071044922/(mmBTU_to_GJ))*($C$16)</f>
        <v>30.645222448736249</v>
      </c>
      <c r="AA16" s="260">
        <f>(28.1863746643066/(mmBTU_to_GJ))*($C$16)</f>
        <v>30.581174433620486</v>
      </c>
      <c r="AB16" s="260">
        <f>(28.2032489776611/(mmBTU_to_GJ))*($C$16)</f>
        <v>30.599482439750659</v>
      </c>
      <c r="AC16" s="260">
        <f>(28.1397113800049/(mmBTU_to_GJ))*($C$16)</f>
        <v>30.530546495339259</v>
      </c>
      <c r="AD16" s="260">
        <f>(28.178466796875/(mmBTU_to_GJ))*($C$16)</f>
        <v>30.572594689818597</v>
      </c>
      <c r="AE16" s="260">
        <f>(28.4951820373535/(mmBTU_to_GJ))*($C$16)</f>
        <v>30.916219016473285</v>
      </c>
      <c r="AF16" s="260">
        <f>(28.9155654907227/(mmBTU_to_GJ))*($C$16)</f>
        <v>31.372319521401678</v>
      </c>
      <c r="AG16" s="260">
        <f>(29.2894115447998/(mmBTU_to_GJ))*($C$16)</f>
        <v>31.777928668630185</v>
      </c>
      <c r="AH16" s="260">
        <f>(29.6516952514648/(mmBTU_to_GJ))*($C$16)</f>
        <v>32.170993096387576</v>
      </c>
      <c r="AI16" s="260">
        <f t="shared" ref="AI16:BA18" si="54">($BB16-$AH16)/20+AH16</f>
        <v>32.16150778317737</v>
      </c>
      <c r="AJ16" s="260">
        <f t="shared" si="54"/>
        <v>32.152022469967164</v>
      </c>
      <c r="AK16" s="260">
        <f t="shared" si="54"/>
        <v>32.142537156756958</v>
      </c>
      <c r="AL16" s="260">
        <f t="shared" si="54"/>
        <v>32.133051843546752</v>
      </c>
      <c r="AM16" s="260">
        <f t="shared" si="54"/>
        <v>32.123566530336547</v>
      </c>
      <c r="AN16" s="260">
        <f t="shared" si="54"/>
        <v>32.114081217126341</v>
      </c>
      <c r="AO16" s="260">
        <f t="shared" si="54"/>
        <v>32.104595903916135</v>
      </c>
      <c r="AP16" s="260">
        <f t="shared" si="54"/>
        <v>32.095110590705929</v>
      </c>
      <c r="AQ16" s="260">
        <f t="shared" si="54"/>
        <v>32.085625277495723</v>
      </c>
      <c r="AR16" s="260">
        <f t="shared" si="54"/>
        <v>32.076139964285517</v>
      </c>
      <c r="AS16" s="260">
        <f t="shared" si="54"/>
        <v>32.066654651075311</v>
      </c>
      <c r="AT16" s="260">
        <f t="shared" si="54"/>
        <v>32.057169337865105</v>
      </c>
      <c r="AU16" s="260">
        <f t="shared" si="54"/>
        <v>32.047684024654899</v>
      </c>
      <c r="AV16" s="260">
        <f t="shared" si="54"/>
        <v>32.038198711444693</v>
      </c>
      <c r="AW16" s="260">
        <f t="shared" si="54"/>
        <v>32.028713398234487</v>
      </c>
      <c r="AX16" s="260">
        <f t="shared" si="54"/>
        <v>32.019228085024281</v>
      </c>
      <c r="AY16" s="260">
        <f t="shared" si="54"/>
        <v>32.009742771814075</v>
      </c>
      <c r="AZ16" s="260">
        <f t="shared" si="54"/>
        <v>32.000257458603869</v>
      </c>
      <c r="BA16" s="260">
        <f t="shared" si="54"/>
        <v>31.990772145393663</v>
      </c>
      <c r="BB16" s="1063">
        <f>0.994103189054944*AH16</f>
        <v>31.981286832183478</v>
      </c>
      <c r="BC16" s="260">
        <f t="shared" ref="BC16:BP18" si="55">($BQ16-$BB16)/15+BB16</f>
        <v>32.001602863802262</v>
      </c>
      <c r="BD16" s="260">
        <f t="shared" si="55"/>
        <v>32.021918895421045</v>
      </c>
      <c r="BE16" s="260">
        <f t="shared" si="55"/>
        <v>32.042234927039829</v>
      </c>
      <c r="BF16" s="260">
        <f t="shared" si="55"/>
        <v>32.062550958658612</v>
      </c>
      <c r="BG16" s="260">
        <f t="shared" si="55"/>
        <v>32.082866990277395</v>
      </c>
      <c r="BH16" s="260">
        <f t="shared" si="55"/>
        <v>32.103183021896179</v>
      </c>
      <c r="BI16" s="260">
        <f t="shared" si="55"/>
        <v>32.123499053514962</v>
      </c>
      <c r="BJ16" s="260">
        <f t="shared" si="55"/>
        <v>32.143815085133745</v>
      </c>
      <c r="BK16" s="260">
        <f t="shared" si="55"/>
        <v>32.164131116752529</v>
      </c>
      <c r="BL16" s="260">
        <f t="shared" si="55"/>
        <v>32.184447148371312</v>
      </c>
      <c r="BM16" s="260">
        <f t="shared" si="55"/>
        <v>32.204763179990096</v>
      </c>
      <c r="BN16" s="260">
        <f t="shared" si="55"/>
        <v>32.225079211608879</v>
      </c>
      <c r="BO16" s="260">
        <f t="shared" si="55"/>
        <v>32.245395243227662</v>
      </c>
      <c r="BP16" s="260">
        <f t="shared" si="55"/>
        <v>32.265711274846446</v>
      </c>
      <c r="BQ16" s="1063">
        <f>1.00952871208344*BB16</f>
        <v>32.286027306465265</v>
      </c>
      <c r="BR16" s="260">
        <f t="shared" ref="BR16:BU18" si="56">($BV16-$BQ16)/5+BQ16</f>
        <v>32.306536923700044</v>
      </c>
      <c r="BS16" s="260">
        <f t="shared" si="56"/>
        <v>32.327046540934823</v>
      </c>
      <c r="BT16" s="260">
        <f t="shared" si="56"/>
        <v>32.347556158169603</v>
      </c>
      <c r="BU16" s="260">
        <f t="shared" si="56"/>
        <v>32.368065775404382</v>
      </c>
      <c r="BV16" s="1066">
        <f>1.00317623736115*BQ16</f>
        <v>32.388575392639169</v>
      </c>
      <c r="BW16" s="1388">
        <f>+BV16*BW$139/BV$139</f>
        <v>32.37431458077026</v>
      </c>
      <c r="BX16" s="1388">
        <f t="shared" ref="BX16:CZ16" si="57">+BW16*BX$139/BW$139</f>
        <v>32.360060047990594</v>
      </c>
      <c r="BY16" s="1388">
        <f t="shared" si="57"/>
        <v>32.345811791535453</v>
      </c>
      <c r="BZ16" s="1388">
        <f t="shared" si="57"/>
        <v>32.331569808641355</v>
      </c>
      <c r="CA16" s="1388">
        <f t="shared" si="57"/>
        <v>32.317334096546027</v>
      </c>
      <c r="CB16" s="1388">
        <f t="shared" si="57"/>
        <v>32.291448416621037</v>
      </c>
      <c r="CC16" s="1388">
        <f t="shared" si="57"/>
        <v>32.265583470721417</v>
      </c>
      <c r="CD16" s="1388">
        <f t="shared" si="57"/>
        <v>32.239739242239537</v>
      </c>
      <c r="CE16" s="1388">
        <f t="shared" si="57"/>
        <v>32.213915714581077</v>
      </c>
      <c r="CF16" s="1388">
        <f t="shared" si="57"/>
        <v>32.188112871164996</v>
      </c>
      <c r="CG16" s="1388">
        <f t="shared" si="57"/>
        <v>32.152568008354812</v>
      </c>
      <c r="CH16" s="1388">
        <f t="shared" si="57"/>
        <v>32.11706239721736</v>
      </c>
      <c r="CI16" s="1388">
        <f t="shared" si="57"/>
        <v>32.081595994407593</v>
      </c>
      <c r="CJ16" s="1388">
        <f t="shared" si="57"/>
        <v>32.046168756628319</v>
      </c>
      <c r="CK16" s="1388">
        <f t="shared" si="57"/>
        <v>32.010780640630173</v>
      </c>
      <c r="CL16" s="1388">
        <f t="shared" si="57"/>
        <v>31.972198945666406</v>
      </c>
      <c r="CM16" s="1388">
        <f t="shared" si="57"/>
        <v>31.933663752136113</v>
      </c>
      <c r="CN16" s="1388">
        <f t="shared" si="57"/>
        <v>31.895175003992414</v>
      </c>
      <c r="CO16" s="1388">
        <f t="shared" si="57"/>
        <v>31.856732645255992</v>
      </c>
      <c r="CP16" s="1388">
        <f t="shared" si="57"/>
        <v>31.818336620015</v>
      </c>
      <c r="CQ16" s="1388">
        <f t="shared" si="57"/>
        <v>31.773863996680806</v>
      </c>
      <c r="CR16" s="1388">
        <f t="shared" si="57"/>
        <v>31.729453532919873</v>
      </c>
      <c r="CS16" s="1388">
        <f t="shared" si="57"/>
        <v>31.685105141851508</v>
      </c>
      <c r="CT16" s="1388">
        <f t="shared" si="57"/>
        <v>31.640818736716444</v>
      </c>
      <c r="CU16" s="1388">
        <f t="shared" si="57"/>
        <v>31.596594230876679</v>
      </c>
      <c r="CV16" s="1388">
        <f t="shared" si="57"/>
        <v>31.553423239824536</v>
      </c>
      <c r="CW16" s="1388">
        <f t="shared" si="57"/>
        <v>31.510311234068549</v>
      </c>
      <c r="CX16" s="1388">
        <f t="shared" si="57"/>
        <v>31.467258133016063</v>
      </c>
      <c r="CY16" s="1388">
        <f t="shared" si="57"/>
        <v>31.424263856184528</v>
      </c>
      <c r="CZ16" s="1388">
        <f t="shared" si="57"/>
        <v>31.381328323201359</v>
      </c>
    </row>
    <row r="17" spans="1:104" x14ac:dyDescent="0.25">
      <c r="A17" s="956" t="str">
        <f>'HyARC Physical Property Data'!A77</f>
        <v>Industrial Electricity</v>
      </c>
      <c r="B17" s="260">
        <v>2007</v>
      </c>
      <c r="C17" s="869">
        <f t="shared" si="37"/>
        <v>1.1446359956438654</v>
      </c>
      <c r="D17" s="956" t="str">
        <f>'HyARC Physical Property Data'!$H$77</f>
        <v>kWh</v>
      </c>
      <c r="E17" s="869" t="s">
        <v>1072</v>
      </c>
      <c r="F17" s="869"/>
      <c r="G17" s="869"/>
      <c r="H17" s="260">
        <f>(18.4008941650391/(mmBTU_to_GJ))*($C$17)</f>
        <v>19.964289870461542</v>
      </c>
      <c r="I17" s="260">
        <f>(18.4008941650391/(mmBTU_to_GJ))*($C$17)</f>
        <v>19.964289870461542</v>
      </c>
      <c r="J17" s="260">
        <f>(18.4008941650391/(mmBTU_to_GJ))*($C$17)</f>
        <v>19.964289870461542</v>
      </c>
      <c r="K17" s="260">
        <f>(18.6226921081543/(mmBTU_to_GJ))*($C$17)</f>
        <v>20.204932438660048</v>
      </c>
      <c r="L17" s="260">
        <f>(20.3344097137451/(mmBTU_to_GJ))*($C$17)</f>
        <v>22.062082756893755</v>
      </c>
      <c r="M17" s="260">
        <f>(19.1594867706299/(mmBTU_to_GJ))*($C$17)</f>
        <v>20.787334801635478</v>
      </c>
      <c r="N17" s="260">
        <f>(16.8281726837158/(mmBTU_to_GJ))*($C$17)</f>
        <v>18.257945208238802</v>
      </c>
      <c r="O17" s="260">
        <f>(17.2643089294434/(mmBTU_to_GJ))*($C$17)</f>
        <v>18.731136910480302</v>
      </c>
      <c r="P17" s="260">
        <f>(17.1560707092285/(mmBTU_to_GJ))*($C$17)</f>
        <v>18.61370244321737</v>
      </c>
      <c r="Q17" s="260">
        <f>(17.0836048126221/(mmBTU_to_GJ))*($C$17)</f>
        <v>18.535079624532727</v>
      </c>
      <c r="R17" s="260">
        <f>(17.1988334655762/(mmBTU_to_GJ))*($C$17)</f>
        <v>18.660098452874735</v>
      </c>
      <c r="S17" s="260">
        <f>(17.3181438446045/(mmBTU_to_GJ))*($C$17)</f>
        <v>18.789545803101944</v>
      </c>
      <c r="T17" s="260">
        <f>(17.6150741577148/(mmBTU_to_GJ))*($C$17)</f>
        <v>19.111704215029771</v>
      </c>
      <c r="U17" s="260">
        <f>(17.9101543426514/(mmBTU_to_GJ))*($C$17)</f>
        <v>19.431855306290132</v>
      </c>
      <c r="V17" s="260">
        <f>(18.2101707458496/(mmBTU_to_GJ))*($C$17)</f>
        <v>19.757362011867627</v>
      </c>
      <c r="W17" s="260">
        <f>(18.456880569458/(mmBTU_to_GJ))*($C$17)</f>
        <v>20.025033049385286</v>
      </c>
      <c r="X17" s="260">
        <f>(18.8030014038086/(mmBTU_to_GJ))*($C$17)</f>
        <v>20.400561358238349</v>
      </c>
      <c r="Y17" s="260">
        <f>(19.0852069854736/(mmBTU_to_GJ))*($C$17)</f>
        <v>20.706743980935386</v>
      </c>
      <c r="Z17" s="260">
        <f>(19.30615234375/(mmBTU_to_GJ))*($C$17)</f>
        <v>20.946461526104674</v>
      </c>
      <c r="AA17" s="260">
        <f>(19.3043308258057/(mmBTU_to_GJ))*($C$17)</f>
        <v>20.944485246478358</v>
      </c>
      <c r="AB17" s="260">
        <f>(19.3253479003906/(mmBTU_to_GJ))*($C$17)</f>
        <v>20.967287995381685</v>
      </c>
      <c r="AC17" s="260">
        <f>(19.3248138427734/(mmBTU_to_GJ))*($C$17)</f>
        <v>20.966708562611643</v>
      </c>
      <c r="AD17" s="260">
        <f>(19.3542194366455/(mmBTU_to_GJ))*($C$17)</f>
        <v>20.998612544810026</v>
      </c>
      <c r="AE17" s="260">
        <f>(19.6148834228516/(mmBTU_to_GJ))*($C$17)</f>
        <v>21.281423332847481</v>
      </c>
      <c r="AF17" s="260">
        <f>(19.97239112854/(mmBTU_to_GJ))*($C$17)</f>
        <v>21.669305976118565</v>
      </c>
      <c r="AG17" s="260">
        <f>(20.29469871521/(mmBTU_to_GJ))*($C$17)</f>
        <v>22.018997791636661</v>
      </c>
      <c r="AH17" s="260">
        <f>(20.5609893798828/(mmBTU_to_GJ))*($C$17)</f>
        <v>22.307913317786817</v>
      </c>
      <c r="AI17" s="260">
        <f t="shared" si="54"/>
        <v>22.301336040416132</v>
      </c>
      <c r="AJ17" s="260">
        <f t="shared" si="54"/>
        <v>22.294758763045447</v>
      </c>
      <c r="AK17" s="260">
        <f t="shared" si="54"/>
        <v>22.288181485674762</v>
      </c>
      <c r="AL17" s="260">
        <f t="shared" si="54"/>
        <v>22.281604208304078</v>
      </c>
      <c r="AM17" s="260">
        <f t="shared" si="54"/>
        <v>22.275026930933393</v>
      </c>
      <c r="AN17" s="260">
        <f t="shared" si="54"/>
        <v>22.268449653562708</v>
      </c>
      <c r="AO17" s="260">
        <f t="shared" si="54"/>
        <v>22.261872376192024</v>
      </c>
      <c r="AP17" s="260">
        <f t="shared" si="54"/>
        <v>22.255295098821339</v>
      </c>
      <c r="AQ17" s="260">
        <f t="shared" si="54"/>
        <v>22.248717821450654</v>
      </c>
      <c r="AR17" s="260">
        <f t="shared" si="54"/>
        <v>22.24214054407997</v>
      </c>
      <c r="AS17" s="260">
        <f t="shared" si="54"/>
        <v>22.235563266709285</v>
      </c>
      <c r="AT17" s="260">
        <f t="shared" si="54"/>
        <v>22.2289859893386</v>
      </c>
      <c r="AU17" s="260">
        <f t="shared" si="54"/>
        <v>22.222408711967915</v>
      </c>
      <c r="AV17" s="260">
        <f t="shared" si="54"/>
        <v>22.215831434597231</v>
      </c>
      <c r="AW17" s="260">
        <f t="shared" si="54"/>
        <v>22.209254157226546</v>
      </c>
      <c r="AX17" s="260">
        <f t="shared" si="54"/>
        <v>22.202676879855861</v>
      </c>
      <c r="AY17" s="260">
        <f t="shared" si="54"/>
        <v>22.196099602485177</v>
      </c>
      <c r="AZ17" s="260">
        <f t="shared" si="54"/>
        <v>22.189522325114492</v>
      </c>
      <c r="BA17" s="260">
        <f t="shared" si="54"/>
        <v>22.182945047743807</v>
      </c>
      <c r="BB17" s="1063">
        <f>0.994103189054944*AH17</f>
        <v>22.17636777037313</v>
      </c>
      <c r="BC17" s="260">
        <f t="shared" si="55"/>
        <v>22.190455251942488</v>
      </c>
      <c r="BD17" s="260">
        <f t="shared" si="55"/>
        <v>22.204542733511847</v>
      </c>
      <c r="BE17" s="260">
        <f t="shared" si="55"/>
        <v>22.218630215081205</v>
      </c>
      <c r="BF17" s="260">
        <f t="shared" si="55"/>
        <v>22.232717696650564</v>
      </c>
      <c r="BG17" s="260">
        <f t="shared" si="55"/>
        <v>22.246805178219923</v>
      </c>
      <c r="BH17" s="260">
        <f t="shared" si="55"/>
        <v>22.260892659789281</v>
      </c>
      <c r="BI17" s="260">
        <f t="shared" si="55"/>
        <v>22.27498014135864</v>
      </c>
      <c r="BJ17" s="260">
        <f t="shared" si="55"/>
        <v>22.289067622927998</v>
      </c>
      <c r="BK17" s="260">
        <f t="shared" si="55"/>
        <v>22.303155104497357</v>
      </c>
      <c r="BL17" s="260">
        <f t="shared" si="55"/>
        <v>22.317242586066715</v>
      </c>
      <c r="BM17" s="260">
        <f t="shared" si="55"/>
        <v>22.331330067636074</v>
      </c>
      <c r="BN17" s="260">
        <f t="shared" si="55"/>
        <v>22.345417549205433</v>
      </c>
      <c r="BO17" s="260">
        <f t="shared" si="55"/>
        <v>22.359505030774791</v>
      </c>
      <c r="BP17" s="260">
        <f t="shared" si="55"/>
        <v>22.37359251234415</v>
      </c>
      <c r="BQ17" s="1063">
        <f>1.00952871208344*BB17</f>
        <v>22.387679993913494</v>
      </c>
      <c r="BR17" s="260">
        <f t="shared" si="56"/>
        <v>22.401901711038722</v>
      </c>
      <c r="BS17" s="260">
        <f t="shared" si="56"/>
        <v>22.416123428163949</v>
      </c>
      <c r="BT17" s="260">
        <f t="shared" si="56"/>
        <v>22.430345145289177</v>
      </c>
      <c r="BU17" s="260">
        <f t="shared" si="56"/>
        <v>22.444566862414405</v>
      </c>
      <c r="BV17" s="1066">
        <f>1.00317623736115*BQ17</f>
        <v>22.458788579539629</v>
      </c>
      <c r="BW17" s="1388">
        <f>+BV17*BW$140/BV$140</f>
        <v>22.465574719294207</v>
      </c>
      <c r="BX17" s="1388">
        <f t="shared" ref="BX17:CZ17" si="58">+BW17*BX$140/BW$140</f>
        <v>22.472362909546415</v>
      </c>
      <c r="BY17" s="1388">
        <f t="shared" si="58"/>
        <v>22.479153150915831</v>
      </c>
      <c r="BZ17" s="1388">
        <f t="shared" si="58"/>
        <v>22.485945444022224</v>
      </c>
      <c r="CA17" s="1388">
        <f t="shared" si="58"/>
        <v>22.492739789485537</v>
      </c>
      <c r="CB17" s="1388">
        <f t="shared" si="58"/>
        <v>22.49019603346196</v>
      </c>
      <c r="CC17" s="1388">
        <f t="shared" si="58"/>
        <v>22.487652565117642</v>
      </c>
      <c r="CD17" s="1388">
        <f t="shared" si="58"/>
        <v>22.485109384420049</v>
      </c>
      <c r="CE17" s="1388">
        <f t="shared" si="58"/>
        <v>22.482566491336648</v>
      </c>
      <c r="CF17" s="1388">
        <f t="shared" si="58"/>
        <v>22.480023885834914</v>
      </c>
      <c r="CG17" s="1388">
        <f t="shared" si="58"/>
        <v>22.469826748009918</v>
      </c>
      <c r="CH17" s="1388">
        <f t="shared" si="58"/>
        <v>22.459634235696903</v>
      </c>
      <c r="CI17" s="1388">
        <f t="shared" si="58"/>
        <v>22.449446346797696</v>
      </c>
      <c r="CJ17" s="1388">
        <f t="shared" si="58"/>
        <v>22.439263079215074</v>
      </c>
      <c r="CK17" s="1388">
        <f t="shared" si="58"/>
        <v>22.429084430852768</v>
      </c>
      <c r="CL17" s="1388">
        <f t="shared" si="58"/>
        <v>22.41659732007183</v>
      </c>
      <c r="CM17" s="1388">
        <f t="shared" si="58"/>
        <v>22.404117161332831</v>
      </c>
      <c r="CN17" s="1388">
        <f t="shared" si="58"/>
        <v>22.39164395076531</v>
      </c>
      <c r="CO17" s="1388">
        <f t="shared" si="58"/>
        <v>22.379177684500963</v>
      </c>
      <c r="CP17" s="1388">
        <f t="shared" si="58"/>
        <v>22.36671835867363</v>
      </c>
      <c r="CQ17" s="1388">
        <f t="shared" si="58"/>
        <v>22.349648462331068</v>
      </c>
      <c r="CR17" s="1388">
        <f t="shared" si="58"/>
        <v>22.332591593441013</v>
      </c>
      <c r="CS17" s="1388">
        <f t="shared" si="58"/>
        <v>22.315547742061138</v>
      </c>
      <c r="CT17" s="1388">
        <f t="shared" si="58"/>
        <v>22.2985168982567</v>
      </c>
      <c r="CU17" s="1388">
        <f t="shared" si="58"/>
        <v>22.281499052100536</v>
      </c>
      <c r="CV17" s="1388">
        <f t="shared" si="58"/>
        <v>22.265499049909142</v>
      </c>
      <c r="CW17" s="1388">
        <f t="shared" si="58"/>
        <v>22.249510537073537</v>
      </c>
      <c r="CX17" s="1388">
        <f t="shared" si="58"/>
        <v>22.233533505343395</v>
      </c>
      <c r="CY17" s="1388">
        <f t="shared" si="58"/>
        <v>22.217567946474304</v>
      </c>
      <c r="CZ17" s="1388">
        <f t="shared" si="58"/>
        <v>22.20161385222778</v>
      </c>
    </row>
    <row r="18" spans="1:104" ht="13.8" thickBot="1" x14ac:dyDescent="0.3">
      <c r="A18" s="959" t="str">
        <f>'HyARC Physical Property Data'!A78</f>
        <v>Residential Electricity</v>
      </c>
      <c r="B18" s="875">
        <v>2007</v>
      </c>
      <c r="C18" s="876">
        <f t="shared" si="37"/>
        <v>1.1446359956438654</v>
      </c>
      <c r="D18" s="959" t="str">
        <f>'HyARC Physical Property Data'!$H$78</f>
        <v>kWh</v>
      </c>
      <c r="E18" s="876" t="s">
        <v>1072</v>
      </c>
      <c r="F18" s="875"/>
      <c r="G18" s="875"/>
      <c r="H18" s="875">
        <f>(31.2067794799805/(mmBTU_to_GJ))*($C$18)</f>
        <v>33.858201991380128</v>
      </c>
      <c r="I18" s="875">
        <f>(31.2067794799805/(mmBTU_to_GJ))*($C$18)</f>
        <v>33.858201991380128</v>
      </c>
      <c r="J18" s="875">
        <f>(31.2067794799805/(mmBTU_to_GJ))*($C$18)</f>
        <v>33.858201991380128</v>
      </c>
      <c r="K18" s="875">
        <f>(31.181957244873/(mmBTU_to_GJ))*($C$18)</f>
        <v>33.831270783990192</v>
      </c>
      <c r="L18" s="875">
        <f>(31.772819519043/(mmBTU_to_GJ))*($C$18)</f>
        <v>34.472334506722866</v>
      </c>
      <c r="M18" s="875">
        <f>(30.736837387085/(mmBTU_to_GJ))*($C$18)</f>
        <v>33.348332194795859</v>
      </c>
      <c r="N18" s="875">
        <f>(28.6163578033447/(mmBTU_to_GJ))*($C$18)</f>
        <v>31.047690242590104</v>
      </c>
      <c r="O18" s="875">
        <f>(29.8736190795898/(mmBTU_to_GJ))*($C$18)</f>
        <v>32.411772245167633</v>
      </c>
      <c r="P18" s="875">
        <f>(30.101655960083/(mmBTU_to_GJ))*($C$18)</f>
        <v>32.659183829761808</v>
      </c>
      <c r="Q18" s="875">
        <f>(30.4253902435303/(mmBTU_to_GJ))*($C$18)</f>
        <v>33.010423558536921</v>
      </c>
      <c r="R18" s="875">
        <f>(30.7938537597656/(mmBTU_to_GJ))*($C$18)</f>
        <v>33.410192851204634</v>
      </c>
      <c r="S18" s="875">
        <f>(30.8830280303955/(mmBTU_to_GJ))*($C$18)</f>
        <v>33.50694363798025</v>
      </c>
      <c r="T18" s="875">
        <f>(31.1491451263428/(mmBTU_to_GJ))*($C$18)</f>
        <v>33.795670848480235</v>
      </c>
      <c r="U18" s="875">
        <f>(31.4898681640625/(mmBTU_to_GJ))*($C$18)</f>
        <v>34.165342747550469</v>
      </c>
      <c r="V18" s="875">
        <f>(31.8156299591064/(mmBTU_to_GJ))*($C$18)</f>
        <v>34.518782251448862</v>
      </c>
      <c r="W18" s="875">
        <f>(32.0206985473633/(mmBTU_to_GJ))*($C$18)</f>
        <v>34.741274088126325</v>
      </c>
      <c r="X18" s="875">
        <f>(32.4303588867188/(mmBTU_to_GJ))*($C$18)</f>
        <v>35.185740410793606</v>
      </c>
      <c r="Y18" s="875">
        <f>(32.7907905578613/(mmBTU_to_GJ))*($C$18)</f>
        <v>35.576795448480595</v>
      </c>
      <c r="Z18" s="875">
        <f>(32.9940071105957/(mmBTU_to_GJ))*($C$18)</f>
        <v>35.797277895087667</v>
      </c>
      <c r="AA18" s="875">
        <f>(32.9234657287598/(mmBTU_to_GJ))*($C$18)</f>
        <v>35.720743103777878</v>
      </c>
      <c r="AB18" s="875">
        <f>(32.9201545715332/(mmBTU_to_GJ))*($C$18)</f>
        <v>35.717150620603661</v>
      </c>
      <c r="AC18" s="875">
        <f>(32.902271270752/(mmBTU_to_GJ))*($C$18)</f>
        <v>35.69774790041874</v>
      </c>
      <c r="AD18" s="875">
        <f>(32.9582405090332/(mmBTU_to_GJ))*($C$18)</f>
        <v>35.758472454717726</v>
      </c>
      <c r="AE18" s="875">
        <f>(33.321102142334/(mmBTU_to_GJ))*($C$18)</f>
        <v>36.152163911508453</v>
      </c>
      <c r="AF18" s="875">
        <f>(33.7343635559082/(mmBTU_to_GJ))*($C$18)</f>
        <v>36.600537266567883</v>
      </c>
      <c r="AG18" s="875">
        <f>(34.1495399475098/(mmBTU_to_GJ))*($C$18)</f>
        <v>37.050988301988475</v>
      </c>
      <c r="AH18" s="875">
        <f>(34.4904899597167/(mmBTU_to_GJ))*($C$18)</f>
        <v>37.420906459985844</v>
      </c>
      <c r="AI18" s="875">
        <f t="shared" si="54"/>
        <v>37.409873259446485</v>
      </c>
      <c r="AJ18" s="875">
        <f t="shared" si="54"/>
        <v>37.398840058907126</v>
      </c>
      <c r="AK18" s="875">
        <f t="shared" si="54"/>
        <v>37.387806858367767</v>
      </c>
      <c r="AL18" s="875">
        <f t="shared" si="54"/>
        <v>37.376773657828409</v>
      </c>
      <c r="AM18" s="875">
        <f t="shared" si="54"/>
        <v>37.36574045728905</v>
      </c>
      <c r="AN18" s="875">
        <f t="shared" si="54"/>
        <v>37.354707256749691</v>
      </c>
      <c r="AO18" s="875">
        <f t="shared" si="54"/>
        <v>37.343674056210332</v>
      </c>
      <c r="AP18" s="875">
        <f t="shared" si="54"/>
        <v>37.332640855670974</v>
      </c>
      <c r="AQ18" s="875">
        <f t="shared" si="54"/>
        <v>37.321607655131615</v>
      </c>
      <c r="AR18" s="875">
        <f t="shared" si="54"/>
        <v>37.310574454592256</v>
      </c>
      <c r="AS18" s="875">
        <f t="shared" si="54"/>
        <v>37.299541254052897</v>
      </c>
      <c r="AT18" s="875">
        <f t="shared" si="54"/>
        <v>37.288508053513539</v>
      </c>
      <c r="AU18" s="875">
        <f t="shared" si="54"/>
        <v>37.27747485297418</v>
      </c>
      <c r="AV18" s="875">
        <f t="shared" si="54"/>
        <v>37.266441652434821</v>
      </c>
      <c r="AW18" s="875">
        <f t="shared" si="54"/>
        <v>37.255408451895462</v>
      </c>
      <c r="AX18" s="875">
        <f t="shared" si="54"/>
        <v>37.244375251356104</v>
      </c>
      <c r="AY18" s="875">
        <f t="shared" si="54"/>
        <v>37.233342050816745</v>
      </c>
      <c r="AZ18" s="875">
        <f t="shared" si="54"/>
        <v>37.222308850277386</v>
      </c>
      <c r="BA18" s="875">
        <f t="shared" si="54"/>
        <v>37.211275649738027</v>
      </c>
      <c r="BB18" s="1067">
        <f>0.994103189054944*AH18</f>
        <v>37.200242449198683</v>
      </c>
      <c r="BC18" s="875">
        <f t="shared" si="55"/>
        <v>37.223873809180851</v>
      </c>
      <c r="BD18" s="875">
        <f t="shared" si="55"/>
        <v>37.24750516916302</v>
      </c>
      <c r="BE18" s="875">
        <f t="shared" si="55"/>
        <v>37.271136529145188</v>
      </c>
      <c r="BF18" s="875">
        <f t="shared" si="55"/>
        <v>37.294767889127357</v>
      </c>
      <c r="BG18" s="875">
        <f t="shared" si="55"/>
        <v>37.318399249109525</v>
      </c>
      <c r="BH18" s="875">
        <f t="shared" si="55"/>
        <v>37.342030609091694</v>
      </c>
      <c r="BI18" s="875">
        <f t="shared" si="55"/>
        <v>37.365661969073862</v>
      </c>
      <c r="BJ18" s="875">
        <f t="shared" si="55"/>
        <v>37.389293329056031</v>
      </c>
      <c r="BK18" s="875">
        <f t="shared" si="55"/>
        <v>37.412924689038199</v>
      </c>
      <c r="BL18" s="875">
        <f t="shared" si="55"/>
        <v>37.436556049020368</v>
      </c>
      <c r="BM18" s="875">
        <f t="shared" si="55"/>
        <v>37.460187409002536</v>
      </c>
      <c r="BN18" s="875">
        <f t="shared" si="55"/>
        <v>37.483818768984705</v>
      </c>
      <c r="BO18" s="875">
        <f t="shared" si="55"/>
        <v>37.507450128966873</v>
      </c>
      <c r="BP18" s="875">
        <f t="shared" si="55"/>
        <v>37.531081488949042</v>
      </c>
      <c r="BQ18" s="1067">
        <f>1.00952871208344*BB18</f>
        <v>37.55471284893126</v>
      </c>
      <c r="BR18" s="875">
        <f t="shared" si="56"/>
        <v>37.578569385338866</v>
      </c>
      <c r="BS18" s="875">
        <f t="shared" si="56"/>
        <v>37.602425921746473</v>
      </c>
      <c r="BT18" s="875">
        <f t="shared" si="56"/>
        <v>37.62628245815408</v>
      </c>
      <c r="BU18" s="875">
        <f t="shared" si="56"/>
        <v>37.650138994561686</v>
      </c>
      <c r="BV18" s="1068">
        <f>1.00317623736115*BQ18</f>
        <v>37.673995530969293</v>
      </c>
      <c r="BW18" s="1388">
        <f>+BV18*BW$141/BV$141</f>
        <v>37.657407528684409</v>
      </c>
      <c r="BX18" s="1388">
        <f t="shared" ref="BX18:CZ18" si="59">+BW18*BX$141/BW$141</f>
        <v>37.640826830159476</v>
      </c>
      <c r="BY18" s="1388">
        <f t="shared" si="59"/>
        <v>37.62425343217862</v>
      </c>
      <c r="BZ18" s="1388">
        <f t="shared" si="59"/>
        <v>37.607687331527387</v>
      </c>
      <c r="CA18" s="1388">
        <f t="shared" si="59"/>
        <v>37.59112852499274</v>
      </c>
      <c r="CB18" s="1388">
        <f t="shared" si="59"/>
        <v>37.561018618089207</v>
      </c>
      <c r="CC18" s="1388">
        <f t="shared" si="59"/>
        <v>37.530932828750899</v>
      </c>
      <c r="CD18" s="1388">
        <f t="shared" si="59"/>
        <v>37.500871137660013</v>
      </c>
      <c r="CE18" s="1388">
        <f t="shared" si="59"/>
        <v>37.47083352551423</v>
      </c>
      <c r="CF18" s="1388">
        <f t="shared" si="59"/>
        <v>37.440819973026684</v>
      </c>
      <c r="CG18" s="1388">
        <f t="shared" si="59"/>
        <v>37.399474622500279</v>
      </c>
      <c r="CH18" s="1388">
        <f t="shared" si="59"/>
        <v>37.358174929040445</v>
      </c>
      <c r="CI18" s="1388">
        <f t="shared" si="59"/>
        <v>37.316920842228761</v>
      </c>
      <c r="CJ18" s="1388">
        <f t="shared" si="59"/>
        <v>37.275712311702456</v>
      </c>
      <c r="CK18" s="1388">
        <f t="shared" si="59"/>
        <v>37.234549287154408</v>
      </c>
      <c r="CL18" s="1388">
        <f t="shared" si="59"/>
        <v>37.189671530537417</v>
      </c>
      <c r="CM18" s="1388">
        <f t="shared" si="59"/>
        <v>37.144847863820196</v>
      </c>
      <c r="CN18" s="1388">
        <f t="shared" si="59"/>
        <v>37.100078221809703</v>
      </c>
      <c r="CO18" s="1388">
        <f t="shared" si="59"/>
        <v>37.055362539391488</v>
      </c>
      <c r="CP18" s="1388">
        <f t="shared" si="59"/>
        <v>37.010700751529562</v>
      </c>
      <c r="CQ18" s="1388">
        <f t="shared" si="59"/>
        <v>36.958970738942355</v>
      </c>
      <c r="CR18" s="1388">
        <f t="shared" si="59"/>
        <v>36.907313029611991</v>
      </c>
      <c r="CS18" s="1388">
        <f t="shared" si="59"/>
        <v>36.855727522479896</v>
      </c>
      <c r="CT18" s="1388">
        <f t="shared" si="59"/>
        <v>36.804214116628756</v>
      </c>
      <c r="CU18" s="1388">
        <f t="shared" si="59"/>
        <v>36.752772711282311</v>
      </c>
      <c r="CV18" s="1388">
        <f t="shared" si="59"/>
        <v>36.70255674147662</v>
      </c>
      <c r="CW18" s="1388">
        <f t="shared" si="59"/>
        <v>36.652409382647399</v>
      </c>
      <c r="CX18" s="1388">
        <f t="shared" si="59"/>
        <v>36.602330541050243</v>
      </c>
      <c r="CY18" s="1388">
        <f t="shared" si="59"/>
        <v>36.552320123068824</v>
      </c>
      <c r="CZ18" s="1388">
        <f t="shared" si="59"/>
        <v>36.502378035214747</v>
      </c>
    </row>
    <row r="19" spans="1:104" ht="13.8" thickTop="1" x14ac:dyDescent="0.25">
      <c r="AH19" s="260"/>
    </row>
    <row r="20" spans="1:104" x14ac:dyDescent="0.25">
      <c r="E20" s="260"/>
    </row>
    <row r="21" spans="1:104" ht="13.8" thickBot="1" x14ac:dyDescent="0.3"/>
    <row r="22" spans="1:104" ht="13.8" thickTop="1" x14ac:dyDescent="0.25">
      <c r="A22" s="862" t="s">
        <v>1106</v>
      </c>
      <c r="B22" s="863" t="str">
        <f>"Prices are in $(" &amp; ref_year&amp;")/GJ LHV"</f>
        <v>Prices are in $(2016)/GJ LHV</v>
      </c>
      <c r="C22" s="864"/>
      <c r="D22" s="864"/>
      <c r="E22" s="864"/>
      <c r="F22" s="864"/>
      <c r="G22" s="864"/>
      <c r="H22" s="864"/>
      <c r="I22" s="864"/>
      <c r="J22" s="864"/>
      <c r="K22" s="864"/>
      <c r="L22" s="864"/>
      <c r="M22" s="864"/>
      <c r="N22" s="864"/>
      <c r="O22" s="864"/>
      <c r="P22" s="864"/>
      <c r="Q22" s="864"/>
      <c r="R22" s="864"/>
      <c r="S22" s="864"/>
      <c r="T22" s="864"/>
      <c r="U22" s="864"/>
      <c r="V22" s="864"/>
      <c r="W22" s="864"/>
      <c r="X22" s="864"/>
      <c r="Y22" s="864"/>
      <c r="Z22" s="864"/>
      <c r="AA22" s="864"/>
      <c r="AB22" s="864"/>
      <c r="AC22" s="864"/>
      <c r="AD22" s="864"/>
      <c r="AE22" s="864"/>
      <c r="AF22" s="864"/>
      <c r="AG22" s="864"/>
      <c r="AH22" s="864"/>
      <c r="AI22" s="864"/>
      <c r="AJ22" s="864"/>
      <c r="AK22" s="864"/>
      <c r="AL22" s="864"/>
      <c r="AM22" s="864"/>
      <c r="AN22" s="864"/>
      <c r="AO22" s="864"/>
      <c r="AP22" s="864"/>
      <c r="AQ22" s="864"/>
      <c r="AR22" s="864"/>
      <c r="AS22" s="877" t="s">
        <v>772</v>
      </c>
      <c r="AT22" s="878"/>
      <c r="AU22" s="878"/>
      <c r="AV22" s="878"/>
      <c r="AW22" s="878"/>
      <c r="AX22" s="878"/>
      <c r="AY22" s="878"/>
      <c r="AZ22" s="878"/>
      <c r="BA22" s="878"/>
      <c r="BB22" s="878"/>
      <c r="BC22" s="878"/>
      <c r="BD22" s="878"/>
      <c r="BE22" s="878"/>
      <c r="BF22" s="878"/>
      <c r="BG22" s="878"/>
      <c r="BH22" s="878"/>
      <c r="BI22" s="878"/>
      <c r="BJ22" s="878"/>
      <c r="BK22" s="878"/>
      <c r="BL22" s="878"/>
      <c r="BM22" s="878"/>
      <c r="BN22" s="878"/>
      <c r="BO22" s="878"/>
      <c r="BP22" s="878"/>
      <c r="BQ22" s="878"/>
      <c r="BR22" s="878"/>
      <c r="BS22" s="878"/>
      <c r="BT22" s="878"/>
      <c r="BU22" s="878"/>
      <c r="BV22" s="879"/>
    </row>
    <row r="23" spans="1:104" ht="40.200000000000003" thickBot="1" x14ac:dyDescent="0.3">
      <c r="A23" s="882" t="s">
        <v>1085</v>
      </c>
      <c r="B23" s="883" t="s">
        <v>678</v>
      </c>
      <c r="C23" s="883" t="s">
        <v>679</v>
      </c>
      <c r="D23" s="883" t="s">
        <v>690</v>
      </c>
      <c r="E23" s="883" t="s">
        <v>691</v>
      </c>
      <c r="F23" s="884" t="s">
        <v>680</v>
      </c>
      <c r="G23" s="884" t="s">
        <v>692</v>
      </c>
      <c r="H23" s="1054">
        <v>2004</v>
      </c>
      <c r="I23" s="1054">
        <v>2005</v>
      </c>
      <c r="J23" s="1054">
        <v>2006</v>
      </c>
      <c r="K23" s="1054">
        <v>2007</v>
      </c>
      <c r="L23" s="1054">
        <v>2008</v>
      </c>
      <c r="M23" s="1054">
        <v>2009</v>
      </c>
      <c r="N23" s="884">
        <v>2010</v>
      </c>
      <c r="O23" s="884">
        <v>2011</v>
      </c>
      <c r="P23" s="884">
        <v>2012</v>
      </c>
      <c r="Q23" s="884">
        <v>2013</v>
      </c>
      <c r="R23" s="884">
        <v>2014</v>
      </c>
      <c r="S23" s="884">
        <v>2015</v>
      </c>
      <c r="T23" s="884">
        <v>2016</v>
      </c>
      <c r="U23" s="884">
        <v>2017</v>
      </c>
      <c r="V23" s="884">
        <v>2018</v>
      </c>
      <c r="W23" s="884">
        <v>2019</v>
      </c>
      <c r="X23" s="884">
        <v>2020</v>
      </c>
      <c r="Y23" s="884">
        <v>2021</v>
      </c>
      <c r="Z23" s="884">
        <v>2022</v>
      </c>
      <c r="AA23" s="884">
        <v>2023</v>
      </c>
      <c r="AB23" s="884">
        <v>2024</v>
      </c>
      <c r="AC23" s="884">
        <v>2025</v>
      </c>
      <c r="AD23" s="884">
        <v>2026</v>
      </c>
      <c r="AE23" s="884">
        <v>2027</v>
      </c>
      <c r="AF23" s="884">
        <v>2028</v>
      </c>
      <c r="AG23" s="884">
        <v>2029</v>
      </c>
      <c r="AH23" s="884">
        <v>2030</v>
      </c>
      <c r="AI23" s="884">
        <v>2031</v>
      </c>
      <c r="AJ23" s="884">
        <v>2032</v>
      </c>
      <c r="AK23" s="884">
        <v>2033</v>
      </c>
      <c r="AL23" s="884">
        <v>2034</v>
      </c>
      <c r="AM23" s="884">
        <v>2035</v>
      </c>
      <c r="AN23" s="884">
        <v>2036</v>
      </c>
      <c r="AO23" s="884">
        <v>2037</v>
      </c>
      <c r="AP23" s="884">
        <v>2038</v>
      </c>
      <c r="AQ23" s="884">
        <v>2039</v>
      </c>
      <c r="AR23" s="884">
        <v>2040</v>
      </c>
      <c r="AS23" s="884">
        <v>2041</v>
      </c>
      <c r="AT23" s="884">
        <v>2042</v>
      </c>
      <c r="AU23" s="884">
        <v>2043</v>
      </c>
      <c r="AV23" s="884">
        <v>2044</v>
      </c>
      <c r="AW23" s="884">
        <v>2045</v>
      </c>
      <c r="AX23" s="884">
        <v>2046</v>
      </c>
      <c r="AY23" s="884">
        <v>2047</v>
      </c>
      <c r="AZ23" s="884">
        <v>2048</v>
      </c>
      <c r="BA23" s="884">
        <v>2049</v>
      </c>
      <c r="BB23" s="884">
        <v>2050</v>
      </c>
      <c r="BC23" s="884">
        <v>2051</v>
      </c>
      <c r="BD23" s="884">
        <v>2052</v>
      </c>
      <c r="BE23" s="884">
        <v>2053</v>
      </c>
      <c r="BF23" s="884">
        <v>2054</v>
      </c>
      <c r="BG23" s="884">
        <v>2055</v>
      </c>
      <c r="BH23" s="884">
        <v>2056</v>
      </c>
      <c r="BI23" s="884">
        <v>2057</v>
      </c>
      <c r="BJ23" s="884">
        <v>2058</v>
      </c>
      <c r="BK23" s="884">
        <v>2059</v>
      </c>
      <c r="BL23" s="884">
        <v>2060</v>
      </c>
      <c r="BM23" s="884">
        <v>2061</v>
      </c>
      <c r="BN23" s="884">
        <v>2062</v>
      </c>
      <c r="BO23" s="884">
        <v>2063</v>
      </c>
      <c r="BP23" s="884">
        <v>2064</v>
      </c>
      <c r="BQ23" s="884">
        <v>2065</v>
      </c>
      <c r="BR23" s="884">
        <v>2066</v>
      </c>
      <c r="BS23" s="884">
        <v>2067</v>
      </c>
      <c r="BT23" s="884">
        <v>2068</v>
      </c>
      <c r="BU23" s="884">
        <v>2069</v>
      </c>
      <c r="BV23" s="885">
        <v>2070</v>
      </c>
      <c r="BW23" s="1389">
        <f t="shared" ref="BW23" si="60">+BV23+1</f>
        <v>2071</v>
      </c>
      <c r="BX23" s="1389">
        <f t="shared" ref="BX23" si="61">+BW23+1</f>
        <v>2072</v>
      </c>
      <c r="BY23" s="1389">
        <f t="shared" ref="BY23" si="62">+BX23+1</f>
        <v>2073</v>
      </c>
      <c r="BZ23" s="1389">
        <f t="shared" ref="BZ23" si="63">+BY23+1</f>
        <v>2074</v>
      </c>
      <c r="CA23" s="1389">
        <f t="shared" ref="CA23" si="64">+BZ23+1</f>
        <v>2075</v>
      </c>
      <c r="CB23" s="1389">
        <f t="shared" ref="CB23" si="65">+CA23+1</f>
        <v>2076</v>
      </c>
      <c r="CC23" s="1389">
        <f t="shared" ref="CC23" si="66">+CB23+1</f>
        <v>2077</v>
      </c>
      <c r="CD23" s="1389">
        <f t="shared" ref="CD23" si="67">+CC23+1</f>
        <v>2078</v>
      </c>
      <c r="CE23" s="1389">
        <f t="shared" ref="CE23" si="68">+CD23+1</f>
        <v>2079</v>
      </c>
      <c r="CF23" s="1389">
        <f t="shared" ref="CF23" si="69">+CE23+1</f>
        <v>2080</v>
      </c>
      <c r="CG23" s="1389">
        <f t="shared" ref="CG23" si="70">+CF23+1</f>
        <v>2081</v>
      </c>
      <c r="CH23" s="1389">
        <f t="shared" ref="CH23" si="71">+CG23+1</f>
        <v>2082</v>
      </c>
      <c r="CI23" s="1389">
        <f t="shared" ref="CI23" si="72">+CH23+1</f>
        <v>2083</v>
      </c>
      <c r="CJ23" s="1389">
        <f t="shared" ref="CJ23" si="73">+CI23+1</f>
        <v>2084</v>
      </c>
      <c r="CK23" s="1389">
        <f t="shared" ref="CK23" si="74">+CJ23+1</f>
        <v>2085</v>
      </c>
      <c r="CL23" s="1389">
        <f t="shared" ref="CL23" si="75">+CK23+1</f>
        <v>2086</v>
      </c>
      <c r="CM23" s="1389">
        <f t="shared" ref="CM23" si="76">+CL23+1</f>
        <v>2087</v>
      </c>
      <c r="CN23" s="1389">
        <f t="shared" ref="CN23" si="77">+CM23+1</f>
        <v>2088</v>
      </c>
      <c r="CO23" s="1389">
        <f t="shared" ref="CO23" si="78">+CN23+1</f>
        <v>2089</v>
      </c>
      <c r="CP23" s="1389">
        <f t="shared" ref="CP23" si="79">+CO23+1</f>
        <v>2090</v>
      </c>
      <c r="CQ23" s="1389">
        <f t="shared" ref="CQ23" si="80">+CP23+1</f>
        <v>2091</v>
      </c>
      <c r="CR23" s="1389">
        <f t="shared" ref="CR23" si="81">+CQ23+1</f>
        <v>2092</v>
      </c>
      <c r="CS23" s="1389">
        <f t="shared" ref="CS23" si="82">+CR23+1</f>
        <v>2093</v>
      </c>
      <c r="CT23" s="1389">
        <f t="shared" ref="CT23" si="83">+CS23+1</f>
        <v>2094</v>
      </c>
      <c r="CU23" s="1389">
        <f t="shared" ref="CU23" si="84">+CT23+1</f>
        <v>2095</v>
      </c>
      <c r="CV23" s="1389">
        <f t="shared" ref="CV23" si="85">+CU23+1</f>
        <v>2096</v>
      </c>
      <c r="CW23" s="1389">
        <f t="shared" ref="CW23" si="86">+CV23+1</f>
        <v>2097</v>
      </c>
      <c r="CX23" s="1389">
        <f t="shared" ref="CX23" si="87">+CW23+1</f>
        <v>2098</v>
      </c>
      <c r="CY23" s="1389">
        <f t="shared" ref="CY23" si="88">+CX23+1</f>
        <v>2099</v>
      </c>
      <c r="CZ23" s="1389">
        <f t="shared" ref="CZ23" si="89">+CY23+1</f>
        <v>2100</v>
      </c>
    </row>
    <row r="24" spans="1:104" ht="13.8" thickBot="1" x14ac:dyDescent="0.3">
      <c r="A24" s="950" t="s">
        <v>1091</v>
      </c>
      <c r="B24" s="951"/>
      <c r="C24" s="951"/>
      <c r="D24" s="951"/>
      <c r="E24" s="951"/>
      <c r="F24" s="866"/>
      <c r="G24" s="951"/>
      <c r="H24" s="951"/>
      <c r="I24" s="951"/>
      <c r="J24" s="951"/>
      <c r="K24" s="951"/>
      <c r="L24" s="951"/>
      <c r="M24" s="951"/>
      <c r="N24" s="951"/>
      <c r="O24" s="951"/>
      <c r="P24" s="951"/>
      <c r="Q24" s="951"/>
      <c r="R24" s="951"/>
      <c r="S24" s="951"/>
      <c r="T24" s="951"/>
      <c r="U24" s="951"/>
      <c r="V24" s="951"/>
      <c r="W24" s="951"/>
      <c r="X24" s="951"/>
      <c r="Y24" s="951"/>
      <c r="Z24" s="951"/>
      <c r="AA24" s="951"/>
      <c r="AB24" s="951"/>
      <c r="AC24" s="951"/>
      <c r="AD24" s="951"/>
      <c r="AE24" s="951"/>
      <c r="AF24" s="951"/>
      <c r="AG24" s="951"/>
      <c r="AH24" s="951"/>
      <c r="AI24" s="951"/>
      <c r="AJ24" s="951"/>
      <c r="AK24" s="951"/>
      <c r="AL24" s="951"/>
      <c r="AM24" s="951"/>
      <c r="AN24" s="951"/>
      <c r="AO24" s="951"/>
      <c r="AP24" s="951"/>
      <c r="AQ24" s="951"/>
      <c r="AR24" s="951"/>
      <c r="AS24" s="951"/>
      <c r="AT24" s="951"/>
      <c r="AU24" s="951"/>
      <c r="AV24" s="951"/>
      <c r="AW24" s="951"/>
      <c r="AX24" s="951"/>
      <c r="AY24" s="951"/>
      <c r="AZ24" s="951"/>
      <c r="BA24" s="951"/>
      <c r="BC24" s="951"/>
      <c r="BD24" s="951"/>
      <c r="BE24" s="951"/>
      <c r="BF24" s="951"/>
      <c r="BG24" s="951"/>
      <c r="BH24" s="951"/>
      <c r="BI24" s="951"/>
      <c r="BJ24" s="951"/>
      <c r="BK24" s="951"/>
      <c r="BL24" s="951"/>
      <c r="BM24" s="951"/>
      <c r="BN24" s="951"/>
      <c r="BO24" s="951"/>
      <c r="BP24" s="951"/>
      <c r="BR24" s="951"/>
      <c r="BS24" s="951"/>
      <c r="BT24" s="951"/>
      <c r="BU24" s="951"/>
    </row>
    <row r="25" spans="1:104" x14ac:dyDescent="0.25">
      <c r="A25" s="970" t="str">
        <f>'HyARC Physical Property Data'!A73</f>
        <v>Residential Natural Gas</v>
      </c>
      <c r="B25" s="951">
        <v>2011</v>
      </c>
      <c r="C25" s="952">
        <f>VLOOKUP(ref_year,DeflatorTable,2,FALSE)/VLOOKUP(B25,DeflatorTable,2,FALSE)</f>
        <v>1.0784554773635862</v>
      </c>
      <c r="D25" s="1233" t="str">
        <f>'HyARC Physical Property Data'!H73</f>
        <v>mmBtu</v>
      </c>
      <c r="E25" s="952" t="s">
        <v>1059</v>
      </c>
      <c r="F25" s="951">
        <f>'HyARC Physical Property Data'!$E$6</f>
        <v>47.141269049911173</v>
      </c>
      <c r="G25" s="951">
        <f>'HyARC Physical Property Data'!$I$6</f>
        <v>52.224661236371581</v>
      </c>
      <c r="H25" s="1055">
        <v>14.386141835345208</v>
      </c>
      <c r="I25" s="1055">
        <v>14.386141835345208</v>
      </c>
      <c r="J25" s="1055">
        <v>14.386141835345208</v>
      </c>
      <c r="K25" s="1055">
        <v>13.326716630976858</v>
      </c>
      <c r="L25" s="1055">
        <v>13.627764477872551</v>
      </c>
      <c r="M25" s="1055">
        <v>11.254339733155913</v>
      </c>
      <c r="N25" s="951">
        <f t="shared" ref="N25:AR25" si="90">((N42/(mmBTU_to_GJ))*($C25))*($G25/$F25)</f>
        <v>12.864072624231563</v>
      </c>
      <c r="O25" s="951">
        <f t="shared" si="90"/>
        <v>12.23325661230241</v>
      </c>
      <c r="P25" s="951">
        <f t="shared" si="90"/>
        <v>11.850527062684614</v>
      </c>
      <c r="Q25" s="951">
        <f t="shared" si="90"/>
        <v>11.865842495866545</v>
      </c>
      <c r="R25" s="951">
        <f t="shared" si="90"/>
        <v>11.611695090166418</v>
      </c>
      <c r="S25" s="951">
        <f t="shared" si="90"/>
        <v>11.50138750593943</v>
      </c>
      <c r="T25" s="951">
        <f t="shared" si="90"/>
        <v>12.075204376866452</v>
      </c>
      <c r="U25" s="951">
        <f t="shared" si="90"/>
        <v>12.446344297440779</v>
      </c>
      <c r="V25" s="951">
        <f t="shared" si="90"/>
        <v>12.907270435435697</v>
      </c>
      <c r="W25" s="951">
        <f t="shared" si="90"/>
        <v>13.164777859640022</v>
      </c>
      <c r="X25" s="951">
        <f t="shared" si="90"/>
        <v>13.336162585082695</v>
      </c>
      <c r="Y25" s="951">
        <f t="shared" si="90"/>
        <v>13.544264034469807</v>
      </c>
      <c r="Z25" s="951">
        <f t="shared" si="90"/>
        <v>13.819651921148951</v>
      </c>
      <c r="AA25" s="951">
        <f t="shared" si="90"/>
        <v>14.079086797828554</v>
      </c>
      <c r="AB25" s="951">
        <f t="shared" si="90"/>
        <v>14.2515190517904</v>
      </c>
      <c r="AC25" s="951">
        <f t="shared" si="90"/>
        <v>14.353207458115314</v>
      </c>
      <c r="AD25" s="951">
        <f t="shared" si="90"/>
        <v>14.54298904928118</v>
      </c>
      <c r="AE25" s="951">
        <f t="shared" si="90"/>
        <v>14.646583391279357</v>
      </c>
      <c r="AF25" s="951">
        <f t="shared" si="90"/>
        <v>14.81893750527599</v>
      </c>
      <c r="AG25" s="951">
        <f t="shared" si="90"/>
        <v>14.987454833734297</v>
      </c>
      <c r="AH25" s="951">
        <f t="shared" si="90"/>
        <v>15.139899111087075</v>
      </c>
      <c r="AI25" s="951">
        <f t="shared" si="90"/>
        <v>15.341580626230741</v>
      </c>
      <c r="AJ25" s="951">
        <f t="shared" si="90"/>
        <v>15.539442342785032</v>
      </c>
      <c r="AK25" s="951">
        <f t="shared" si="90"/>
        <v>15.781889138041823</v>
      </c>
      <c r="AL25" s="951">
        <f t="shared" si="90"/>
        <v>16.136390908341905</v>
      </c>
      <c r="AM25" s="951">
        <f t="shared" si="90"/>
        <v>16.532635274551915</v>
      </c>
      <c r="AN25" s="951">
        <f t="shared" si="90"/>
        <v>17.01379173629439</v>
      </c>
      <c r="AO25" s="951">
        <f t="shared" si="90"/>
        <v>17.457934768717273</v>
      </c>
      <c r="AP25" s="951">
        <f t="shared" si="90"/>
        <v>17.940794455208763</v>
      </c>
      <c r="AQ25" s="951">
        <f t="shared" si="90"/>
        <v>18.182559507580642</v>
      </c>
      <c r="AR25" s="951">
        <f t="shared" si="90"/>
        <v>18.530579058157759</v>
      </c>
      <c r="AS25" s="951">
        <f>($BB25-$AR25)/10+AR25</f>
        <v>18.537819201300856</v>
      </c>
      <c r="AT25" s="951">
        <f t="shared" ref="AT25:BA25" si="91">($BB25-$AR25)/10+AS25</f>
        <v>18.545059344443953</v>
      </c>
      <c r="AU25" s="951">
        <f t="shared" si="91"/>
        <v>18.552299487587049</v>
      </c>
      <c r="AV25" s="951">
        <f t="shared" si="91"/>
        <v>18.559539630730146</v>
      </c>
      <c r="AW25" s="951">
        <f t="shared" si="91"/>
        <v>18.566779773873243</v>
      </c>
      <c r="AX25" s="951">
        <f t="shared" si="91"/>
        <v>18.57401991701634</v>
      </c>
      <c r="AY25" s="951">
        <f t="shared" si="91"/>
        <v>18.581260060159437</v>
      </c>
      <c r="AZ25" s="951">
        <f t="shared" si="91"/>
        <v>18.588500203302534</v>
      </c>
      <c r="BA25" s="951">
        <f t="shared" si="91"/>
        <v>18.595740346445631</v>
      </c>
      <c r="BB25" s="953">
        <f>'AEO Data'!$B$30*AM25</f>
        <v>18.602980489588727</v>
      </c>
      <c r="BC25" s="951">
        <f>($BQ25-$BB25)/15+BB25</f>
        <v>18.754563729723429</v>
      </c>
      <c r="BD25" s="951">
        <f t="shared" ref="BD25:BP25" si="92">($BQ25-$BB25)/15+BC25</f>
        <v>18.906146969858131</v>
      </c>
      <c r="BE25" s="951">
        <f t="shared" si="92"/>
        <v>19.057730209992833</v>
      </c>
      <c r="BF25" s="951">
        <f t="shared" si="92"/>
        <v>19.209313450127535</v>
      </c>
      <c r="BG25" s="951">
        <f t="shared" si="92"/>
        <v>19.360896690262237</v>
      </c>
      <c r="BH25" s="951">
        <f t="shared" si="92"/>
        <v>19.512479930396939</v>
      </c>
      <c r="BI25" s="951">
        <f t="shared" si="92"/>
        <v>19.664063170531641</v>
      </c>
      <c r="BJ25" s="951">
        <f t="shared" si="92"/>
        <v>19.815646410666343</v>
      </c>
      <c r="BK25" s="951">
        <f t="shared" si="92"/>
        <v>19.967229650801045</v>
      </c>
      <c r="BL25" s="951">
        <f t="shared" si="92"/>
        <v>20.118812890935747</v>
      </c>
      <c r="BM25" s="951">
        <f t="shared" si="92"/>
        <v>20.270396131070449</v>
      </c>
      <c r="BN25" s="951">
        <f t="shared" si="92"/>
        <v>20.42197937120515</v>
      </c>
      <c r="BO25" s="951">
        <f t="shared" si="92"/>
        <v>20.573562611339852</v>
      </c>
      <c r="BP25" s="951">
        <f t="shared" si="92"/>
        <v>20.725145851474554</v>
      </c>
      <c r="BQ25" s="953">
        <f>'AEO Data'!$C$30*BB25</f>
        <v>20.876729091609249</v>
      </c>
      <c r="BR25" s="951">
        <f>($BV25-$BQ25)/5+BQ25</f>
        <v>20.996057748553792</v>
      </c>
      <c r="BS25" s="951">
        <f>($BV25-$BQ25)/5+BR25</f>
        <v>21.115386405498334</v>
      </c>
      <c r="BT25" s="951">
        <f>($BV25-$BQ25)/5+BS25</f>
        <v>21.234715062442877</v>
      </c>
      <c r="BU25" s="951">
        <f>($BV25-$BQ25)/5+BT25</f>
        <v>21.35404371938742</v>
      </c>
      <c r="BV25" s="954">
        <f>'AEO Data'!$D$30*BQ25</f>
        <v>21.473372376331962</v>
      </c>
      <c r="BW25" s="1388">
        <f>+BV25*BW$133/BV$133</f>
        <v>21.544670286660121</v>
      </c>
      <c r="BX25" s="1388">
        <f t="shared" ref="BX25:CZ25" si="93">+BW25*BX$133/BW$133</f>
        <v>21.616204927015033</v>
      </c>
      <c r="BY25" s="1388">
        <f t="shared" si="93"/>
        <v>21.687977083409997</v>
      </c>
      <c r="BZ25" s="1388">
        <f t="shared" si="93"/>
        <v>21.759987544468107</v>
      </c>
      <c r="CA25" s="1388">
        <f t="shared" si="93"/>
        <v>21.832237101430913</v>
      </c>
      <c r="CB25" s="1388">
        <f t="shared" si="93"/>
        <v>21.878825528741867</v>
      </c>
      <c r="CC25" s="1388">
        <f t="shared" si="93"/>
        <v>21.925513372413558</v>
      </c>
      <c r="CD25" s="1388">
        <f t="shared" si="93"/>
        <v>21.972300844593363</v>
      </c>
      <c r="CE25" s="1388">
        <f t="shared" si="93"/>
        <v>22.01918815788137</v>
      </c>
      <c r="CF25" s="1388">
        <f t="shared" si="93"/>
        <v>22.066175525331335</v>
      </c>
      <c r="CG25" s="1388">
        <f t="shared" si="93"/>
        <v>22.081432025482624</v>
      </c>
      <c r="CH25" s="1388">
        <f t="shared" si="93"/>
        <v>22.096699073941053</v>
      </c>
      <c r="CI25" s="1388">
        <f t="shared" si="93"/>
        <v>22.111976677999699</v>
      </c>
      <c r="CJ25" s="1388">
        <f t="shared" si="93"/>
        <v>22.127264844956677</v>
      </c>
      <c r="CK25" s="1388">
        <f t="shared" si="93"/>
        <v>22.142563582115145</v>
      </c>
      <c r="CL25" s="1388">
        <f t="shared" si="93"/>
        <v>22.147749174896123</v>
      </c>
      <c r="CM25" s="1388">
        <f t="shared" si="93"/>
        <v>22.152935982097123</v>
      </c>
      <c r="CN25" s="1388">
        <f t="shared" si="93"/>
        <v>22.158124004002548</v>
      </c>
      <c r="CO25" s="1388">
        <f t="shared" si="93"/>
        <v>22.163313240896873</v>
      </c>
      <c r="CP25" s="1388">
        <f t="shared" si="93"/>
        <v>22.16850369306464</v>
      </c>
      <c r="CQ25" s="1388">
        <f t="shared" si="93"/>
        <v>22.176370321670593</v>
      </c>
      <c r="CR25" s="1388">
        <f t="shared" si="93"/>
        <v>22.184239741797636</v>
      </c>
      <c r="CS25" s="1388">
        <f t="shared" si="93"/>
        <v>22.19211195443636</v>
      </c>
      <c r="CT25" s="1388">
        <f t="shared" si="93"/>
        <v>22.199986960577704</v>
      </c>
      <c r="CU25" s="1388">
        <f t="shared" si="93"/>
        <v>22.207864761212956</v>
      </c>
      <c r="CV25" s="1388">
        <f t="shared" si="93"/>
        <v>22.219988729743012</v>
      </c>
      <c r="CW25" s="1388">
        <f t="shared" si="93"/>
        <v>22.232119317126994</v>
      </c>
      <c r="CX25" s="1388">
        <f t="shared" si="93"/>
        <v>22.244256526978344</v>
      </c>
      <c r="CY25" s="1388">
        <f t="shared" si="93"/>
        <v>22.256400362912476</v>
      </c>
      <c r="CZ25" s="1388">
        <f t="shared" si="93"/>
        <v>22.268550828546775</v>
      </c>
    </row>
    <row r="26" spans="1:104" x14ac:dyDescent="0.25">
      <c r="A26" s="870" t="str">
        <f>'HyARC Physical Property Data'!A71</f>
        <v>Commercial Natural Gas</v>
      </c>
      <c r="B26" s="260">
        <v>2011</v>
      </c>
      <c r="C26" s="869">
        <f>VLOOKUP(ref_year,DeflatorTable,2,FALSE)/VLOOKUP(B26,DeflatorTable,2,FALSE)</f>
        <v>1.0784554773635862</v>
      </c>
      <c r="D26" s="1234" t="str">
        <f>'HyARC Physical Property Data'!H71</f>
        <v>mmBtu</v>
      </c>
      <c r="E26" s="869" t="s">
        <v>1059</v>
      </c>
      <c r="F26" s="260">
        <f>'HyARC Physical Property Data'!$E$6</f>
        <v>47.141269049911173</v>
      </c>
      <c r="G26" s="260">
        <f>'HyARC Physical Property Data'!$I$6</f>
        <v>52.224661236371581</v>
      </c>
      <c r="H26" s="1056">
        <v>12.491836786393147</v>
      </c>
      <c r="I26" s="1056">
        <v>12.491836786393147</v>
      </c>
      <c r="J26" s="1056">
        <v>12.491836786393147</v>
      </c>
      <c r="K26" s="1056">
        <v>11.540201846875071</v>
      </c>
      <c r="L26" s="1056">
        <v>11.906633267965836</v>
      </c>
      <c r="M26" s="1056">
        <v>9.3536765847618941</v>
      </c>
      <c r="N26" s="260">
        <f t="shared" ref="N26:AR26" si="94">((N43/(mmBTU_to_GJ))*($C26))*($G26/$F26)</f>
        <v>10.64172897994356</v>
      </c>
      <c r="O26" s="260">
        <f t="shared" si="94"/>
        <v>10.007420451308324</v>
      </c>
      <c r="P26" s="260">
        <f t="shared" si="94"/>
        <v>9.1421449075231607</v>
      </c>
      <c r="Q26" s="260">
        <f t="shared" si="94"/>
        <v>9.5837353677490551</v>
      </c>
      <c r="R26" s="260">
        <f t="shared" si="94"/>
        <v>9.3261316841672954</v>
      </c>
      <c r="S26" s="260">
        <f t="shared" si="94"/>
        <v>9.1778922429136323</v>
      </c>
      <c r="T26" s="260">
        <f t="shared" si="94"/>
        <v>9.6950621689136156</v>
      </c>
      <c r="U26" s="260">
        <f t="shared" si="94"/>
        <v>9.9937516197122047</v>
      </c>
      <c r="V26" s="260">
        <f t="shared" si="94"/>
        <v>10.387270146845841</v>
      </c>
      <c r="W26" s="260">
        <f t="shared" si="94"/>
        <v>10.589454475678709</v>
      </c>
      <c r="X26" s="260">
        <f t="shared" si="94"/>
        <v>10.722185964995566</v>
      </c>
      <c r="Y26" s="260">
        <f t="shared" si="94"/>
        <v>10.884038747145405</v>
      </c>
      <c r="Z26" s="260">
        <f t="shared" si="94"/>
        <v>11.119862897234498</v>
      </c>
      <c r="AA26" s="260">
        <f t="shared" si="94"/>
        <v>11.337766948634531</v>
      </c>
      <c r="AB26" s="260">
        <f t="shared" si="94"/>
        <v>11.475270638145757</v>
      </c>
      <c r="AC26" s="260">
        <f t="shared" si="94"/>
        <v>11.543938680619837</v>
      </c>
      <c r="AD26" s="260">
        <f t="shared" si="94"/>
        <v>11.704619363291469</v>
      </c>
      <c r="AE26" s="260">
        <f t="shared" si="94"/>
        <v>11.764049902921345</v>
      </c>
      <c r="AF26" s="260">
        <f t="shared" si="94"/>
        <v>11.890869934000278</v>
      </c>
      <c r="AG26" s="260">
        <f t="shared" si="94"/>
        <v>12.010138700035061</v>
      </c>
      <c r="AH26" s="260">
        <f t="shared" si="94"/>
        <v>12.114209809067368</v>
      </c>
      <c r="AI26" s="260">
        <f t="shared" si="94"/>
        <v>12.267307517723458</v>
      </c>
      <c r="AJ26" s="260">
        <f t="shared" si="94"/>
        <v>12.405684336411204</v>
      </c>
      <c r="AK26" s="260">
        <f t="shared" si="94"/>
        <v>12.591270151184064</v>
      </c>
      <c r="AL26" s="260">
        <f t="shared" si="94"/>
        <v>12.891290246317817</v>
      </c>
      <c r="AM26" s="260">
        <f t="shared" si="94"/>
        <v>13.22904741479684</v>
      </c>
      <c r="AN26" s="260">
        <f t="shared" si="94"/>
        <v>13.658744745824521</v>
      </c>
      <c r="AO26" s="260">
        <f t="shared" si="94"/>
        <v>14.044020072859722</v>
      </c>
      <c r="AP26" s="260">
        <f t="shared" si="94"/>
        <v>14.474602990159831</v>
      </c>
      <c r="AQ26" s="260">
        <f t="shared" si="94"/>
        <v>14.664146764040265</v>
      </c>
      <c r="AR26" s="260">
        <f t="shared" si="94"/>
        <v>14.963148774699713</v>
      </c>
      <c r="AS26" s="260">
        <f t="shared" ref="AS26:BA26" si="95">($BB26-$AR26)/10+AR26</f>
        <v>14.955403062800835</v>
      </c>
      <c r="AT26" s="260">
        <f t="shared" si="95"/>
        <v>14.947657350901958</v>
      </c>
      <c r="AU26" s="260">
        <f t="shared" si="95"/>
        <v>14.93991163900308</v>
      </c>
      <c r="AV26" s="260">
        <f t="shared" si="95"/>
        <v>14.932165927104203</v>
      </c>
      <c r="AW26" s="260">
        <f t="shared" si="95"/>
        <v>14.924420215205325</v>
      </c>
      <c r="AX26" s="260">
        <f t="shared" si="95"/>
        <v>14.916674503306448</v>
      </c>
      <c r="AY26" s="260">
        <f t="shared" si="95"/>
        <v>14.90892879140757</v>
      </c>
      <c r="AZ26" s="260">
        <f t="shared" si="95"/>
        <v>14.901183079508693</v>
      </c>
      <c r="BA26" s="260">
        <f t="shared" si="95"/>
        <v>14.893437367609815</v>
      </c>
      <c r="BB26" s="931">
        <f>'AEO Data'!$B$30*AM26</f>
        <v>14.885691655710941</v>
      </c>
      <c r="BC26" s="260">
        <f t="shared" ref="BC26:BP28" si="96">($BQ26-$BB26)/15+BB26</f>
        <v>15.006985196500363</v>
      </c>
      <c r="BD26" s="260">
        <f t="shared" si="96"/>
        <v>15.128278737289785</v>
      </c>
      <c r="BE26" s="260">
        <f t="shared" si="96"/>
        <v>15.249572278079206</v>
      </c>
      <c r="BF26" s="260">
        <f t="shared" si="96"/>
        <v>15.370865818868628</v>
      </c>
      <c r="BG26" s="260">
        <f t="shared" si="96"/>
        <v>15.49215935965805</v>
      </c>
      <c r="BH26" s="260">
        <f t="shared" si="96"/>
        <v>15.613452900447472</v>
      </c>
      <c r="BI26" s="260">
        <f t="shared" si="96"/>
        <v>15.734746441236894</v>
      </c>
      <c r="BJ26" s="260">
        <f t="shared" si="96"/>
        <v>15.856039982026315</v>
      </c>
      <c r="BK26" s="260">
        <f t="shared" si="96"/>
        <v>15.977333522815737</v>
      </c>
      <c r="BL26" s="260">
        <f t="shared" si="96"/>
        <v>16.098627063605161</v>
      </c>
      <c r="BM26" s="260">
        <f t="shared" si="96"/>
        <v>16.219920604394584</v>
      </c>
      <c r="BN26" s="260">
        <f t="shared" si="96"/>
        <v>16.341214145184008</v>
      </c>
      <c r="BO26" s="260">
        <f t="shared" si="96"/>
        <v>16.462507685973431</v>
      </c>
      <c r="BP26" s="260">
        <f t="shared" si="96"/>
        <v>16.583801226762855</v>
      </c>
      <c r="BQ26" s="931">
        <f>'AEO Data'!$C$30*BB26</f>
        <v>16.705094767552271</v>
      </c>
      <c r="BR26" s="260">
        <f t="shared" ref="BR26:BU28" si="97">($BV26-$BQ26)/5+BQ26</f>
        <v>16.800578907524393</v>
      </c>
      <c r="BS26" s="260">
        <f t="shared" si="97"/>
        <v>16.896063047496515</v>
      </c>
      <c r="BT26" s="260">
        <f t="shared" si="97"/>
        <v>16.991547187468637</v>
      </c>
      <c r="BU26" s="260">
        <f t="shared" si="97"/>
        <v>17.087031327440759</v>
      </c>
      <c r="BV26" s="955">
        <f>'AEO Data'!$D$30*BQ26</f>
        <v>17.182515467412887</v>
      </c>
      <c r="BW26" s="1388">
        <f>+BV26*BW$134/BV$134</f>
        <v>17.239566471118206</v>
      </c>
      <c r="BX26" s="1388">
        <f t="shared" ref="BX26:CZ26" si="98">+BW26*BX$134/BW$134</f>
        <v>17.296806900931124</v>
      </c>
      <c r="BY26" s="1388">
        <f t="shared" si="98"/>
        <v>17.354237385802019</v>
      </c>
      <c r="BZ26" s="1388">
        <f t="shared" si="98"/>
        <v>17.41185855676957</v>
      </c>
      <c r="CA26" s="1388">
        <f t="shared" si="98"/>
        <v>17.469671046967683</v>
      </c>
      <c r="CB26" s="1388">
        <f t="shared" si="98"/>
        <v>17.506950071372589</v>
      </c>
      <c r="CC26" s="1388">
        <f t="shared" si="98"/>
        <v>17.544308646540465</v>
      </c>
      <c r="CD26" s="1388">
        <f t="shared" si="98"/>
        <v>17.581746942226928</v>
      </c>
      <c r="CE26" s="1388">
        <f t="shared" si="98"/>
        <v>17.619265128549845</v>
      </c>
      <c r="CF26" s="1388">
        <f t="shared" si="98"/>
        <v>17.656863375990099</v>
      </c>
      <c r="CG26" s="1388">
        <f t="shared" si="98"/>
        <v>17.669071288433191</v>
      </c>
      <c r="CH26" s="1388">
        <f t="shared" si="98"/>
        <v>17.681287641397287</v>
      </c>
      <c r="CI26" s="1388">
        <f t="shared" si="98"/>
        <v>17.693512440718141</v>
      </c>
      <c r="CJ26" s="1388">
        <f t="shared" si="98"/>
        <v>17.705745692235549</v>
      </c>
      <c r="CK26" s="1388">
        <f t="shared" si="98"/>
        <v>17.717987401793337</v>
      </c>
      <c r="CL26" s="1388">
        <f t="shared" si="98"/>
        <v>17.722136797920101</v>
      </c>
      <c r="CM26" s="1388">
        <f t="shared" si="98"/>
        <v>17.726287165798784</v>
      </c>
      <c r="CN26" s="1388">
        <f t="shared" si="98"/>
        <v>17.730438505656959</v>
      </c>
      <c r="CO26" s="1388">
        <f t="shared" si="98"/>
        <v>17.734590817722253</v>
      </c>
      <c r="CP26" s="1388">
        <f t="shared" si="98"/>
        <v>17.738744102222352</v>
      </c>
      <c r="CQ26" s="1388">
        <f t="shared" si="98"/>
        <v>17.745038803647411</v>
      </c>
      <c r="CR26" s="1388">
        <f t="shared" si="98"/>
        <v>17.751335738785624</v>
      </c>
      <c r="CS26" s="1388">
        <f t="shared" si="98"/>
        <v>17.75763490842964</v>
      </c>
      <c r="CT26" s="1388">
        <f t="shared" si="98"/>
        <v>17.763936313372383</v>
      </c>
      <c r="CU26" s="1388">
        <f t="shared" si="98"/>
        <v>17.770239954407064</v>
      </c>
      <c r="CV26" s="1388">
        <f t="shared" si="98"/>
        <v>17.779941284647286</v>
      </c>
      <c r="CW26" s="1388">
        <f t="shared" si="98"/>
        <v>17.789647911147362</v>
      </c>
      <c r="CX26" s="1388">
        <f t="shared" si="98"/>
        <v>17.799359836798683</v>
      </c>
      <c r="CY26" s="1388">
        <f t="shared" si="98"/>
        <v>17.809077064494225</v>
      </c>
      <c r="CZ26" s="1388">
        <f t="shared" si="98"/>
        <v>17.818799597128535</v>
      </c>
    </row>
    <row r="27" spans="1:104" x14ac:dyDescent="0.25">
      <c r="A27" s="870" t="str">
        <f>'HyARC Physical Property Data'!A72</f>
        <v>Industrial Natural Gas</v>
      </c>
      <c r="B27" s="260">
        <v>2011</v>
      </c>
      <c r="C27" s="869">
        <f t="shared" ref="C27:C35" si="99">VLOOKUP(ref_year,DeflatorTable,2,FALSE)/VLOOKUP(B27,DeflatorTable,2,FALSE)</f>
        <v>1.0784554773635862</v>
      </c>
      <c r="D27" s="1234" t="str">
        <f>'HyARC Physical Property Data'!H72</f>
        <v>mmBtu</v>
      </c>
      <c r="E27" s="869" t="s">
        <v>1059</v>
      </c>
      <c r="F27" s="260">
        <f>'HyARC Physical Property Data'!$E$6</f>
        <v>47.141269049911173</v>
      </c>
      <c r="G27" s="260">
        <f>'HyARC Physical Property Data'!$I$6</f>
        <v>52.224661236371581</v>
      </c>
      <c r="H27" s="1056">
        <v>8.3524006010892204</v>
      </c>
      <c r="I27" s="1056">
        <v>8.3524006010892204</v>
      </c>
      <c r="J27" s="1056">
        <v>8.3524006010892204</v>
      </c>
      <c r="K27" s="1056">
        <v>7.891606632326889</v>
      </c>
      <c r="L27" s="1056">
        <v>9.2420298006250725</v>
      </c>
      <c r="M27" s="1056">
        <v>5.091378564817072</v>
      </c>
      <c r="N27" s="260">
        <f t="shared" ref="N27:AR27" si="100">((N44/(mmBTU_to_GJ))*($C27))*($G27/$F27)</f>
        <v>6.2103832410803772</v>
      </c>
      <c r="O27" s="260">
        <f t="shared" si="100"/>
        <v>5.5375335901824529</v>
      </c>
      <c r="P27" s="260">
        <f t="shared" si="100"/>
        <v>4.2577062790619404</v>
      </c>
      <c r="Q27" s="260">
        <f t="shared" si="100"/>
        <v>4.9080821964863821</v>
      </c>
      <c r="R27" s="260">
        <f t="shared" si="100"/>
        <v>4.9545856679580433</v>
      </c>
      <c r="S27" s="260">
        <f t="shared" si="100"/>
        <v>5.0083584211211258</v>
      </c>
      <c r="T27" s="260">
        <f t="shared" si="100"/>
        <v>5.5106070111550416</v>
      </c>
      <c r="U27" s="260">
        <f t="shared" si="100"/>
        <v>5.7392570064668833</v>
      </c>
      <c r="V27" s="260">
        <f t="shared" si="100"/>
        <v>6.0261280706426819</v>
      </c>
      <c r="W27" s="260">
        <f t="shared" si="100"/>
        <v>6.171696031056638</v>
      </c>
      <c r="X27" s="260">
        <f t="shared" si="100"/>
        <v>6.2618559613543372</v>
      </c>
      <c r="Y27" s="260">
        <f t="shared" si="100"/>
        <v>6.3878674136627964</v>
      </c>
      <c r="Z27" s="260">
        <f t="shared" si="100"/>
        <v>6.5997410981821893</v>
      </c>
      <c r="AA27" s="260">
        <f t="shared" si="100"/>
        <v>6.8069026030602018</v>
      </c>
      <c r="AB27" s="260">
        <f t="shared" si="100"/>
        <v>6.91936073502547</v>
      </c>
      <c r="AC27" s="260">
        <f t="shared" si="100"/>
        <v>6.9660068968683904</v>
      </c>
      <c r="AD27" s="260">
        <f t="shared" si="100"/>
        <v>7.0844183882123479</v>
      </c>
      <c r="AE27" s="260">
        <f t="shared" si="100"/>
        <v>7.1287611197763514</v>
      </c>
      <c r="AF27" s="260">
        <f t="shared" si="100"/>
        <v>7.2441206226239103</v>
      </c>
      <c r="AG27" s="260">
        <f t="shared" si="100"/>
        <v>7.3454421108512973</v>
      </c>
      <c r="AH27" s="260">
        <f t="shared" si="100"/>
        <v>7.4306384546630166</v>
      </c>
      <c r="AI27" s="260">
        <f t="shared" si="100"/>
        <v>7.5610393345826239</v>
      </c>
      <c r="AJ27" s="260">
        <f t="shared" si="100"/>
        <v>7.6680605104175692</v>
      </c>
      <c r="AK27" s="260">
        <f t="shared" si="100"/>
        <v>7.8321068739097237</v>
      </c>
      <c r="AL27" s="260">
        <f t="shared" si="100"/>
        <v>8.1183505534372813</v>
      </c>
      <c r="AM27" s="260">
        <f t="shared" si="100"/>
        <v>8.4316589725104603</v>
      </c>
      <c r="AN27" s="260">
        <f t="shared" si="100"/>
        <v>8.8481676363659503</v>
      </c>
      <c r="AO27" s="260">
        <f t="shared" si="100"/>
        <v>9.2337204169008231</v>
      </c>
      <c r="AP27" s="260">
        <f t="shared" si="100"/>
        <v>9.6247135509558071</v>
      </c>
      <c r="AQ27" s="260">
        <f t="shared" si="100"/>
        <v>9.783781605939545</v>
      </c>
      <c r="AR27" s="260">
        <f t="shared" si="100"/>
        <v>10.057511566400239</v>
      </c>
      <c r="AS27" s="260">
        <f t="shared" ref="AS27:BA27" si="101">($BB27-$AR27)/10+AR27</f>
        <v>10.000514100600522</v>
      </c>
      <c r="AT27" s="260">
        <f t="shared" si="101"/>
        <v>9.9435166348008064</v>
      </c>
      <c r="AU27" s="260">
        <f t="shared" si="101"/>
        <v>9.8865191690010903</v>
      </c>
      <c r="AV27" s="260">
        <f t="shared" si="101"/>
        <v>9.8295217032013742</v>
      </c>
      <c r="AW27" s="260">
        <f t="shared" si="101"/>
        <v>9.7725242374016581</v>
      </c>
      <c r="AX27" s="260">
        <f t="shared" si="101"/>
        <v>9.715526771601942</v>
      </c>
      <c r="AY27" s="260">
        <f t="shared" si="101"/>
        <v>9.6585293058022259</v>
      </c>
      <c r="AZ27" s="260">
        <f t="shared" si="101"/>
        <v>9.6015318400025098</v>
      </c>
      <c r="BA27" s="260">
        <f t="shared" si="101"/>
        <v>9.5445343742027937</v>
      </c>
      <c r="BB27" s="931">
        <f>'AEO Data'!$B$30*AM27</f>
        <v>9.4875369084030705</v>
      </c>
      <c r="BC27" s="260">
        <f t="shared" si="96"/>
        <v>9.5648444982421381</v>
      </c>
      <c r="BD27" s="260">
        <f t="shared" si="96"/>
        <v>9.6421520880812057</v>
      </c>
      <c r="BE27" s="260">
        <f t="shared" si="96"/>
        <v>9.7194596779202733</v>
      </c>
      <c r="BF27" s="260">
        <f t="shared" si="96"/>
        <v>9.7967672677593409</v>
      </c>
      <c r="BG27" s="260">
        <f t="shared" si="96"/>
        <v>9.8740748575984085</v>
      </c>
      <c r="BH27" s="260">
        <f t="shared" si="96"/>
        <v>9.9513824474374761</v>
      </c>
      <c r="BI27" s="260">
        <f t="shared" si="96"/>
        <v>10.028690037276544</v>
      </c>
      <c r="BJ27" s="260">
        <f t="shared" si="96"/>
        <v>10.105997627115611</v>
      </c>
      <c r="BK27" s="260">
        <f t="shared" si="96"/>
        <v>10.183305216954679</v>
      </c>
      <c r="BL27" s="260">
        <f t="shared" si="96"/>
        <v>10.260612806793747</v>
      </c>
      <c r="BM27" s="260">
        <f t="shared" si="96"/>
        <v>10.337920396632814</v>
      </c>
      <c r="BN27" s="260">
        <f t="shared" si="96"/>
        <v>10.415227986471882</v>
      </c>
      <c r="BO27" s="260">
        <f t="shared" si="96"/>
        <v>10.492535576310949</v>
      </c>
      <c r="BP27" s="260">
        <f t="shared" si="96"/>
        <v>10.569843166150017</v>
      </c>
      <c r="BQ27" s="931">
        <f>'AEO Data'!$C$30*BB27</f>
        <v>10.647150755989088</v>
      </c>
      <c r="BR27" s="260">
        <f t="shared" si="97"/>
        <v>10.708008479170871</v>
      </c>
      <c r="BS27" s="260">
        <f t="shared" si="97"/>
        <v>10.768866202352655</v>
      </c>
      <c r="BT27" s="260">
        <f t="shared" si="97"/>
        <v>10.829723925534438</v>
      </c>
      <c r="BU27" s="260">
        <f t="shared" si="97"/>
        <v>10.890581648716221</v>
      </c>
      <c r="BV27" s="955">
        <f>'AEO Data'!$D$30*BQ27</f>
        <v>10.951439371898008</v>
      </c>
      <c r="BW27" s="1388">
        <f>+BV27*BW$135/BV$135</f>
        <v>10.987801370778188</v>
      </c>
      <c r="BX27" s="1388">
        <f t="shared" ref="BX27:CZ27" si="102">+BW27*BX$135/BW$135</f>
        <v>11.024284102186545</v>
      </c>
      <c r="BY27" s="1388">
        <f t="shared" si="102"/>
        <v>11.060887966990576</v>
      </c>
      <c r="BZ27" s="1388">
        <f t="shared" si="102"/>
        <v>11.097613367388767</v>
      </c>
      <c r="CA27" s="1388">
        <f t="shared" si="102"/>
        <v>11.134460706915034</v>
      </c>
      <c r="CB27" s="1388">
        <f t="shared" si="102"/>
        <v>11.158220847063788</v>
      </c>
      <c r="CC27" s="1388">
        <f t="shared" si="102"/>
        <v>11.18203168964661</v>
      </c>
      <c r="CD27" s="1388">
        <f t="shared" si="102"/>
        <v>11.205893342858859</v>
      </c>
      <c r="CE27" s="1388">
        <f t="shared" si="102"/>
        <v>11.229805915126768</v>
      </c>
      <c r="CF27" s="1388">
        <f t="shared" si="102"/>
        <v>11.253769515107949</v>
      </c>
      <c r="CG27" s="1388">
        <f t="shared" si="102"/>
        <v>11.261550344011113</v>
      </c>
      <c r="CH27" s="1388">
        <f t="shared" si="102"/>
        <v>11.26933655256048</v>
      </c>
      <c r="CI27" s="1388">
        <f t="shared" si="102"/>
        <v>11.277128144475522</v>
      </c>
      <c r="CJ27" s="1388">
        <f t="shared" si="102"/>
        <v>11.284925123478285</v>
      </c>
      <c r="CK27" s="1388">
        <f t="shared" si="102"/>
        <v>11.292727493293389</v>
      </c>
      <c r="CL27" s="1388">
        <f t="shared" si="102"/>
        <v>11.295372150311067</v>
      </c>
      <c r="CM27" s="1388">
        <f t="shared" si="102"/>
        <v>11.298017426684055</v>
      </c>
      <c r="CN27" s="1388">
        <f t="shared" si="102"/>
        <v>11.300663322557401</v>
      </c>
      <c r="CO27" s="1388">
        <f t="shared" si="102"/>
        <v>11.303309838076188</v>
      </c>
      <c r="CP27" s="1388">
        <f t="shared" si="102"/>
        <v>11.305956973385531</v>
      </c>
      <c r="CQ27" s="1388">
        <f t="shared" si="102"/>
        <v>11.309968961103596</v>
      </c>
      <c r="CR27" s="1388">
        <f t="shared" si="102"/>
        <v>11.31398237249995</v>
      </c>
      <c r="CS27" s="1388">
        <f t="shared" si="102"/>
        <v>11.317997208079792</v>
      </c>
      <c r="CT27" s="1388">
        <f t="shared" si="102"/>
        <v>11.3220134683485</v>
      </c>
      <c r="CU27" s="1388">
        <f t="shared" si="102"/>
        <v>11.326031153811636</v>
      </c>
      <c r="CV27" s="1388">
        <f t="shared" si="102"/>
        <v>11.332214388749156</v>
      </c>
      <c r="CW27" s="1388">
        <f t="shared" si="102"/>
        <v>11.338400999308178</v>
      </c>
      <c r="CX27" s="1388">
        <f t="shared" si="102"/>
        <v>11.344590987331557</v>
      </c>
      <c r="CY27" s="1388">
        <f t="shared" si="102"/>
        <v>11.350784354663158</v>
      </c>
      <c r="CZ27" s="1388">
        <f t="shared" si="102"/>
        <v>11.356981103147852</v>
      </c>
    </row>
    <row r="28" spans="1:104" x14ac:dyDescent="0.25">
      <c r="A28" s="870" t="str">
        <f>'HyARC Physical Property Data'!A74</f>
        <v>Electric Utility Natural Gas</v>
      </c>
      <c r="B28" s="260">
        <v>2011</v>
      </c>
      <c r="C28" s="869">
        <f t="shared" si="99"/>
        <v>1.0784554773635862</v>
      </c>
      <c r="D28" s="1247" t="str">
        <f>'HyARC Physical Property Data'!H74</f>
        <v>mmBtu</v>
      </c>
      <c r="E28" s="869" t="s">
        <v>1059</v>
      </c>
      <c r="F28" s="260">
        <f>'HyARC Physical Property Data'!$E$6</f>
        <v>47.141269049911173</v>
      </c>
      <c r="G28" s="260">
        <f>'HyARC Physical Property Data'!$I$6</f>
        <v>52.224661236371581</v>
      </c>
      <c r="H28" s="1056">
        <v>7.4079259090132386</v>
      </c>
      <c r="I28" s="1056">
        <v>7.4079259090132386</v>
      </c>
      <c r="J28" s="1056">
        <v>7.4079259090132386</v>
      </c>
      <c r="K28" s="1056">
        <v>7.3706710915002853</v>
      </c>
      <c r="L28" s="1056">
        <v>9.3158925097981644</v>
      </c>
      <c r="M28" s="1056">
        <v>4.7837623175056114</v>
      </c>
      <c r="N28" s="260">
        <f t="shared" ref="N28:AR28" si="103">((N45/(mmBTU_to_GJ))*($C28))*($G28/$F28)</f>
        <v>5.9546786983922937</v>
      </c>
      <c r="O28" s="260">
        <f t="shared" si="103"/>
        <v>5.4071882009627821</v>
      </c>
      <c r="P28" s="260">
        <f t="shared" si="103"/>
        <v>3.7617666418716023</v>
      </c>
      <c r="Q28" s="260">
        <f t="shared" si="103"/>
        <v>4.2077012311780857</v>
      </c>
      <c r="R28" s="260">
        <f t="shared" si="103"/>
        <v>4.2560449554536968</v>
      </c>
      <c r="S28" s="260">
        <f t="shared" si="103"/>
        <v>4.351004265064101</v>
      </c>
      <c r="T28" s="260">
        <f t="shared" si="103"/>
        <v>4.8499075586162492</v>
      </c>
      <c r="U28" s="260">
        <f t="shared" si="103"/>
        <v>5.0379587459147714</v>
      </c>
      <c r="V28" s="260">
        <f t="shared" si="103"/>
        <v>5.3255342022407595</v>
      </c>
      <c r="W28" s="260">
        <f t="shared" si="103"/>
        <v>5.4610005903401024</v>
      </c>
      <c r="X28" s="260">
        <f t="shared" si="103"/>
        <v>5.5453996800139871</v>
      </c>
      <c r="Y28" s="260">
        <f t="shared" si="103"/>
        <v>5.6707180648048965</v>
      </c>
      <c r="Z28" s="260">
        <f t="shared" si="103"/>
        <v>5.8914702613138141</v>
      </c>
      <c r="AA28" s="260">
        <f t="shared" si="103"/>
        <v>6.1025908577626655</v>
      </c>
      <c r="AB28" s="260">
        <f t="shared" si="103"/>
        <v>6.248858680473754</v>
      </c>
      <c r="AC28" s="260">
        <f t="shared" si="103"/>
        <v>6.3168359203568114</v>
      </c>
      <c r="AD28" s="260">
        <f t="shared" si="103"/>
        <v>6.465015341057482</v>
      </c>
      <c r="AE28" s="260">
        <f t="shared" si="103"/>
        <v>6.5238626621064135</v>
      </c>
      <c r="AF28" s="260">
        <f t="shared" si="103"/>
        <v>6.6439853054422287</v>
      </c>
      <c r="AG28" s="260">
        <f t="shared" si="103"/>
        <v>6.7551648863824747</v>
      </c>
      <c r="AH28" s="260">
        <f t="shared" si="103"/>
        <v>6.8546302673202151</v>
      </c>
      <c r="AI28" s="260">
        <f t="shared" si="103"/>
        <v>7.0027927010719244</v>
      </c>
      <c r="AJ28" s="260">
        <f t="shared" si="103"/>
        <v>7.1267928986235729</v>
      </c>
      <c r="AK28" s="260">
        <f t="shared" si="103"/>
        <v>7.2997143767154569</v>
      </c>
      <c r="AL28" s="260">
        <f t="shared" si="103"/>
        <v>7.5856330392862574</v>
      </c>
      <c r="AM28" s="260">
        <f t="shared" si="103"/>
        <v>7.9050986611256384</v>
      </c>
      <c r="AN28" s="260">
        <f t="shared" si="103"/>
        <v>8.3181385900035885</v>
      </c>
      <c r="AO28" s="260">
        <f t="shared" si="103"/>
        <v>8.6915977953425259</v>
      </c>
      <c r="AP28" s="260">
        <f t="shared" si="103"/>
        <v>9.0845976543012643</v>
      </c>
      <c r="AQ28" s="260">
        <f t="shared" si="103"/>
        <v>9.2352243281153736</v>
      </c>
      <c r="AR28" s="260">
        <f t="shared" si="103"/>
        <v>9.4875314810115476</v>
      </c>
      <c r="AS28" s="260">
        <f t="shared" ref="AS28:BA28" si="104">($BB28-$AR28)/10+AR28</f>
        <v>9.4282819947225889</v>
      </c>
      <c r="AT28" s="260">
        <f t="shared" si="104"/>
        <v>9.3690325084336301</v>
      </c>
      <c r="AU28" s="260">
        <f t="shared" si="104"/>
        <v>9.3097830221446713</v>
      </c>
      <c r="AV28" s="260">
        <f t="shared" si="104"/>
        <v>9.2505335358557126</v>
      </c>
      <c r="AW28" s="260">
        <f t="shared" si="104"/>
        <v>9.1912840495667538</v>
      </c>
      <c r="AX28" s="260">
        <f t="shared" si="104"/>
        <v>9.1320345632777951</v>
      </c>
      <c r="AY28" s="260">
        <f t="shared" si="104"/>
        <v>9.0727850769888363</v>
      </c>
      <c r="AZ28" s="260">
        <f t="shared" si="104"/>
        <v>9.0135355906998775</v>
      </c>
      <c r="BA28" s="260">
        <f t="shared" si="104"/>
        <v>8.9542861044109188</v>
      </c>
      <c r="BB28" s="931">
        <f>'AEO Data'!$B$30*AM28</f>
        <v>8.8950366181219671</v>
      </c>
      <c r="BC28" s="260">
        <f t="shared" si="96"/>
        <v>8.967516319557248</v>
      </c>
      <c r="BD28" s="260">
        <f t="shared" si="96"/>
        <v>9.039996020992529</v>
      </c>
      <c r="BE28" s="260">
        <f t="shared" si="96"/>
        <v>9.1124757224278099</v>
      </c>
      <c r="BF28" s="260">
        <f t="shared" si="96"/>
        <v>9.1849554238630908</v>
      </c>
      <c r="BG28" s="260">
        <f t="shared" si="96"/>
        <v>9.2574351252983718</v>
      </c>
      <c r="BH28" s="260">
        <f t="shared" si="96"/>
        <v>9.3299148267336527</v>
      </c>
      <c r="BI28" s="260">
        <f t="shared" si="96"/>
        <v>9.4023945281689336</v>
      </c>
      <c r="BJ28" s="260">
        <f t="shared" si="96"/>
        <v>9.4748742296042145</v>
      </c>
      <c r="BK28" s="260">
        <f t="shared" si="96"/>
        <v>9.5473539310394955</v>
      </c>
      <c r="BL28" s="260">
        <f t="shared" si="96"/>
        <v>9.6198336324747764</v>
      </c>
      <c r="BM28" s="260">
        <f t="shared" si="96"/>
        <v>9.6923133339100573</v>
      </c>
      <c r="BN28" s="260">
        <f t="shared" si="96"/>
        <v>9.7647930353453383</v>
      </c>
      <c r="BO28" s="260">
        <f t="shared" si="96"/>
        <v>9.8372727367806192</v>
      </c>
      <c r="BP28" s="260">
        <f t="shared" si="96"/>
        <v>9.9097524382159001</v>
      </c>
      <c r="BQ28" s="931">
        <f>'AEO Data'!$C$30*BB28</f>
        <v>9.9822321396511793</v>
      </c>
      <c r="BR28" s="260">
        <f t="shared" si="97"/>
        <v>10.039289274861693</v>
      </c>
      <c r="BS28" s="260">
        <f t="shared" si="97"/>
        <v>10.096346410072206</v>
      </c>
      <c r="BT28" s="260">
        <f t="shared" si="97"/>
        <v>10.153403545282719</v>
      </c>
      <c r="BU28" s="260">
        <f t="shared" si="97"/>
        <v>10.210460680493233</v>
      </c>
      <c r="BV28" s="955">
        <f>'AEO Data'!$D$30*BQ28</f>
        <v>10.26751781570375</v>
      </c>
      <c r="BW28" s="1388">
        <f>+BV28*BW$136/BV$136</f>
        <v>10.301608993916805</v>
      </c>
      <c r="BX28" s="1388">
        <f t="shared" ref="BX28:CZ28" si="105">+BW28*BX$136/BW$136</f>
        <v>10.335813364865709</v>
      </c>
      <c r="BY28" s="1388">
        <f t="shared" si="105"/>
        <v>10.37013130438363</v>
      </c>
      <c r="BZ28" s="1388">
        <f t="shared" si="105"/>
        <v>10.404563189551611</v>
      </c>
      <c r="CA28" s="1388">
        <f t="shared" si="105"/>
        <v>10.439109398702717</v>
      </c>
      <c r="CB28" s="1388">
        <f t="shared" si="105"/>
        <v>10.461385709057588</v>
      </c>
      <c r="CC28" s="1388">
        <f t="shared" si="105"/>
        <v>10.483709555460226</v>
      </c>
      <c r="CD28" s="1388">
        <f t="shared" si="105"/>
        <v>10.506081039349146</v>
      </c>
      <c r="CE28" s="1388">
        <f t="shared" si="105"/>
        <v>10.528500262379325</v>
      </c>
      <c r="CF28" s="1388">
        <f t="shared" si="105"/>
        <v>10.550967326422667</v>
      </c>
      <c r="CG28" s="1388">
        <f t="shared" si="105"/>
        <v>10.558262239599943</v>
      </c>
      <c r="CH28" s="1388">
        <f t="shared" si="105"/>
        <v>10.565562196462466</v>
      </c>
      <c r="CI28" s="1388">
        <f t="shared" si="105"/>
        <v>10.572867200497431</v>
      </c>
      <c r="CJ28" s="1388">
        <f t="shared" si="105"/>
        <v>10.580177255194439</v>
      </c>
      <c r="CK28" s="1388">
        <f t="shared" si="105"/>
        <v>10.587492364045506</v>
      </c>
      <c r="CL28" s="1388">
        <f t="shared" si="105"/>
        <v>10.589971861226042</v>
      </c>
      <c r="CM28" s="1388">
        <f t="shared" si="105"/>
        <v>10.592451939082915</v>
      </c>
      <c r="CN28" s="1388">
        <f t="shared" si="105"/>
        <v>10.594932597752113</v>
      </c>
      <c r="CO28" s="1388">
        <f t="shared" si="105"/>
        <v>10.597413837369656</v>
      </c>
      <c r="CP28" s="1388">
        <f t="shared" si="105"/>
        <v>10.599895658071597</v>
      </c>
      <c r="CQ28" s="1388">
        <f t="shared" si="105"/>
        <v>10.603657095629963</v>
      </c>
      <c r="CR28" s="1388">
        <f t="shared" si="105"/>
        <v>10.607419867957365</v>
      </c>
      <c r="CS28" s="1388">
        <f t="shared" si="105"/>
        <v>10.611183975527453</v>
      </c>
      <c r="CT28" s="1388">
        <f t="shared" si="105"/>
        <v>10.614949418814046</v>
      </c>
      <c r="CU28" s="1388">
        <f t="shared" si="105"/>
        <v>10.618716198291134</v>
      </c>
      <c r="CV28" s="1388">
        <f t="shared" si="105"/>
        <v>10.624513287853858</v>
      </c>
      <c r="CW28" s="1388">
        <f t="shared" si="105"/>
        <v>10.630313542229239</v>
      </c>
      <c r="CX28" s="1388">
        <f t="shared" si="105"/>
        <v>10.636116963145044</v>
      </c>
      <c r="CY28" s="1388">
        <f t="shared" si="105"/>
        <v>10.641923552329986</v>
      </c>
      <c r="CZ28" s="1388">
        <f t="shared" si="105"/>
        <v>10.647733311513726</v>
      </c>
    </row>
    <row r="29" spans="1:104" x14ac:dyDescent="0.25">
      <c r="A29" s="870" t="str">
        <f>'HyARC Physical Property Data'!A75</f>
        <v>Bio Methane</v>
      </c>
      <c r="B29" s="260">
        <v>2007</v>
      </c>
      <c r="C29" s="869">
        <f t="shared" si="99"/>
        <v>1.1446359956438654</v>
      </c>
      <c r="D29" s="1247" t="str">
        <f>'HyARC Physical Property Data'!H75</f>
        <v>mmBtu</v>
      </c>
      <c r="E29" s="869" t="s">
        <v>1059</v>
      </c>
      <c r="F29" s="260">
        <f>'HyARC Physical Property Data'!$E$6</f>
        <v>47.141269049911173</v>
      </c>
      <c r="G29" s="260">
        <f>'HyARC Physical Property Data'!$I$6</f>
        <v>52.224661236371581</v>
      </c>
      <c r="H29" s="1056">
        <v>12.42654028436019</v>
      </c>
      <c r="I29" s="1056">
        <v>12.42654028436019</v>
      </c>
      <c r="J29" s="1056">
        <v>12.42654028436019</v>
      </c>
      <c r="K29" s="1056">
        <v>12.42654028436019</v>
      </c>
      <c r="L29" s="1056">
        <v>12.42654028436019</v>
      </c>
      <c r="M29" s="1056">
        <v>12.42654028436019</v>
      </c>
      <c r="N29" s="260">
        <f t="shared" ref="N29:AM29" si="106">13.11*($C$29/mmBTU_to_GJ)</f>
        <v>14.223865310797228</v>
      </c>
      <c r="O29" s="260">
        <f t="shared" si="106"/>
        <v>14.223865310797228</v>
      </c>
      <c r="P29" s="260">
        <f t="shared" si="106"/>
        <v>14.223865310797228</v>
      </c>
      <c r="Q29" s="260">
        <f t="shared" si="106"/>
        <v>14.223865310797228</v>
      </c>
      <c r="R29" s="260">
        <f t="shared" si="106"/>
        <v>14.223865310797228</v>
      </c>
      <c r="S29" s="260">
        <f t="shared" si="106"/>
        <v>14.223865310797228</v>
      </c>
      <c r="T29" s="260">
        <f t="shared" si="106"/>
        <v>14.223865310797228</v>
      </c>
      <c r="U29" s="260">
        <f t="shared" si="106"/>
        <v>14.223865310797228</v>
      </c>
      <c r="V29" s="260">
        <f t="shared" si="106"/>
        <v>14.223865310797228</v>
      </c>
      <c r="W29" s="260">
        <f t="shared" si="106"/>
        <v>14.223865310797228</v>
      </c>
      <c r="X29" s="260">
        <f t="shared" si="106"/>
        <v>14.223865310797228</v>
      </c>
      <c r="Y29" s="260">
        <f t="shared" si="106"/>
        <v>14.223865310797228</v>
      </c>
      <c r="Z29" s="260">
        <f t="shared" si="106"/>
        <v>14.223865310797228</v>
      </c>
      <c r="AA29" s="260">
        <f t="shared" si="106"/>
        <v>14.223865310797228</v>
      </c>
      <c r="AB29" s="260">
        <f t="shared" si="106"/>
        <v>14.223865310797228</v>
      </c>
      <c r="AC29" s="260">
        <f t="shared" si="106"/>
        <v>14.223865310797228</v>
      </c>
      <c r="AD29" s="260">
        <f t="shared" si="106"/>
        <v>14.223865310797228</v>
      </c>
      <c r="AE29" s="260">
        <f t="shared" si="106"/>
        <v>14.223865310797228</v>
      </c>
      <c r="AF29" s="260">
        <f t="shared" si="106"/>
        <v>14.223865310797228</v>
      </c>
      <c r="AG29" s="260">
        <f t="shared" si="106"/>
        <v>14.223865310797228</v>
      </c>
      <c r="AH29" s="260">
        <f t="shared" si="106"/>
        <v>14.223865310797228</v>
      </c>
      <c r="AI29" s="260">
        <f t="shared" si="106"/>
        <v>14.223865310797228</v>
      </c>
      <c r="AJ29" s="260">
        <f t="shared" si="106"/>
        <v>14.223865310797228</v>
      </c>
      <c r="AK29" s="260">
        <f t="shared" si="106"/>
        <v>14.223865310797228</v>
      </c>
      <c r="AL29" s="260">
        <f t="shared" si="106"/>
        <v>14.223865310797228</v>
      </c>
      <c r="AM29" s="260">
        <f t="shared" si="106"/>
        <v>14.223865310797228</v>
      </c>
      <c r="AN29" s="260">
        <f t="shared" ref="AN29:BV29" si="107">13.11*($C$29/mmBTU_to_GJ)</f>
        <v>14.223865310797228</v>
      </c>
      <c r="AO29" s="260">
        <f t="shared" si="107"/>
        <v>14.223865310797228</v>
      </c>
      <c r="AP29" s="260">
        <f t="shared" si="107"/>
        <v>14.223865310797228</v>
      </c>
      <c r="AQ29" s="260">
        <f t="shared" si="107"/>
        <v>14.223865310797228</v>
      </c>
      <c r="AR29" s="260">
        <f t="shared" si="107"/>
        <v>14.223865310797228</v>
      </c>
      <c r="AS29" s="260">
        <f t="shared" si="107"/>
        <v>14.223865310797228</v>
      </c>
      <c r="AT29" s="260">
        <f t="shared" si="107"/>
        <v>14.223865310797228</v>
      </c>
      <c r="AU29" s="260">
        <f t="shared" si="107"/>
        <v>14.223865310797228</v>
      </c>
      <c r="AV29" s="260">
        <f t="shared" si="107"/>
        <v>14.223865310797228</v>
      </c>
      <c r="AW29" s="260">
        <f t="shared" si="107"/>
        <v>14.223865310797228</v>
      </c>
      <c r="AX29" s="260">
        <f t="shared" si="107"/>
        <v>14.223865310797228</v>
      </c>
      <c r="AY29" s="260">
        <f t="shared" si="107"/>
        <v>14.223865310797228</v>
      </c>
      <c r="AZ29" s="260">
        <f t="shared" si="107"/>
        <v>14.223865310797228</v>
      </c>
      <c r="BA29" s="260">
        <f t="shared" si="107"/>
        <v>14.223865310797228</v>
      </c>
      <c r="BB29" s="260">
        <f t="shared" si="107"/>
        <v>14.223865310797228</v>
      </c>
      <c r="BC29" s="260">
        <f t="shared" si="107"/>
        <v>14.223865310797228</v>
      </c>
      <c r="BD29" s="260">
        <f t="shared" si="107"/>
        <v>14.223865310797228</v>
      </c>
      <c r="BE29" s="260">
        <f t="shared" si="107"/>
        <v>14.223865310797228</v>
      </c>
      <c r="BF29" s="260">
        <f t="shared" si="107"/>
        <v>14.223865310797228</v>
      </c>
      <c r="BG29" s="260">
        <f t="shared" si="107"/>
        <v>14.223865310797228</v>
      </c>
      <c r="BH29" s="260">
        <f t="shared" si="107"/>
        <v>14.223865310797228</v>
      </c>
      <c r="BI29" s="260">
        <f t="shared" si="107"/>
        <v>14.223865310797228</v>
      </c>
      <c r="BJ29" s="260">
        <f t="shared" si="107"/>
        <v>14.223865310797228</v>
      </c>
      <c r="BK29" s="260">
        <f t="shared" si="107"/>
        <v>14.223865310797228</v>
      </c>
      <c r="BL29" s="260">
        <f t="shared" si="107"/>
        <v>14.223865310797228</v>
      </c>
      <c r="BM29" s="260">
        <f t="shared" si="107"/>
        <v>14.223865310797228</v>
      </c>
      <c r="BN29" s="260">
        <f t="shared" si="107"/>
        <v>14.223865310797228</v>
      </c>
      <c r="BO29" s="260">
        <f t="shared" si="107"/>
        <v>14.223865310797228</v>
      </c>
      <c r="BP29" s="260">
        <f t="shared" si="107"/>
        <v>14.223865310797228</v>
      </c>
      <c r="BQ29" s="260">
        <f t="shared" si="107"/>
        <v>14.223865310797228</v>
      </c>
      <c r="BR29" s="260">
        <f t="shared" si="107"/>
        <v>14.223865310797228</v>
      </c>
      <c r="BS29" s="260">
        <f t="shared" si="107"/>
        <v>14.223865310797228</v>
      </c>
      <c r="BT29" s="260">
        <f t="shared" si="107"/>
        <v>14.223865310797228</v>
      </c>
      <c r="BU29" s="260">
        <f t="shared" si="107"/>
        <v>14.223865310797228</v>
      </c>
      <c r="BV29" s="260">
        <f t="shared" si="107"/>
        <v>14.223865310797228</v>
      </c>
      <c r="BW29" s="1388">
        <f>+BV29*BW$136/BV$136</f>
        <v>14.271092726019944</v>
      </c>
      <c r="BX29" s="1388">
        <f t="shared" ref="BX29:CZ29" si="108">+BW29*BX$136/BW$136</f>
        <v>14.318476950147966</v>
      </c>
      <c r="BY29" s="1388">
        <f t="shared" si="108"/>
        <v>14.366018503832969</v>
      </c>
      <c r="BZ29" s="1388">
        <f t="shared" si="108"/>
        <v>14.413717909455341</v>
      </c>
      <c r="CA29" s="1388">
        <f t="shared" si="108"/>
        <v>14.461575691129934</v>
      </c>
      <c r="CB29" s="1388">
        <f t="shared" si="108"/>
        <v>14.49243565590395</v>
      </c>
      <c r="CC29" s="1388">
        <f t="shared" si="108"/>
        <v>14.523361473628309</v>
      </c>
      <c r="CD29" s="1388">
        <f t="shared" si="108"/>
        <v>14.554353284828478</v>
      </c>
      <c r="CE29" s="1388">
        <f t="shared" si="108"/>
        <v>14.585411230329802</v>
      </c>
      <c r="CF29" s="1388">
        <f t="shared" si="108"/>
        <v>14.616535451258134</v>
      </c>
      <c r="CG29" s="1388">
        <f t="shared" si="108"/>
        <v>14.626641288360148</v>
      </c>
      <c r="CH29" s="1388">
        <f t="shared" si="108"/>
        <v>14.636754112613382</v>
      </c>
      <c r="CI29" s="1388">
        <f t="shared" si="108"/>
        <v>14.646873928848736</v>
      </c>
      <c r="CJ29" s="1388">
        <f t="shared" si="108"/>
        <v>14.657000741900452</v>
      </c>
      <c r="CK29" s="1388">
        <f t="shared" si="108"/>
        <v>14.667134556606111</v>
      </c>
      <c r="CL29" s="1388">
        <f t="shared" si="108"/>
        <v>14.670569469948116</v>
      </c>
      <c r="CM29" s="1388">
        <f t="shared" si="108"/>
        <v>14.674005187716483</v>
      </c>
      <c r="CN29" s="1388">
        <f t="shared" si="108"/>
        <v>14.6774417100996</v>
      </c>
      <c r="CO29" s="1388">
        <f t="shared" si="108"/>
        <v>14.6808790372859</v>
      </c>
      <c r="CP29" s="1388">
        <f t="shared" si="108"/>
        <v>14.684317169463862</v>
      </c>
      <c r="CQ29" s="1388">
        <f t="shared" si="108"/>
        <v>14.689527988881515</v>
      </c>
      <c r="CR29" s="1388">
        <f t="shared" si="108"/>
        <v>14.69474065739019</v>
      </c>
      <c r="CS29" s="1388">
        <f t="shared" si="108"/>
        <v>14.699955175646044</v>
      </c>
      <c r="CT29" s="1388">
        <f t="shared" si="108"/>
        <v>14.705171544305472</v>
      </c>
      <c r="CU29" s="1388">
        <f t="shared" si="108"/>
        <v>14.710389764025104</v>
      </c>
      <c r="CV29" s="1388">
        <f t="shared" si="108"/>
        <v>14.718420626266095</v>
      </c>
      <c r="CW29" s="1388">
        <f t="shared" si="108"/>
        <v>14.726455872806168</v>
      </c>
      <c r="CX29" s="1388">
        <f t="shared" si="108"/>
        <v>14.734495506038849</v>
      </c>
      <c r="CY29" s="1388">
        <f t="shared" si="108"/>
        <v>14.74253952835897</v>
      </c>
      <c r="CZ29" s="1388">
        <f t="shared" si="108"/>
        <v>14.750587942162673</v>
      </c>
    </row>
    <row r="30" spans="1:104" x14ac:dyDescent="0.25">
      <c r="A30" s="956" t="str">
        <f>'HyARC Physical Property Data'!A85</f>
        <v>Woody Biomass</v>
      </c>
      <c r="B30" s="260">
        <v>2005</v>
      </c>
      <c r="C30" s="869">
        <f>VLOOKUP(ref_year,DeflatorTable,2,FALSE)/VLOOKUP(B30,DeflatorTable,2,FALSE)</f>
        <v>1.2112501494873942</v>
      </c>
      <c r="D30" s="1247" t="str">
        <f>+'HyARC Physical Property Data'!$H$85</f>
        <v>kg</v>
      </c>
      <c r="E30" s="895" t="s">
        <v>1053</v>
      </c>
      <c r="F30" s="260">
        <f>'HyARC Physical Property Data'!$E$45</f>
        <v>19.551069237418005</v>
      </c>
      <c r="G30" s="260">
        <f>'HyARC Physical Property Data'!$I$45</f>
        <v>20.588656379262464</v>
      </c>
      <c r="H30" s="1057">
        <v>1.3438238843289665</v>
      </c>
      <c r="I30" s="1057">
        <v>1.3438238843289665</v>
      </c>
      <c r="J30" s="1057">
        <v>1.3438238843289665</v>
      </c>
      <c r="K30" s="1057">
        <v>1.3438238843289665</v>
      </c>
      <c r="L30" s="1057">
        <v>1.3438238843289665</v>
      </c>
      <c r="M30" s="1057">
        <v>1.3438238843289665</v>
      </c>
      <c r="N30" s="957">
        <f>1.27*($C$30)</f>
        <v>1.5382876898489906</v>
      </c>
      <c r="O30" s="957">
        <f>1.27*($C$30)</f>
        <v>1.5382876898489906</v>
      </c>
      <c r="P30" s="957">
        <f>1.28*($C$30)</f>
        <v>1.5504001913438645</v>
      </c>
      <c r="Q30" s="957">
        <f>1.32*($C$30)</f>
        <v>1.5988501973233604</v>
      </c>
      <c r="R30" s="957">
        <f>1.32*($C$30)</f>
        <v>1.5988501973233604</v>
      </c>
      <c r="S30" s="957">
        <f>1.34*($C$30)</f>
        <v>1.6230752003131084</v>
      </c>
      <c r="T30" s="957">
        <f>1.34*($C$30)</f>
        <v>1.6230752003131084</v>
      </c>
      <c r="U30" s="957">
        <f>1.36*($C$30)</f>
        <v>1.6473002033028561</v>
      </c>
      <c r="V30" s="957">
        <f>1.36*($C$30)</f>
        <v>1.6473002033028561</v>
      </c>
      <c r="W30" s="957">
        <f>1.38*($C$30)</f>
        <v>1.6715252062926038</v>
      </c>
      <c r="X30" s="957">
        <f>1.4*($C$30)</f>
        <v>1.6957502092823518</v>
      </c>
      <c r="Y30" s="957">
        <f>1.46*($C$30)</f>
        <v>1.7684252182515954</v>
      </c>
      <c r="Z30" s="957">
        <f>1.48*($C$30)</f>
        <v>1.7926502212413433</v>
      </c>
      <c r="AA30" s="957">
        <f>1.48*($C$30)</f>
        <v>1.7926502212413433</v>
      </c>
      <c r="AB30" s="957">
        <f>1.51*($C$30)</f>
        <v>1.8289877257259652</v>
      </c>
      <c r="AC30" s="957">
        <f>1.52*($C$30)</f>
        <v>1.8411002272208392</v>
      </c>
      <c r="AD30" s="957">
        <f>1.62*($C$30)</f>
        <v>1.9622252421695787</v>
      </c>
      <c r="AE30" s="957">
        <f>1.72*($C$30)</f>
        <v>2.083350257118318</v>
      </c>
      <c r="AF30" s="957">
        <f>1.82*($C$30)</f>
        <v>2.2044752720670573</v>
      </c>
      <c r="AG30" s="957">
        <f>1.91*($C$30)</f>
        <v>2.3134877855209228</v>
      </c>
      <c r="AH30" s="957">
        <f>2.01*($C$30)</f>
        <v>2.4346128004696621</v>
      </c>
      <c r="AI30" s="957">
        <f>2.11*($C$30)</f>
        <v>2.5557378154184014</v>
      </c>
      <c r="AJ30" s="957">
        <f>2.2*($C$30)</f>
        <v>2.6647503288722674</v>
      </c>
      <c r="AK30" s="957">
        <f>2.3*($C$30)</f>
        <v>2.7858753438210062</v>
      </c>
      <c r="AL30" s="957">
        <f>2.4*($C$30)</f>
        <v>2.9070003587697459</v>
      </c>
      <c r="AM30" s="957">
        <f>2.5*($C$30)</f>
        <v>3.0281253737184857</v>
      </c>
      <c r="AN30" s="957">
        <f>2.57*($C$30)</f>
        <v>3.1129128841826028</v>
      </c>
      <c r="AO30" s="957">
        <f>2.64*($C$30)</f>
        <v>3.1977003946467208</v>
      </c>
      <c r="AP30" s="957">
        <f>2.71*($C$30)</f>
        <v>3.282487905110838</v>
      </c>
      <c r="AQ30" s="957">
        <f>2.78*($C$30)</f>
        <v>3.3672754155749556</v>
      </c>
      <c r="AR30" s="957">
        <f>2.85*($C$30)</f>
        <v>3.4520629260390736</v>
      </c>
      <c r="AS30" s="957">
        <f>2.92*($C$30)</f>
        <v>3.5368504365031908</v>
      </c>
      <c r="AT30" s="957">
        <f>2.99*($C$30)</f>
        <v>3.6216379469673088</v>
      </c>
      <c r="AU30" s="957">
        <f>3.07*($C$30)</f>
        <v>3.7185379589263001</v>
      </c>
      <c r="AV30" s="957">
        <f>3.14*($C$30)</f>
        <v>3.8033254693904177</v>
      </c>
      <c r="AW30" s="957">
        <f>3.21*($C$30)</f>
        <v>3.8881129798545353</v>
      </c>
      <c r="AX30" s="957">
        <f>3.28*($C$30)</f>
        <v>3.9729004903186529</v>
      </c>
      <c r="AY30" s="957">
        <f>3.35*($C$30)</f>
        <v>4.0576880007827709</v>
      </c>
      <c r="AZ30" s="957">
        <f>3.42*($C$30)</f>
        <v>4.1424755112468876</v>
      </c>
      <c r="BA30" s="957">
        <f>3.49*($C$30)</f>
        <v>4.2272630217110061</v>
      </c>
      <c r="BB30" s="957">
        <f>3.56*($C$30)</f>
        <v>4.3120505321751237</v>
      </c>
      <c r="BC30" s="957">
        <f>3.64*($C$30)</f>
        <v>4.4089505441341146</v>
      </c>
      <c r="BD30" s="957">
        <f>3.71*($C$30)</f>
        <v>4.4937380545982322</v>
      </c>
      <c r="BE30" s="957">
        <f>3.78*($C$30)</f>
        <v>4.5785255650623498</v>
      </c>
      <c r="BF30" s="957">
        <f>3.85*($C$30)</f>
        <v>4.6633130755264673</v>
      </c>
      <c r="BG30" s="957">
        <f>3.92*($C$30)</f>
        <v>4.7481005859905849</v>
      </c>
      <c r="BH30" s="957">
        <f>3.99*($C$30)</f>
        <v>4.8328880964547034</v>
      </c>
      <c r="BI30" s="957">
        <f>4.06*($C$30)</f>
        <v>4.9176756069188201</v>
      </c>
      <c r="BJ30" s="957">
        <f>4.14*($C$30)</f>
        <v>5.0145756188778119</v>
      </c>
      <c r="BK30" s="957">
        <f>4.21*($C$30)</f>
        <v>5.0993631293419295</v>
      </c>
      <c r="BL30" s="957">
        <f>4.28*($C$30)</f>
        <v>5.1841506398060471</v>
      </c>
      <c r="BM30" s="957">
        <f>4.35*($C$30)</f>
        <v>5.2689381502701647</v>
      </c>
      <c r="BN30" s="957">
        <f>4.42*($C$30)</f>
        <v>5.3537256607342822</v>
      </c>
      <c r="BO30" s="957">
        <f>4.49*($C$30)</f>
        <v>5.4385131711983998</v>
      </c>
      <c r="BP30" s="957">
        <f>4.56*($C$30)</f>
        <v>5.5233006816625174</v>
      </c>
      <c r="BQ30" s="957">
        <f>4.63*($C$30)</f>
        <v>5.608088192126635</v>
      </c>
      <c r="BR30" s="957">
        <f>4.71*($C$30)</f>
        <v>5.7049882040856268</v>
      </c>
      <c r="BS30" s="957">
        <f>4.78*($C$30)</f>
        <v>5.7897757145497444</v>
      </c>
      <c r="BT30" s="957">
        <f>4.85*($C$30)</f>
        <v>5.8745632250138611</v>
      </c>
      <c r="BU30" s="957">
        <f>4.92*($C$30)</f>
        <v>5.9593507354779796</v>
      </c>
      <c r="BV30" s="958">
        <f>4.99*($C$30)</f>
        <v>6.0441382459420971</v>
      </c>
      <c r="BW30" s="1388">
        <f>+BV30*BW$137/BV$137</f>
        <v>6.0586659764672328</v>
      </c>
      <c r="BX30" s="1388">
        <f t="shared" ref="BX30:CZ30" si="109">+BW30*BX$137/BW$137</f>
        <v>6.0732286259412112</v>
      </c>
      <c r="BY30" s="1388">
        <f t="shared" si="109"/>
        <v>6.0878262782954495</v>
      </c>
      <c r="BZ30" s="1388">
        <f t="shared" si="109"/>
        <v>6.1024590176630999</v>
      </c>
      <c r="CA30" s="1388">
        <f t="shared" si="109"/>
        <v>6.1171269283795393</v>
      </c>
      <c r="CB30" s="1388">
        <f t="shared" si="109"/>
        <v>6.1299667153690152</v>
      </c>
      <c r="CC30" s="1388">
        <f t="shared" si="109"/>
        <v>6.1428334529403346</v>
      </c>
      <c r="CD30" s="1388">
        <f t="shared" si="109"/>
        <v>6.155727197662495</v>
      </c>
      <c r="CE30" s="1388">
        <f t="shared" si="109"/>
        <v>6.1686480062232301</v>
      </c>
      <c r="CF30" s="1388">
        <f t="shared" si="109"/>
        <v>6.18159593542926</v>
      </c>
      <c r="CG30" s="1388">
        <f t="shared" si="109"/>
        <v>6.197524392005751</v>
      </c>
      <c r="CH30" s="1388">
        <f t="shared" si="109"/>
        <v>6.2134938923080965</v>
      </c>
      <c r="CI30" s="1388">
        <f t="shared" si="109"/>
        <v>6.229504542095909</v>
      </c>
      <c r="CJ30" s="1388">
        <f t="shared" si="109"/>
        <v>6.245556447401321</v>
      </c>
      <c r="CK30" s="1388">
        <f t="shared" si="109"/>
        <v>6.2616497145296828</v>
      </c>
      <c r="CL30" s="1388">
        <f t="shared" si="109"/>
        <v>6.2750522655841658</v>
      </c>
      <c r="CM30" s="1388">
        <f t="shared" si="109"/>
        <v>6.2884835037072264</v>
      </c>
      <c r="CN30" s="1388">
        <f t="shared" si="109"/>
        <v>6.3019434903011975</v>
      </c>
      <c r="CO30" s="1388">
        <f t="shared" si="109"/>
        <v>6.3154322868998385</v>
      </c>
      <c r="CP30" s="1388">
        <f t="shared" si="109"/>
        <v>6.3289499551686168</v>
      </c>
      <c r="CQ30" s="1388">
        <f t="shared" si="109"/>
        <v>6.3413225489579119</v>
      </c>
      <c r="CR30" s="1388">
        <f t="shared" si="109"/>
        <v>6.3537193301840116</v>
      </c>
      <c r="CS30" s="1388">
        <f t="shared" si="109"/>
        <v>6.3661403461314299</v>
      </c>
      <c r="CT30" s="1388">
        <f t="shared" si="109"/>
        <v>6.3785856441771198</v>
      </c>
      <c r="CU30" s="1388">
        <f t="shared" si="109"/>
        <v>6.3910552717906537</v>
      </c>
      <c r="CV30" s="1388">
        <f t="shared" si="109"/>
        <v>6.4057772391562917</v>
      </c>
      <c r="CW30" s="1388">
        <f t="shared" si="109"/>
        <v>6.4205331189689208</v>
      </c>
      <c r="CX30" s="1388">
        <f t="shared" si="109"/>
        <v>6.4353229893467718</v>
      </c>
      <c r="CY30" s="1388">
        <f t="shared" si="109"/>
        <v>6.4501469285880244</v>
      </c>
      <c r="CZ30" s="1388">
        <f t="shared" si="109"/>
        <v>6.4650050151712186</v>
      </c>
    </row>
    <row r="31" spans="1:104" x14ac:dyDescent="0.25">
      <c r="A31" s="956" t="str">
        <f>'HyARC Physical Property Data'!$A$87</f>
        <v>Woody Biomass MYPP</v>
      </c>
      <c r="B31" s="260">
        <v>2007</v>
      </c>
      <c r="C31" s="869">
        <f>VLOOKUP(ref_year,DeflatorTable,2,FALSE)/VLOOKUP(B31,DeflatorTable,2,FALSE)</f>
        <v>1.1446359956438654</v>
      </c>
      <c r="D31" s="1247" t="str">
        <f>+'HyARC Physical Property Data'!$H$87</f>
        <v>kg</v>
      </c>
      <c r="E31" s="895" t="s">
        <v>1053</v>
      </c>
      <c r="F31" s="260">
        <v>18.608000000000001</v>
      </c>
      <c r="G31" s="260"/>
      <c r="H31" s="1056">
        <v>4.4443250214961303</v>
      </c>
      <c r="I31" s="1056">
        <v>4.4443250214961303</v>
      </c>
      <c r="J31" s="1056">
        <v>4.4443250214961303</v>
      </c>
      <c r="K31" s="1056">
        <v>4.4443250214961303</v>
      </c>
      <c r="L31" s="1056">
        <v>4.4443250214961303</v>
      </c>
      <c r="M31" s="1056">
        <v>4.4443250214961303</v>
      </c>
      <c r="N31" s="260">
        <f>4.44432502149613*$C$31</f>
        <v>5.0871343959451663</v>
      </c>
      <c r="O31" s="957">
        <f t="shared" ref="O31:T31" si="110">N31-($N$31-$U$31)/7</f>
        <v>4.9664808197552768</v>
      </c>
      <c r="P31" s="957">
        <f t="shared" si="110"/>
        <v>4.8458272435653873</v>
      </c>
      <c r="Q31" s="957">
        <f t="shared" si="110"/>
        <v>4.7251736673754978</v>
      </c>
      <c r="R31" s="957">
        <f t="shared" si="110"/>
        <v>4.6045200911856083</v>
      </c>
      <c r="S31" s="957">
        <f t="shared" si="110"/>
        <v>4.4838665149957189</v>
      </c>
      <c r="T31" s="957">
        <f t="shared" si="110"/>
        <v>4.3632129388058294</v>
      </c>
      <c r="U31" s="957">
        <f>3.70647033533964*$C$31</f>
        <v>4.2425593626159408</v>
      </c>
      <c r="V31" s="957">
        <f t="shared" ref="V31:BV31" si="111">3.70647033533964*$C$31</f>
        <v>4.2425593626159408</v>
      </c>
      <c r="W31" s="957">
        <f t="shared" si="111"/>
        <v>4.2425593626159408</v>
      </c>
      <c r="X31" s="957">
        <f t="shared" si="111"/>
        <v>4.2425593626159408</v>
      </c>
      <c r="Y31" s="957">
        <f t="shared" si="111"/>
        <v>4.2425593626159408</v>
      </c>
      <c r="Z31" s="957">
        <f t="shared" si="111"/>
        <v>4.2425593626159408</v>
      </c>
      <c r="AA31" s="957">
        <f t="shared" si="111"/>
        <v>4.2425593626159408</v>
      </c>
      <c r="AB31" s="957">
        <f t="shared" si="111"/>
        <v>4.2425593626159408</v>
      </c>
      <c r="AC31" s="957">
        <f t="shared" si="111"/>
        <v>4.2425593626159408</v>
      </c>
      <c r="AD31" s="957">
        <f t="shared" si="111"/>
        <v>4.2425593626159408</v>
      </c>
      <c r="AE31" s="957">
        <f t="shared" si="111"/>
        <v>4.2425593626159408</v>
      </c>
      <c r="AF31" s="957">
        <f t="shared" si="111"/>
        <v>4.2425593626159408</v>
      </c>
      <c r="AG31" s="957">
        <f t="shared" si="111"/>
        <v>4.2425593626159408</v>
      </c>
      <c r="AH31" s="957">
        <f t="shared" si="111"/>
        <v>4.2425593626159408</v>
      </c>
      <c r="AI31" s="957">
        <f t="shared" si="111"/>
        <v>4.2425593626159408</v>
      </c>
      <c r="AJ31" s="957">
        <f t="shared" si="111"/>
        <v>4.2425593626159408</v>
      </c>
      <c r="AK31" s="957">
        <f t="shared" si="111"/>
        <v>4.2425593626159408</v>
      </c>
      <c r="AL31" s="957">
        <f t="shared" si="111"/>
        <v>4.2425593626159408</v>
      </c>
      <c r="AM31" s="957">
        <f t="shared" si="111"/>
        <v>4.2425593626159408</v>
      </c>
      <c r="AN31" s="957">
        <f t="shared" si="111"/>
        <v>4.2425593626159408</v>
      </c>
      <c r="AO31" s="957">
        <f t="shared" si="111"/>
        <v>4.2425593626159408</v>
      </c>
      <c r="AP31" s="957">
        <f t="shared" si="111"/>
        <v>4.2425593626159408</v>
      </c>
      <c r="AQ31" s="957">
        <f t="shared" si="111"/>
        <v>4.2425593626159408</v>
      </c>
      <c r="AR31" s="957">
        <f t="shared" si="111"/>
        <v>4.2425593626159408</v>
      </c>
      <c r="AS31" s="957">
        <f t="shared" si="111"/>
        <v>4.2425593626159408</v>
      </c>
      <c r="AT31" s="957">
        <f t="shared" si="111"/>
        <v>4.2425593626159408</v>
      </c>
      <c r="AU31" s="957">
        <f t="shared" si="111"/>
        <v>4.2425593626159408</v>
      </c>
      <c r="AV31" s="957">
        <f t="shared" si="111"/>
        <v>4.2425593626159408</v>
      </c>
      <c r="AW31" s="957">
        <f t="shared" si="111"/>
        <v>4.2425593626159408</v>
      </c>
      <c r="AX31" s="957">
        <f t="shared" si="111"/>
        <v>4.2425593626159408</v>
      </c>
      <c r="AY31" s="957">
        <f t="shared" si="111"/>
        <v>4.2425593626159408</v>
      </c>
      <c r="AZ31" s="957">
        <f t="shared" si="111"/>
        <v>4.2425593626159408</v>
      </c>
      <c r="BA31" s="957">
        <f t="shared" si="111"/>
        <v>4.2425593626159408</v>
      </c>
      <c r="BB31" s="957">
        <f t="shared" si="111"/>
        <v>4.2425593626159408</v>
      </c>
      <c r="BC31" s="957">
        <f t="shared" si="111"/>
        <v>4.2425593626159408</v>
      </c>
      <c r="BD31" s="957">
        <f t="shared" si="111"/>
        <v>4.2425593626159408</v>
      </c>
      <c r="BE31" s="957">
        <f t="shared" si="111"/>
        <v>4.2425593626159408</v>
      </c>
      <c r="BF31" s="957">
        <f t="shared" si="111"/>
        <v>4.2425593626159408</v>
      </c>
      <c r="BG31" s="957">
        <f t="shared" si="111"/>
        <v>4.2425593626159408</v>
      </c>
      <c r="BH31" s="957">
        <f t="shared" si="111"/>
        <v>4.2425593626159408</v>
      </c>
      <c r="BI31" s="957">
        <f t="shared" si="111"/>
        <v>4.2425593626159408</v>
      </c>
      <c r="BJ31" s="957">
        <f t="shared" si="111"/>
        <v>4.2425593626159408</v>
      </c>
      <c r="BK31" s="957">
        <f t="shared" si="111"/>
        <v>4.2425593626159408</v>
      </c>
      <c r="BL31" s="957">
        <f t="shared" si="111"/>
        <v>4.2425593626159408</v>
      </c>
      <c r="BM31" s="957">
        <f t="shared" si="111"/>
        <v>4.2425593626159408</v>
      </c>
      <c r="BN31" s="957">
        <f t="shared" si="111"/>
        <v>4.2425593626159408</v>
      </c>
      <c r="BO31" s="957">
        <f t="shared" si="111"/>
        <v>4.2425593626159408</v>
      </c>
      <c r="BP31" s="957">
        <f t="shared" si="111"/>
        <v>4.2425593626159408</v>
      </c>
      <c r="BQ31" s="957">
        <f t="shared" si="111"/>
        <v>4.2425593626159408</v>
      </c>
      <c r="BR31" s="957">
        <f t="shared" si="111"/>
        <v>4.2425593626159408</v>
      </c>
      <c r="BS31" s="957">
        <f t="shared" si="111"/>
        <v>4.2425593626159408</v>
      </c>
      <c r="BT31" s="957">
        <f t="shared" si="111"/>
        <v>4.2425593626159408</v>
      </c>
      <c r="BU31" s="957">
        <f t="shared" si="111"/>
        <v>4.2425593626159408</v>
      </c>
      <c r="BV31" s="957">
        <f t="shared" si="111"/>
        <v>4.2425593626159408</v>
      </c>
      <c r="BW31" s="1388">
        <f>+BV31*BW$137/BV$137</f>
        <v>4.2527568062628252</v>
      </c>
      <c r="BX31" s="1388">
        <f t="shared" ref="BX31:CZ31" si="112">+BW31*BX$137/BW$137</f>
        <v>4.2629787605524712</v>
      </c>
      <c r="BY31" s="1388">
        <f t="shared" si="112"/>
        <v>4.2732252843988219</v>
      </c>
      <c r="BZ31" s="1388">
        <f t="shared" si="112"/>
        <v>4.2834964368574244</v>
      </c>
      <c r="CA31" s="1388">
        <f t="shared" si="112"/>
        <v>4.2937922771257746</v>
      </c>
      <c r="CB31" s="1388">
        <f t="shared" si="112"/>
        <v>4.302804903291757</v>
      </c>
      <c r="CC31" s="1388">
        <f t="shared" si="112"/>
        <v>4.3118364468680763</v>
      </c>
      <c r="CD31" s="1388">
        <f t="shared" si="112"/>
        <v>4.3208869475621841</v>
      </c>
      <c r="CE31" s="1388">
        <f t="shared" si="112"/>
        <v>4.3299564451648767</v>
      </c>
      <c r="CF31" s="1388">
        <f t="shared" si="112"/>
        <v>4.3390449795504713</v>
      </c>
      <c r="CG31" s="1388">
        <f t="shared" si="112"/>
        <v>4.3502256342328796</v>
      </c>
      <c r="CH31" s="1388">
        <f t="shared" si="112"/>
        <v>4.361435098720146</v>
      </c>
      <c r="CI31" s="1388">
        <f t="shared" si="112"/>
        <v>4.3726734472480695</v>
      </c>
      <c r="CJ31" s="1388">
        <f t="shared" si="112"/>
        <v>4.3839407542437394</v>
      </c>
      <c r="CK31" s="1388">
        <f t="shared" si="112"/>
        <v>4.3952370943260251</v>
      </c>
      <c r="CL31" s="1388">
        <f t="shared" si="112"/>
        <v>4.4046447412304142</v>
      </c>
      <c r="CM31" s="1388">
        <f t="shared" si="112"/>
        <v>4.4140725244365262</v>
      </c>
      <c r="CN31" s="1388">
        <f t="shared" si="112"/>
        <v>4.4235204870444758</v>
      </c>
      <c r="CO31" s="1388">
        <f t="shared" si="112"/>
        <v>4.4329886722466272</v>
      </c>
      <c r="CP31" s="1388">
        <f t="shared" si="112"/>
        <v>4.4424771233277953</v>
      </c>
      <c r="CQ31" s="1388">
        <f t="shared" si="112"/>
        <v>4.4511618127714661</v>
      </c>
      <c r="CR31" s="1388">
        <f t="shared" si="112"/>
        <v>4.4598634800922632</v>
      </c>
      <c r="CS31" s="1388">
        <f t="shared" si="112"/>
        <v>4.4685821584805847</v>
      </c>
      <c r="CT31" s="1388">
        <f t="shared" si="112"/>
        <v>4.4773178811917154</v>
      </c>
      <c r="CU31" s="1388">
        <f t="shared" si="112"/>
        <v>4.486070681545951</v>
      </c>
      <c r="CV31" s="1388">
        <f t="shared" si="112"/>
        <v>4.4964044657748525</v>
      </c>
      <c r="CW31" s="1388">
        <f t="shared" si="112"/>
        <v>4.5067620541531026</v>
      </c>
      <c r="CX31" s="1388">
        <f t="shared" si="112"/>
        <v>4.5171435015141972</v>
      </c>
      <c r="CY31" s="1388">
        <f t="shared" si="112"/>
        <v>4.5275488628179446</v>
      </c>
      <c r="CZ31" s="1388">
        <f t="shared" si="112"/>
        <v>4.537978193150753</v>
      </c>
    </row>
    <row r="32" spans="1:104" x14ac:dyDescent="0.25">
      <c r="A32" s="962" t="str">
        <f>'HyARC Physical Property Data'!A79</f>
        <v>Electric Utility Steam Coal</v>
      </c>
      <c r="B32" s="260">
        <v>2011</v>
      </c>
      <c r="C32" s="869">
        <f>VLOOKUP(ref_year,DeflatorTable,2,FALSE)/VLOOKUP(B32,DeflatorTable,2,FALSE)</f>
        <v>1.0784554773635862</v>
      </c>
      <c r="D32" s="1247" t="str">
        <f>+'HyARC Physical Property Data'!$H$79</f>
        <v>kg</v>
      </c>
      <c r="E32" s="895" t="s">
        <v>1053</v>
      </c>
      <c r="F32" s="260">
        <f>'HyARC Physical Property Data'!E42</f>
        <v>22.7322030001394</v>
      </c>
      <c r="G32" s="260">
        <f>'HyARC Physical Property Data'!I42</f>
        <v>23.967615189707661</v>
      </c>
      <c r="H32" s="1056">
        <v>1.7344499599167666</v>
      </c>
      <c r="I32" s="1056">
        <v>1.7344499599167666</v>
      </c>
      <c r="J32" s="1056">
        <v>1.7344499599167666</v>
      </c>
      <c r="K32" s="1056">
        <v>1.7788973636542149</v>
      </c>
      <c r="L32" s="1056">
        <v>1.9298772179141501</v>
      </c>
      <c r="M32" s="1056">
        <v>1.9810774561110811</v>
      </c>
      <c r="N32" s="260">
        <f t="shared" ref="N32:AR32" si="113">N50*($C32/mmBTU_to_GJ*$G32/$F32)</f>
        <v>2.4767433408545654</v>
      </c>
      <c r="O32" s="260">
        <f t="shared" si="113"/>
        <v>2.5651337544408896</v>
      </c>
      <c r="P32" s="260">
        <f t="shared" si="113"/>
        <v>2.592373750453385</v>
      </c>
      <c r="Q32" s="260">
        <f t="shared" si="113"/>
        <v>2.5186929778253004</v>
      </c>
      <c r="R32" s="260">
        <f t="shared" si="113"/>
        <v>2.5813167306269946</v>
      </c>
      <c r="S32" s="260">
        <f t="shared" si="113"/>
        <v>2.582493674349621</v>
      </c>
      <c r="T32" s="260">
        <f t="shared" si="113"/>
        <v>2.6495298883238707</v>
      </c>
      <c r="U32" s="260">
        <f t="shared" si="113"/>
        <v>2.6645951990883976</v>
      </c>
      <c r="V32" s="260">
        <f t="shared" si="113"/>
        <v>2.6731948638895253</v>
      </c>
      <c r="W32" s="260">
        <f t="shared" si="113"/>
        <v>2.6770339422228524</v>
      </c>
      <c r="X32" s="260">
        <f t="shared" si="113"/>
        <v>2.7117742599988581</v>
      </c>
      <c r="Y32" s="260">
        <f t="shared" si="113"/>
        <v>2.7445379158817356</v>
      </c>
      <c r="Z32" s="260">
        <f t="shared" si="113"/>
        <v>2.7930415773737955</v>
      </c>
      <c r="AA32" s="260">
        <f t="shared" si="113"/>
        <v>2.8325090702115565</v>
      </c>
      <c r="AB32" s="260">
        <f t="shared" si="113"/>
        <v>2.8662642904028734</v>
      </c>
      <c r="AC32" s="260">
        <f t="shared" si="113"/>
        <v>2.9010186194136725</v>
      </c>
      <c r="AD32" s="260">
        <f t="shared" si="113"/>
        <v>2.940829926397512</v>
      </c>
      <c r="AE32" s="260">
        <f t="shared" si="113"/>
        <v>2.9767170098519729</v>
      </c>
      <c r="AF32" s="260">
        <f t="shared" si="113"/>
        <v>3.0091724185694009</v>
      </c>
      <c r="AG32" s="260">
        <f t="shared" si="113"/>
        <v>3.0482659192169139</v>
      </c>
      <c r="AH32" s="260">
        <f t="shared" si="113"/>
        <v>3.0901131663949291</v>
      </c>
      <c r="AI32" s="260">
        <f t="shared" si="113"/>
        <v>3.1223497842921248</v>
      </c>
      <c r="AJ32" s="260">
        <f t="shared" si="113"/>
        <v>3.1512808285654264</v>
      </c>
      <c r="AK32" s="260">
        <f t="shared" si="113"/>
        <v>3.1840250842770517</v>
      </c>
      <c r="AL32" s="260">
        <f t="shared" si="113"/>
        <v>3.2199865350546464</v>
      </c>
      <c r="AM32" s="260">
        <f t="shared" si="113"/>
        <v>3.2659164404939314</v>
      </c>
      <c r="AN32" s="260">
        <f t="shared" si="113"/>
        <v>3.3055854795552553</v>
      </c>
      <c r="AO32" s="260">
        <f t="shared" si="113"/>
        <v>3.3425050832352436</v>
      </c>
      <c r="AP32" s="260">
        <f t="shared" si="113"/>
        <v>3.3788577707997551</v>
      </c>
      <c r="AQ32" s="260">
        <f t="shared" si="113"/>
        <v>3.4165792482248296</v>
      </c>
      <c r="AR32" s="260">
        <f t="shared" si="113"/>
        <v>3.4505834372805482</v>
      </c>
      <c r="AS32" s="260">
        <f t="shared" ref="AS32:BA32" si="114">($BB32-$AR32)/10+AR32</f>
        <v>3.4478678685678643</v>
      </c>
      <c r="AT32" s="260">
        <f t="shared" si="114"/>
        <v>3.44515229985518</v>
      </c>
      <c r="AU32" s="260">
        <f t="shared" si="114"/>
        <v>3.4424367311424957</v>
      </c>
      <c r="AV32" s="260">
        <f t="shared" si="114"/>
        <v>3.4397211624298114</v>
      </c>
      <c r="AW32" s="260">
        <f t="shared" si="114"/>
        <v>3.4370055937171271</v>
      </c>
      <c r="AX32" s="260">
        <f t="shared" si="114"/>
        <v>3.4342900250044428</v>
      </c>
      <c r="AY32" s="260">
        <f t="shared" si="114"/>
        <v>3.4315744562917585</v>
      </c>
      <c r="AZ32" s="260">
        <f t="shared" si="114"/>
        <v>3.4288588875790742</v>
      </c>
      <c r="BA32" s="260">
        <f t="shared" si="114"/>
        <v>3.4261433188663899</v>
      </c>
      <c r="BB32" s="931">
        <f>('AEO Data'!$B$28*AM32)</f>
        <v>3.4234277501537074</v>
      </c>
      <c r="BC32" s="260">
        <f>(($BQ$32-$BB$32)/15+BB32)</f>
        <v>3.435442052510095</v>
      </c>
      <c r="BD32" s="260">
        <f t="shared" ref="BD32:BP32" si="115">(($BQ$32-$BB$32)/15+BC32)</f>
        <v>3.4474563548664827</v>
      </c>
      <c r="BE32" s="260">
        <f t="shared" si="115"/>
        <v>3.4594706572228704</v>
      </c>
      <c r="BF32" s="260">
        <f t="shared" si="115"/>
        <v>3.4714849595792581</v>
      </c>
      <c r="BG32" s="260">
        <f t="shared" si="115"/>
        <v>3.4834992619356457</v>
      </c>
      <c r="BH32" s="260">
        <f t="shared" si="115"/>
        <v>3.4955135642920334</v>
      </c>
      <c r="BI32" s="260">
        <f t="shared" si="115"/>
        <v>3.5075278666484211</v>
      </c>
      <c r="BJ32" s="260">
        <f t="shared" si="115"/>
        <v>3.5195421690048088</v>
      </c>
      <c r="BK32" s="260">
        <f t="shared" si="115"/>
        <v>3.5315564713611964</v>
      </c>
      <c r="BL32" s="260">
        <f t="shared" si="115"/>
        <v>3.5435707737175841</v>
      </c>
      <c r="BM32" s="260">
        <f t="shared" si="115"/>
        <v>3.5555850760739718</v>
      </c>
      <c r="BN32" s="260">
        <f t="shared" si="115"/>
        <v>3.5675993784303595</v>
      </c>
      <c r="BO32" s="260">
        <f t="shared" si="115"/>
        <v>3.5796136807867471</v>
      </c>
      <c r="BP32" s="260">
        <f t="shared" si="115"/>
        <v>3.5916279831431348</v>
      </c>
      <c r="BQ32" s="931">
        <f>('AEO Data'!$C$28*BB32)</f>
        <v>3.6036422854995251</v>
      </c>
      <c r="BR32" s="260">
        <f>(($BV$32-$BQ$32)/5+BQ32)</f>
        <v>3.6151952056451568</v>
      </c>
      <c r="BS32" s="260">
        <f>(($BV$32-$BQ$32)/5+BR32)</f>
        <v>3.6267481257907885</v>
      </c>
      <c r="BT32" s="260">
        <f>(($BV$32-$BQ$32)/5+BS32)</f>
        <v>3.6383010459364202</v>
      </c>
      <c r="BU32" s="260">
        <f>(($BV$32-$BQ$32)/5+BT32)</f>
        <v>3.6498539660820519</v>
      </c>
      <c r="BV32" s="955">
        <f>('AEO Data'!$D$28*BQ32)</f>
        <v>3.6614068862276832</v>
      </c>
      <c r="BW32" s="1388">
        <f>+BV32*BW$138/BV$138</f>
        <v>3.6737859390461725</v>
      </c>
      <c r="BX32" s="1388">
        <f t="shared" ref="BX32:CZ32" si="116">+BW32*BX$138/BW$138</f>
        <v>3.6862068448882255</v>
      </c>
      <c r="BY32" s="1388">
        <f t="shared" si="116"/>
        <v>3.6986697452570407</v>
      </c>
      <c r="BZ32" s="1388">
        <f t="shared" si="116"/>
        <v>3.7111747821342336</v>
      </c>
      <c r="CA32" s="1388">
        <f t="shared" si="116"/>
        <v>3.7237220979814545</v>
      </c>
      <c r="CB32" s="1388">
        <f t="shared" si="116"/>
        <v>3.7343836989714818</v>
      </c>
      <c r="CC32" s="1388">
        <f t="shared" si="116"/>
        <v>3.7450758257990131</v>
      </c>
      <c r="CD32" s="1388">
        <f t="shared" si="116"/>
        <v>3.7557985658643127</v>
      </c>
      <c r="CE32" s="1388">
        <f t="shared" si="116"/>
        <v>3.766552006817887</v>
      </c>
      <c r="CF32" s="1388">
        <f t="shared" si="116"/>
        <v>3.7773362365611991</v>
      </c>
      <c r="CG32" s="1388">
        <f t="shared" si="116"/>
        <v>3.7855700072018039</v>
      </c>
      <c r="CH32" s="1388">
        <f t="shared" si="116"/>
        <v>3.7938217256698499</v>
      </c>
      <c r="CI32" s="1388">
        <f t="shared" si="116"/>
        <v>3.8020914310876934</v>
      </c>
      <c r="CJ32" s="1388">
        <f t="shared" si="116"/>
        <v>3.8103791626629699</v>
      </c>
      <c r="CK32" s="1388">
        <f t="shared" si="116"/>
        <v>3.818684959688778</v>
      </c>
      <c r="CL32" s="1388">
        <f t="shared" si="116"/>
        <v>3.8243155975254672</v>
      </c>
      <c r="CM32" s="1388">
        <f t="shared" si="116"/>
        <v>3.8299545377182778</v>
      </c>
      <c r="CN32" s="1388">
        <f t="shared" si="116"/>
        <v>3.8356017925090047</v>
      </c>
      <c r="CO32" s="1388">
        <f t="shared" si="116"/>
        <v>3.841257374157494</v>
      </c>
      <c r="CP32" s="1388">
        <f t="shared" si="116"/>
        <v>3.846921294941668</v>
      </c>
      <c r="CQ32" s="1388">
        <f t="shared" si="116"/>
        <v>3.8488180534393406</v>
      </c>
      <c r="CR32" s="1388">
        <f t="shared" si="116"/>
        <v>3.8507157471505309</v>
      </c>
      <c r="CS32" s="1388">
        <f t="shared" si="116"/>
        <v>3.852614376536355</v>
      </c>
      <c r="CT32" s="1388">
        <f t="shared" si="116"/>
        <v>3.8545139420581549</v>
      </c>
      <c r="CU32" s="1388">
        <f t="shared" si="116"/>
        <v>3.8564144441775015</v>
      </c>
      <c r="CV32" s="1388">
        <f t="shared" si="116"/>
        <v>3.853683012772128</v>
      </c>
      <c r="CW32" s="1388">
        <f t="shared" si="116"/>
        <v>3.8509535159922028</v>
      </c>
      <c r="CX32" s="1388">
        <f t="shared" si="116"/>
        <v>3.8482259524674642</v>
      </c>
      <c r="CY32" s="1388">
        <f t="shared" si="116"/>
        <v>3.8455003208286209</v>
      </c>
      <c r="CZ32" s="1388">
        <f t="shared" si="116"/>
        <v>3.8427766197073518</v>
      </c>
    </row>
    <row r="33" spans="1:106" x14ac:dyDescent="0.25">
      <c r="A33" s="956" t="str">
        <f>'HyARC Physical Property Data'!A76</f>
        <v>Commercial Electricity</v>
      </c>
      <c r="B33" s="260">
        <v>2011</v>
      </c>
      <c r="C33" s="869">
        <f t="shared" si="99"/>
        <v>1.0784554773635862</v>
      </c>
      <c r="D33" s="1247" t="str">
        <f>'HyARC Physical Property Data'!$H$76</f>
        <v>kWh</v>
      </c>
      <c r="E33" s="869" t="s">
        <v>1072</v>
      </c>
      <c r="F33" s="869"/>
      <c r="G33" s="869"/>
      <c r="H33" s="1056">
        <v>26.896922396257633</v>
      </c>
      <c r="I33" s="1056">
        <v>26.896922396257633</v>
      </c>
      <c r="J33" s="1056">
        <v>26.896922396257633</v>
      </c>
      <c r="K33" s="1056">
        <v>26.568469730033652</v>
      </c>
      <c r="L33" s="1056">
        <v>27.542479456318485</v>
      </c>
      <c r="M33" s="1056">
        <v>26.167555894896875</v>
      </c>
      <c r="N33" s="260">
        <f t="shared" ref="N33:AR33" si="117">(N51/(mmBTU_to_GJ))*($C33)</f>
        <v>31.170510750229255</v>
      </c>
      <c r="O33" s="260">
        <f t="shared" si="117"/>
        <v>30.647202241072566</v>
      </c>
      <c r="P33" s="260">
        <f t="shared" si="117"/>
        <v>29.096288196984492</v>
      </c>
      <c r="Q33" s="260">
        <f t="shared" si="117"/>
        <v>28.387905483352725</v>
      </c>
      <c r="R33" s="260">
        <f t="shared" si="117"/>
        <v>28.463304343594306</v>
      </c>
      <c r="S33" s="260">
        <f t="shared" si="117"/>
        <v>28.350595012766668</v>
      </c>
      <c r="T33" s="260">
        <f t="shared" si="117"/>
        <v>28.857908647179944</v>
      </c>
      <c r="U33" s="260">
        <f t="shared" si="117"/>
        <v>29.151791342575894</v>
      </c>
      <c r="V33" s="260">
        <f t="shared" si="117"/>
        <v>29.281852050913265</v>
      </c>
      <c r="W33" s="260">
        <f t="shared" si="117"/>
        <v>29.2121521378625</v>
      </c>
      <c r="X33" s="260">
        <f t="shared" si="117"/>
        <v>29.201670163962135</v>
      </c>
      <c r="Y33" s="260">
        <f t="shared" si="117"/>
        <v>29.313283661356845</v>
      </c>
      <c r="Z33" s="260">
        <f t="shared" si="117"/>
        <v>29.301901100465429</v>
      </c>
      <c r="AA33" s="260">
        <f t="shared" si="117"/>
        <v>29.26493001112912</v>
      </c>
      <c r="AB33" s="260">
        <f t="shared" si="117"/>
        <v>29.269341967375848</v>
      </c>
      <c r="AC33" s="260">
        <f t="shared" si="117"/>
        <v>29.119158608733361</v>
      </c>
      <c r="AD33" s="260">
        <f t="shared" si="117"/>
        <v>29.009605932421458</v>
      </c>
      <c r="AE33" s="260">
        <f t="shared" si="117"/>
        <v>29.000424238490005</v>
      </c>
      <c r="AF33" s="260">
        <f t="shared" si="117"/>
        <v>29.116216623080415</v>
      </c>
      <c r="AG33" s="260">
        <f t="shared" si="117"/>
        <v>29.212683698856079</v>
      </c>
      <c r="AH33" s="260">
        <f t="shared" si="117"/>
        <v>29.289319460640414</v>
      </c>
      <c r="AI33" s="260">
        <f t="shared" si="117"/>
        <v>29.420953385072249</v>
      </c>
      <c r="AJ33" s="260">
        <f t="shared" si="117"/>
        <v>29.555370849091627</v>
      </c>
      <c r="AK33" s="260">
        <f t="shared" si="117"/>
        <v>29.728290707001914</v>
      </c>
      <c r="AL33" s="260">
        <f t="shared" si="117"/>
        <v>29.921887265329854</v>
      </c>
      <c r="AM33" s="260">
        <f t="shared" si="117"/>
        <v>30.317863405172005</v>
      </c>
      <c r="AN33" s="260">
        <f t="shared" si="117"/>
        <v>30.770945551447749</v>
      </c>
      <c r="AO33" s="260">
        <f t="shared" si="117"/>
        <v>31.181233971042094</v>
      </c>
      <c r="AP33" s="260">
        <f t="shared" si="117"/>
        <v>31.632038582906873</v>
      </c>
      <c r="AQ33" s="260">
        <f t="shared" si="117"/>
        <v>32.176370329359735</v>
      </c>
      <c r="AR33" s="260">
        <f t="shared" si="117"/>
        <v>32.452971159068191</v>
      </c>
      <c r="AS33" s="260">
        <f t="shared" ref="AS33:BA33" si="118">($BB33-$AR33)/10+AR33</f>
        <v>32.16388259843756</v>
      </c>
      <c r="AT33" s="260">
        <f t="shared" si="118"/>
        <v>31.874794037806929</v>
      </c>
      <c r="AU33" s="260">
        <f t="shared" si="118"/>
        <v>31.585705477176298</v>
      </c>
      <c r="AV33" s="260">
        <f t="shared" si="118"/>
        <v>31.296616916545666</v>
      </c>
      <c r="AW33" s="260">
        <f t="shared" si="118"/>
        <v>31.007528355915035</v>
      </c>
      <c r="AX33" s="260">
        <f t="shared" si="118"/>
        <v>30.718439795284404</v>
      </c>
      <c r="AY33" s="260">
        <f t="shared" si="118"/>
        <v>30.429351234653772</v>
      </c>
      <c r="AZ33" s="260">
        <f t="shared" si="118"/>
        <v>30.140262674023141</v>
      </c>
      <c r="BA33" s="260">
        <f t="shared" si="118"/>
        <v>29.85117411339251</v>
      </c>
      <c r="BB33" s="931">
        <f>'AEO Data'!$B$33*AM33</f>
        <v>29.562085552761868</v>
      </c>
      <c r="BC33" s="260">
        <f t="shared" ref="BC33:BP33" si="119">($BQ33-$BB33)/15+BB33</f>
        <v>29.579309127727463</v>
      </c>
      <c r="BD33" s="260">
        <f t="shared" si="119"/>
        <v>29.596532702693057</v>
      </c>
      <c r="BE33" s="260">
        <f t="shared" si="119"/>
        <v>29.613756277658652</v>
      </c>
      <c r="BF33" s="260">
        <f t="shared" si="119"/>
        <v>29.630979852624247</v>
      </c>
      <c r="BG33" s="260">
        <f t="shared" si="119"/>
        <v>29.648203427589841</v>
      </c>
      <c r="BH33" s="260">
        <f t="shared" si="119"/>
        <v>29.665427002555436</v>
      </c>
      <c r="BI33" s="260">
        <f t="shared" si="119"/>
        <v>29.682650577521031</v>
      </c>
      <c r="BJ33" s="260">
        <f t="shared" si="119"/>
        <v>29.699874152486625</v>
      </c>
      <c r="BK33" s="260">
        <f t="shared" si="119"/>
        <v>29.71709772745222</v>
      </c>
      <c r="BL33" s="260">
        <f t="shared" si="119"/>
        <v>29.734321302417815</v>
      </c>
      <c r="BM33" s="260">
        <f t="shared" si="119"/>
        <v>29.751544877383409</v>
      </c>
      <c r="BN33" s="260">
        <f t="shared" si="119"/>
        <v>29.768768452349004</v>
      </c>
      <c r="BO33" s="260">
        <f t="shared" si="119"/>
        <v>29.785992027314599</v>
      </c>
      <c r="BP33" s="260">
        <f t="shared" si="119"/>
        <v>29.803215602280194</v>
      </c>
      <c r="BQ33" s="931">
        <f>'AEO Data'!$C$33*BB33</f>
        <v>29.82043917724577</v>
      </c>
      <c r="BR33" s="260">
        <f t="shared" ref="BR33:BU35" si="120">($BV33-$BQ33)/5+BQ33</f>
        <v>29.800359578005001</v>
      </c>
      <c r="BS33" s="260">
        <f t="shared" si="120"/>
        <v>29.780279978764231</v>
      </c>
      <c r="BT33" s="260">
        <f t="shared" si="120"/>
        <v>29.760200379523461</v>
      </c>
      <c r="BU33" s="260">
        <f t="shared" si="120"/>
        <v>29.740120780282691</v>
      </c>
      <c r="BV33" s="955">
        <f>'AEO Data'!$D$33*BQ33</f>
        <v>29.720041181041928</v>
      </c>
      <c r="BW33" s="1388">
        <f>+BV33*BW$139/BV$139</f>
        <v>29.706955334848292</v>
      </c>
      <c r="BX33" s="1388">
        <f t="shared" ref="BX33:CZ33" si="121">+BW33*BX$139/BW$139</f>
        <v>29.693875250402076</v>
      </c>
      <c r="BY33" s="1388">
        <f t="shared" si="121"/>
        <v>29.680800925166359</v>
      </c>
      <c r="BZ33" s="1388">
        <f t="shared" si="121"/>
        <v>29.667732356605345</v>
      </c>
      <c r="CA33" s="1388">
        <f t="shared" si="121"/>
        <v>29.654669542184347</v>
      </c>
      <c r="CB33" s="1388">
        <f t="shared" si="121"/>
        <v>29.630916614985676</v>
      </c>
      <c r="CC33" s="1388">
        <f t="shared" si="121"/>
        <v>29.607182713510749</v>
      </c>
      <c r="CD33" s="1388">
        <f t="shared" si="121"/>
        <v>29.583467822520262</v>
      </c>
      <c r="CE33" s="1388">
        <f t="shared" si="121"/>
        <v>29.559771926787111</v>
      </c>
      <c r="CF33" s="1388">
        <f t="shared" si="121"/>
        <v>29.536095011096396</v>
      </c>
      <c r="CG33" s="1388">
        <f t="shared" si="121"/>
        <v>29.503478732865982</v>
      </c>
      <c r="CH33" s="1388">
        <f t="shared" si="121"/>
        <v>29.470898472315131</v>
      </c>
      <c r="CI33" s="1388">
        <f t="shared" si="121"/>
        <v>29.438354189670047</v>
      </c>
      <c r="CJ33" s="1388">
        <f t="shared" si="121"/>
        <v>29.405845845200851</v>
      </c>
      <c r="CK33" s="1388">
        <f t="shared" si="121"/>
        <v>29.373373399221538</v>
      </c>
      <c r="CL33" s="1388">
        <f t="shared" si="121"/>
        <v>29.33797049714088</v>
      </c>
      <c r="CM33" s="1388">
        <f t="shared" si="121"/>
        <v>29.302610265183901</v>
      </c>
      <c r="CN33" s="1388">
        <f t="shared" si="121"/>
        <v>29.267292651921498</v>
      </c>
      <c r="CO33" s="1388">
        <f t="shared" si="121"/>
        <v>29.232017605986552</v>
      </c>
      <c r="CP33" s="1388">
        <f t="shared" si="121"/>
        <v>29.196785076073859</v>
      </c>
      <c r="CQ33" s="1388">
        <f t="shared" si="121"/>
        <v>29.155976606392862</v>
      </c>
      <c r="CR33" s="1388">
        <f t="shared" si="121"/>
        <v>29.115225174882106</v>
      </c>
      <c r="CS33" s="1388">
        <f t="shared" si="121"/>
        <v>29.074530701819103</v>
      </c>
      <c r="CT33" s="1388">
        <f t="shared" si="121"/>
        <v>29.033893107592792</v>
      </c>
      <c r="CU33" s="1388">
        <f t="shared" si="121"/>
        <v>28.993312312703377</v>
      </c>
      <c r="CV33" s="1388">
        <f t="shared" si="121"/>
        <v>28.95369823223389</v>
      </c>
      <c r="CW33" s="1388">
        <f t="shared" si="121"/>
        <v>28.914138277190098</v>
      </c>
      <c r="CX33" s="1388">
        <f t="shared" si="121"/>
        <v>28.874632373619477</v>
      </c>
      <c r="CY33" s="1388">
        <f t="shared" si="121"/>
        <v>28.835180447670528</v>
      </c>
      <c r="CZ33" s="1388">
        <f t="shared" si="121"/>
        <v>28.795782425592659</v>
      </c>
    </row>
    <row r="34" spans="1:106" x14ac:dyDescent="0.25">
      <c r="A34" s="956" t="str">
        <f>'HyARC Physical Property Data'!A77</f>
        <v>Industrial Electricity</v>
      </c>
      <c r="B34" s="260">
        <v>2011</v>
      </c>
      <c r="C34" s="869">
        <f t="shared" si="99"/>
        <v>1.0784554773635862</v>
      </c>
      <c r="D34" s="1235" t="str">
        <f>'HyARC Physical Property Data'!$H$77</f>
        <v>kWh</v>
      </c>
      <c r="E34" s="869" t="s">
        <v>1072</v>
      </c>
      <c r="F34" s="869"/>
      <c r="G34" s="869"/>
      <c r="H34" s="1056">
        <v>17.44160584363896</v>
      </c>
      <c r="I34" s="1056">
        <v>17.44160584363896</v>
      </c>
      <c r="J34" s="1056">
        <v>17.44160584363896</v>
      </c>
      <c r="K34" s="1056">
        <v>17.651840860809763</v>
      </c>
      <c r="L34" s="1056">
        <v>19.274322003549859</v>
      </c>
      <c r="M34" s="1056">
        <v>18.160650967421709</v>
      </c>
      <c r="N34" s="260">
        <f t="shared" ref="N34:AR34" si="122">(N52/(mmBTU_to_GJ))*($C34)</f>
        <v>20.71088694517794</v>
      </c>
      <c r="O34" s="260">
        <f t="shared" si="122"/>
        <v>20.419854234493727</v>
      </c>
      <c r="P34" s="260">
        <f t="shared" si="122"/>
        <v>18.84589804356655</v>
      </c>
      <c r="Q34" s="260">
        <f t="shared" si="122"/>
        <v>18.546331734469991</v>
      </c>
      <c r="R34" s="260">
        <f t="shared" si="122"/>
        <v>18.447325432717289</v>
      </c>
      <c r="S34" s="260">
        <f t="shared" si="122"/>
        <v>18.282111164748592</v>
      </c>
      <c r="T34" s="260">
        <f t="shared" si="122"/>
        <v>18.776485377898855</v>
      </c>
      <c r="U34" s="260">
        <f t="shared" si="122"/>
        <v>19.0506124045218</v>
      </c>
      <c r="V34" s="260">
        <f t="shared" si="122"/>
        <v>19.200702739990415</v>
      </c>
      <c r="W34" s="260">
        <f t="shared" si="122"/>
        <v>19.143487354660063</v>
      </c>
      <c r="X34" s="260">
        <f t="shared" si="122"/>
        <v>19.136493238663739</v>
      </c>
      <c r="Y34" s="260">
        <f t="shared" si="122"/>
        <v>19.273625752681113</v>
      </c>
      <c r="Z34" s="260">
        <f t="shared" si="122"/>
        <v>19.383161051037455</v>
      </c>
      <c r="AA34" s="260">
        <f t="shared" si="122"/>
        <v>19.514271592337145</v>
      </c>
      <c r="AB34" s="260">
        <f t="shared" si="122"/>
        <v>19.584716713011606</v>
      </c>
      <c r="AC34" s="260">
        <f t="shared" si="122"/>
        <v>19.608427400023405</v>
      </c>
      <c r="AD34" s="260">
        <f t="shared" si="122"/>
        <v>19.702865343929336</v>
      </c>
      <c r="AE34" s="260">
        <f t="shared" si="122"/>
        <v>19.792952665549336</v>
      </c>
      <c r="AF34" s="260">
        <f t="shared" si="122"/>
        <v>19.899804603120767</v>
      </c>
      <c r="AG34" s="260">
        <f t="shared" si="122"/>
        <v>20.04636516914546</v>
      </c>
      <c r="AH34" s="260">
        <f t="shared" si="122"/>
        <v>20.164927804298578</v>
      </c>
      <c r="AI34" s="260">
        <f t="shared" si="122"/>
        <v>20.308580118348768</v>
      </c>
      <c r="AJ34" s="260">
        <f t="shared" si="122"/>
        <v>20.474707240100674</v>
      </c>
      <c r="AK34" s="260">
        <f t="shared" si="122"/>
        <v>20.654018096726102</v>
      </c>
      <c r="AL34" s="260">
        <f t="shared" si="122"/>
        <v>20.882864304557295</v>
      </c>
      <c r="AM34" s="260">
        <f t="shared" si="122"/>
        <v>21.257348002303171</v>
      </c>
      <c r="AN34" s="260">
        <f t="shared" si="122"/>
        <v>21.736726062038347</v>
      </c>
      <c r="AO34" s="260">
        <f t="shared" si="122"/>
        <v>22.152611205555505</v>
      </c>
      <c r="AP34" s="260">
        <f t="shared" si="122"/>
        <v>22.558073664667731</v>
      </c>
      <c r="AQ34" s="260">
        <f t="shared" si="122"/>
        <v>22.988629891607754</v>
      </c>
      <c r="AR34" s="260">
        <f t="shared" si="122"/>
        <v>23.250100655420045</v>
      </c>
      <c r="AS34" s="260">
        <f t="shared" ref="AS34:BA34" si="123">($BB34-$AR34)/10+AR34</f>
        <v>22.997834080640374</v>
      </c>
      <c r="AT34" s="260">
        <f t="shared" si="123"/>
        <v>22.745567505860702</v>
      </c>
      <c r="AU34" s="260">
        <f t="shared" si="123"/>
        <v>22.493300931081031</v>
      </c>
      <c r="AV34" s="260">
        <f t="shared" si="123"/>
        <v>22.241034356301359</v>
      </c>
      <c r="AW34" s="260">
        <f t="shared" si="123"/>
        <v>21.988767781521688</v>
      </c>
      <c r="AX34" s="260">
        <f t="shared" si="123"/>
        <v>21.736501206742016</v>
      </c>
      <c r="AY34" s="260">
        <f t="shared" si="123"/>
        <v>21.484234631962345</v>
      </c>
      <c r="AZ34" s="260">
        <f t="shared" si="123"/>
        <v>21.231968057182673</v>
      </c>
      <c r="BA34" s="260">
        <f t="shared" si="123"/>
        <v>20.979701482403001</v>
      </c>
      <c r="BB34" s="931">
        <f>'AEO Data'!$B$33*AM34</f>
        <v>20.727434907623323</v>
      </c>
      <c r="BC34" s="260">
        <f t="shared" ref="BC34:BP34" si="124">($BQ34-$BB34)/15+BB34</f>
        <v>20.739511204755296</v>
      </c>
      <c r="BD34" s="260">
        <f t="shared" si="124"/>
        <v>20.751587501887268</v>
      </c>
      <c r="BE34" s="260">
        <f t="shared" si="124"/>
        <v>20.763663799019241</v>
      </c>
      <c r="BF34" s="260">
        <f t="shared" si="124"/>
        <v>20.775740096151214</v>
      </c>
      <c r="BG34" s="260">
        <f t="shared" si="124"/>
        <v>20.787816393283187</v>
      </c>
      <c r="BH34" s="260">
        <f t="shared" si="124"/>
        <v>20.79989269041516</v>
      </c>
      <c r="BI34" s="260">
        <f t="shared" si="124"/>
        <v>20.811968987547132</v>
      </c>
      <c r="BJ34" s="260">
        <f t="shared" si="124"/>
        <v>20.824045284679105</v>
      </c>
      <c r="BK34" s="260">
        <f t="shared" si="124"/>
        <v>20.836121581811078</v>
      </c>
      <c r="BL34" s="260">
        <f t="shared" si="124"/>
        <v>20.848197878943051</v>
      </c>
      <c r="BM34" s="260">
        <f t="shared" si="124"/>
        <v>20.860274176075023</v>
      </c>
      <c r="BN34" s="260">
        <f t="shared" si="124"/>
        <v>20.872350473206996</v>
      </c>
      <c r="BO34" s="260">
        <f t="shared" si="124"/>
        <v>20.884426770338969</v>
      </c>
      <c r="BP34" s="260">
        <f t="shared" si="124"/>
        <v>20.896503067470942</v>
      </c>
      <c r="BQ34" s="931">
        <f>'AEO Data'!$C$33*BB34</f>
        <v>20.908579364602893</v>
      </c>
      <c r="BR34" s="260">
        <f t="shared" si="120"/>
        <v>20.894500568115706</v>
      </c>
      <c r="BS34" s="260">
        <f t="shared" si="120"/>
        <v>20.880421771628519</v>
      </c>
      <c r="BT34" s="260">
        <f t="shared" si="120"/>
        <v>20.866342975141333</v>
      </c>
      <c r="BU34" s="260">
        <f t="shared" si="120"/>
        <v>20.852264178654146</v>
      </c>
      <c r="BV34" s="955">
        <f>'AEO Data'!$D$33*BQ34</f>
        <v>20.838185382166952</v>
      </c>
      <c r="BW34" s="1388">
        <f>+BV34*BW$140/BV$140</f>
        <v>20.844481841022439</v>
      </c>
      <c r="BX34" s="1388">
        <f t="shared" ref="BX34:CZ34" si="125">+BW34*BX$140/BW$140</f>
        <v>20.850780202413748</v>
      </c>
      <c r="BY34" s="1388">
        <f t="shared" si="125"/>
        <v>20.857080466915747</v>
      </c>
      <c r="BZ34" s="1388">
        <f t="shared" si="125"/>
        <v>20.863382635103481</v>
      </c>
      <c r="CA34" s="1388">
        <f t="shared" si="125"/>
        <v>20.869686707552159</v>
      </c>
      <c r="CB34" s="1388">
        <f t="shared" si="125"/>
        <v>20.867326506359717</v>
      </c>
      <c r="CC34" s="1388">
        <f t="shared" si="125"/>
        <v>20.864966572087891</v>
      </c>
      <c r="CD34" s="1388">
        <f t="shared" si="125"/>
        <v>20.862606904706492</v>
      </c>
      <c r="CE34" s="1388">
        <f t="shared" si="125"/>
        <v>20.860247504185345</v>
      </c>
      <c r="CF34" s="1388">
        <f t="shared" si="125"/>
        <v>20.857888370494265</v>
      </c>
      <c r="CG34" s="1388">
        <f t="shared" si="125"/>
        <v>20.848427047697971</v>
      </c>
      <c r="CH34" s="1388">
        <f t="shared" si="125"/>
        <v>20.838970016641447</v>
      </c>
      <c r="CI34" s="1388">
        <f t="shared" si="125"/>
        <v>20.829517275377921</v>
      </c>
      <c r="CJ34" s="1388">
        <f t="shared" si="125"/>
        <v>20.82006882196151</v>
      </c>
      <c r="CK34" s="1388">
        <f t="shared" si="125"/>
        <v>20.810624654447203</v>
      </c>
      <c r="CL34" s="1388">
        <f t="shared" si="125"/>
        <v>20.799038600799683</v>
      </c>
      <c r="CM34" s="1388">
        <f t="shared" si="125"/>
        <v>20.787458997541872</v>
      </c>
      <c r="CN34" s="1388">
        <f t="shared" si="125"/>
        <v>20.775885841082598</v>
      </c>
      <c r="CO34" s="1388">
        <f t="shared" si="125"/>
        <v>20.764319127832685</v>
      </c>
      <c r="CP34" s="1388">
        <f t="shared" si="125"/>
        <v>20.752758854204956</v>
      </c>
      <c r="CQ34" s="1388">
        <f t="shared" si="125"/>
        <v>20.736920704111466</v>
      </c>
      <c r="CR34" s="1388">
        <f t="shared" si="125"/>
        <v>20.721094641422845</v>
      </c>
      <c r="CS34" s="1388">
        <f t="shared" si="125"/>
        <v>20.705280656914191</v>
      </c>
      <c r="CT34" s="1388">
        <f t="shared" si="125"/>
        <v>20.689478741367644</v>
      </c>
      <c r="CU34" s="1388">
        <f t="shared" si="125"/>
        <v>20.673688885572378</v>
      </c>
      <c r="CV34" s="1388">
        <f t="shared" si="125"/>
        <v>20.658843427163145</v>
      </c>
      <c r="CW34" s="1388">
        <f t="shared" si="125"/>
        <v>20.644008629049544</v>
      </c>
      <c r="CX34" s="1388">
        <f t="shared" si="125"/>
        <v>20.629184483576587</v>
      </c>
      <c r="CY34" s="1388">
        <f t="shared" si="125"/>
        <v>20.614370983094769</v>
      </c>
      <c r="CZ34" s="1388">
        <f t="shared" si="125"/>
        <v>20.59956811996009</v>
      </c>
    </row>
    <row r="35" spans="1:106" ht="13.8" thickBot="1" x14ac:dyDescent="0.3">
      <c r="A35" s="959" t="str">
        <f>'HyARC Physical Property Data'!A78</f>
        <v>Residential Electricity</v>
      </c>
      <c r="B35" s="875">
        <v>2011</v>
      </c>
      <c r="C35" s="876">
        <f t="shared" si="99"/>
        <v>1.0784554773635862</v>
      </c>
      <c r="D35" s="1236" t="str">
        <f>'HyARC Physical Property Data'!$H$78</f>
        <v>kWh</v>
      </c>
      <c r="E35" s="876" t="s">
        <v>1072</v>
      </c>
      <c r="F35" s="875"/>
      <c r="G35" s="875"/>
      <c r="H35" s="1058">
        <v>29.579885763014694</v>
      </c>
      <c r="I35" s="1058">
        <v>29.579885763014694</v>
      </c>
      <c r="J35" s="1058">
        <v>29.579885763014694</v>
      </c>
      <c r="K35" s="1058">
        <v>29.556357578078675</v>
      </c>
      <c r="L35" s="1058">
        <v>30.116416605727963</v>
      </c>
      <c r="M35" s="1058">
        <v>29.134443020933652</v>
      </c>
      <c r="N35" s="875">
        <f t="shared" ref="N35:AR35" si="126">(N53/(mmBTU_to_GJ))*($C35)</f>
        <v>35.290357875264071</v>
      </c>
      <c r="O35" s="875">
        <f t="shared" si="126"/>
        <v>35.099254542442559</v>
      </c>
      <c r="P35" s="875">
        <f t="shared" si="126"/>
        <v>34.006324250330664</v>
      </c>
      <c r="Q35" s="875">
        <f t="shared" si="126"/>
        <v>33.273068571129983</v>
      </c>
      <c r="R35" s="875">
        <f t="shared" si="126"/>
        <v>33.741332917168577</v>
      </c>
      <c r="S35" s="875">
        <f t="shared" si="126"/>
        <v>33.797427935481679</v>
      </c>
      <c r="T35" s="875">
        <f t="shared" si="126"/>
        <v>34.324839686615753</v>
      </c>
      <c r="U35" s="875">
        <f t="shared" si="126"/>
        <v>34.578308413009267</v>
      </c>
      <c r="V35" s="875">
        <f t="shared" si="126"/>
        <v>34.586867567238613</v>
      </c>
      <c r="W35" s="875">
        <f t="shared" si="126"/>
        <v>34.390554936680012</v>
      </c>
      <c r="X35" s="875">
        <f t="shared" si="126"/>
        <v>34.362805408349665</v>
      </c>
      <c r="Y35" s="875">
        <f t="shared" si="126"/>
        <v>34.407138617447096</v>
      </c>
      <c r="Z35" s="875">
        <f t="shared" si="126"/>
        <v>34.440296778887124</v>
      </c>
      <c r="AA35" s="875">
        <f t="shared" si="126"/>
        <v>34.452805840191871</v>
      </c>
      <c r="AB35" s="875">
        <f t="shared" si="126"/>
        <v>34.592323223051601</v>
      </c>
      <c r="AC35" s="875">
        <f t="shared" si="126"/>
        <v>34.714384960668241</v>
      </c>
      <c r="AD35" s="875">
        <f t="shared" si="126"/>
        <v>34.884790126185806</v>
      </c>
      <c r="AE35" s="875">
        <f t="shared" si="126"/>
        <v>35.027523453056702</v>
      </c>
      <c r="AF35" s="875">
        <f t="shared" si="126"/>
        <v>35.17875868912688</v>
      </c>
      <c r="AG35" s="875">
        <f t="shared" si="126"/>
        <v>35.278238284610403</v>
      </c>
      <c r="AH35" s="875">
        <f t="shared" si="126"/>
        <v>35.329988814033648</v>
      </c>
      <c r="AI35" s="875">
        <f t="shared" si="126"/>
        <v>35.457572652587459</v>
      </c>
      <c r="AJ35" s="875">
        <f t="shared" si="126"/>
        <v>35.581268940259363</v>
      </c>
      <c r="AK35" s="875">
        <f t="shared" si="126"/>
        <v>35.700168912196872</v>
      </c>
      <c r="AL35" s="875">
        <f t="shared" si="126"/>
        <v>35.86250559517147</v>
      </c>
      <c r="AM35" s="875">
        <f t="shared" si="126"/>
        <v>36.208798160069257</v>
      </c>
      <c r="AN35" s="875">
        <f t="shared" si="126"/>
        <v>36.632705785658793</v>
      </c>
      <c r="AO35" s="875">
        <f t="shared" si="126"/>
        <v>36.980264896847054</v>
      </c>
      <c r="AP35" s="875">
        <f t="shared" si="126"/>
        <v>37.31435507024409</v>
      </c>
      <c r="AQ35" s="875">
        <f t="shared" si="126"/>
        <v>37.726607198816652</v>
      </c>
      <c r="AR35" s="875">
        <f t="shared" si="126"/>
        <v>37.92339618980413</v>
      </c>
      <c r="AS35" s="875">
        <f t="shared" ref="AS35:BA35" si="127">($BB35-$AR35)/10+AR35</f>
        <v>37.661673404423048</v>
      </c>
      <c r="AT35" s="875">
        <f t="shared" si="127"/>
        <v>37.399950619041967</v>
      </c>
      <c r="AU35" s="875">
        <f t="shared" si="127"/>
        <v>37.138227833660885</v>
      </c>
      <c r="AV35" s="875">
        <f t="shared" si="127"/>
        <v>36.876505048279803</v>
      </c>
      <c r="AW35" s="875">
        <f t="shared" si="127"/>
        <v>36.614782262898721</v>
      </c>
      <c r="AX35" s="875">
        <f t="shared" si="127"/>
        <v>36.35305947751764</v>
      </c>
      <c r="AY35" s="875">
        <f t="shared" si="127"/>
        <v>36.091336692136558</v>
      </c>
      <c r="AZ35" s="875">
        <f t="shared" si="127"/>
        <v>35.829613906755476</v>
      </c>
      <c r="BA35" s="875">
        <f t="shared" si="127"/>
        <v>35.567891121374394</v>
      </c>
      <c r="BB35" s="960">
        <f>'AEO Data'!$B$33*AM35</f>
        <v>35.306168335993306</v>
      </c>
      <c r="BC35" s="875">
        <f t="shared" ref="BC35:BP35" si="128">($BQ35-$BB35)/15+BB35</f>
        <v>35.326738550364603</v>
      </c>
      <c r="BD35" s="875">
        <f t="shared" si="128"/>
        <v>35.347308764735899</v>
      </c>
      <c r="BE35" s="875">
        <f t="shared" si="128"/>
        <v>35.367878979107196</v>
      </c>
      <c r="BF35" s="875">
        <f t="shared" si="128"/>
        <v>35.388449193478493</v>
      </c>
      <c r="BG35" s="875">
        <f t="shared" si="128"/>
        <v>35.40901940784979</v>
      </c>
      <c r="BH35" s="875">
        <f t="shared" si="128"/>
        <v>35.429589622221087</v>
      </c>
      <c r="BI35" s="875">
        <f t="shared" si="128"/>
        <v>35.450159836592384</v>
      </c>
      <c r="BJ35" s="875">
        <f t="shared" si="128"/>
        <v>35.470730050963681</v>
      </c>
      <c r="BK35" s="875">
        <f t="shared" si="128"/>
        <v>35.491300265334978</v>
      </c>
      <c r="BL35" s="875">
        <f t="shared" si="128"/>
        <v>35.511870479706275</v>
      </c>
      <c r="BM35" s="875">
        <f t="shared" si="128"/>
        <v>35.532440694077572</v>
      </c>
      <c r="BN35" s="875">
        <f t="shared" si="128"/>
        <v>35.553010908448869</v>
      </c>
      <c r="BO35" s="875">
        <f t="shared" si="128"/>
        <v>35.573581122820165</v>
      </c>
      <c r="BP35" s="875">
        <f t="shared" si="128"/>
        <v>35.594151337191462</v>
      </c>
      <c r="BQ35" s="960">
        <f>'AEO Data'!$C$33*BB35</f>
        <v>35.614721551562717</v>
      </c>
      <c r="BR35" s="875">
        <f t="shared" si="120"/>
        <v>35.590740371018178</v>
      </c>
      <c r="BS35" s="875">
        <f t="shared" si="120"/>
        <v>35.56675919047364</v>
      </c>
      <c r="BT35" s="875">
        <f t="shared" si="120"/>
        <v>35.542778009929101</v>
      </c>
      <c r="BU35" s="875">
        <f t="shared" si="120"/>
        <v>35.518796829384563</v>
      </c>
      <c r="BV35" s="961">
        <f>'AEO Data'!$D$33*BQ35</f>
        <v>35.494815648840024</v>
      </c>
      <c r="BW35" s="1388">
        <f>+BV35*BW$141/BV$141</f>
        <v>35.479187147674004</v>
      </c>
      <c r="BX35" s="1388">
        <f t="shared" ref="BX35:CZ35" si="129">+BW35*BX$141/BW$141</f>
        <v>35.463565527795978</v>
      </c>
      <c r="BY35" s="1388">
        <f t="shared" si="129"/>
        <v>35.447950786176087</v>
      </c>
      <c r="BZ35" s="1388">
        <f t="shared" si="129"/>
        <v>35.432342919785803</v>
      </c>
      <c r="CA35" s="1388">
        <f t="shared" si="129"/>
        <v>35.41674192559794</v>
      </c>
      <c r="CB35" s="1388">
        <f t="shared" si="129"/>
        <v>35.388373668404036</v>
      </c>
      <c r="CC35" s="1388">
        <f t="shared" si="129"/>
        <v>35.360028133741132</v>
      </c>
      <c r="CD35" s="1388">
        <f t="shared" si="129"/>
        <v>35.331705303408839</v>
      </c>
      <c r="CE35" s="1388">
        <f t="shared" si="129"/>
        <v>35.303405159221327</v>
      </c>
      <c r="CF35" s="1388">
        <f t="shared" si="129"/>
        <v>35.275127683007355</v>
      </c>
      <c r="CG35" s="1388">
        <f t="shared" si="129"/>
        <v>35.236173874838393</v>
      </c>
      <c r="CH35" s="1388">
        <f t="shared" si="129"/>
        <v>35.197263082790727</v>
      </c>
      <c r="CI35" s="1388">
        <f t="shared" si="129"/>
        <v>35.158395259362273</v>
      </c>
      <c r="CJ35" s="1388">
        <f t="shared" si="129"/>
        <v>35.119570357103413</v>
      </c>
      <c r="CK35" s="1388">
        <f t="shared" si="129"/>
        <v>35.080788328616926</v>
      </c>
      <c r="CL35" s="1388">
        <f t="shared" si="129"/>
        <v>35.03850643960029</v>
      </c>
      <c r="CM35" s="1388">
        <f t="shared" si="129"/>
        <v>34.996275511757105</v>
      </c>
      <c r="CN35" s="1388">
        <f t="shared" si="129"/>
        <v>34.954095483665299</v>
      </c>
      <c r="CO35" s="1388">
        <f t="shared" si="129"/>
        <v>34.911966293976825</v>
      </c>
      <c r="CP35" s="1388">
        <f t="shared" si="129"/>
        <v>34.869887881417597</v>
      </c>
      <c r="CQ35" s="1388">
        <f t="shared" si="129"/>
        <v>34.82115009201096</v>
      </c>
      <c r="CR35" s="1388">
        <f t="shared" si="129"/>
        <v>34.772480423618198</v>
      </c>
      <c r="CS35" s="1388">
        <f t="shared" si="129"/>
        <v>34.723878781026279</v>
      </c>
      <c r="CT35" s="1388">
        <f t="shared" si="129"/>
        <v>34.675345069155263</v>
      </c>
      <c r="CU35" s="1388">
        <f t="shared" si="129"/>
        <v>34.626879193058095</v>
      </c>
      <c r="CV35" s="1388">
        <f t="shared" si="129"/>
        <v>34.579567869537456</v>
      </c>
      <c r="CW35" s="1388">
        <f t="shared" si="129"/>
        <v>34.532321188323188</v>
      </c>
      <c r="CX35" s="1388">
        <f t="shared" si="129"/>
        <v>34.485139061093349</v>
      </c>
      <c r="CY35" s="1388">
        <f t="shared" si="129"/>
        <v>34.438021399646672</v>
      </c>
      <c r="CZ35" s="1388">
        <f t="shared" si="129"/>
        <v>34.39096811590241</v>
      </c>
    </row>
    <row r="36" spans="1:106" ht="13.8" thickTop="1" x14ac:dyDescent="0.25">
      <c r="A36" s="872"/>
      <c r="B36" s="260"/>
      <c r="C36" s="869"/>
      <c r="D36" s="1237"/>
      <c r="E36" s="869"/>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c r="BI36" s="260"/>
      <c r="BJ36" s="260"/>
      <c r="BK36" s="260"/>
      <c r="BL36" s="260"/>
      <c r="BM36" s="260"/>
      <c r="BN36" s="260"/>
      <c r="BO36" s="260"/>
      <c r="BP36" s="260"/>
      <c r="BQ36" s="260"/>
      <c r="BR36" s="260"/>
      <c r="BS36" s="260"/>
      <c r="BT36" s="260"/>
      <c r="BU36" s="260"/>
      <c r="BV36" s="260"/>
      <c r="BW36" s="260"/>
      <c r="BX36" s="260"/>
      <c r="BY36" s="260"/>
      <c r="BZ36" s="260"/>
      <c r="CA36" s="260"/>
      <c r="CB36" s="260"/>
      <c r="CC36" s="260"/>
      <c r="CD36" s="260"/>
      <c r="CE36" s="260"/>
      <c r="CF36" s="260"/>
      <c r="CG36" s="260"/>
      <c r="CH36" s="260"/>
      <c r="CI36" s="260"/>
      <c r="CJ36" s="260"/>
      <c r="CK36" s="260"/>
      <c r="CL36" s="260"/>
      <c r="CM36" s="260"/>
      <c r="CN36" s="260"/>
      <c r="CO36" s="260"/>
      <c r="CP36" s="260"/>
      <c r="CQ36" s="260"/>
      <c r="CR36" s="260"/>
      <c r="CS36" s="260"/>
      <c r="CT36" s="260"/>
      <c r="CU36" s="260"/>
      <c r="CV36" s="260"/>
      <c r="CW36" s="260"/>
      <c r="CX36" s="260"/>
      <c r="CY36" s="260"/>
      <c r="CZ36" s="260"/>
      <c r="DA36" s="260"/>
      <c r="DB36" s="260"/>
    </row>
    <row r="37" spans="1:106" x14ac:dyDescent="0.25">
      <c r="A37" s="872"/>
      <c r="B37" s="260"/>
      <c r="C37" s="869"/>
      <c r="D37" s="1238"/>
      <c r="E37" s="869"/>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c r="BI37" s="260"/>
      <c r="BJ37" s="260"/>
      <c r="BK37" s="260"/>
      <c r="BL37" s="260"/>
      <c r="BM37" s="260"/>
      <c r="BN37" s="260"/>
      <c r="BO37" s="260"/>
      <c r="BP37" s="260"/>
      <c r="BQ37" s="260"/>
      <c r="BR37" s="260"/>
      <c r="BS37" s="260"/>
      <c r="BT37" s="260"/>
      <c r="BU37" s="260"/>
      <c r="BV37" s="260"/>
    </row>
    <row r="38" spans="1:106" ht="13.8" thickBot="1" x14ac:dyDescent="0.3">
      <c r="A38" s="969"/>
      <c r="B38" s="260"/>
      <c r="C38" s="869"/>
      <c r="D38" s="1238"/>
      <c r="E38" s="869"/>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c r="BI38" s="260"/>
      <c r="BJ38" s="260"/>
      <c r="BK38" s="260"/>
      <c r="BL38" s="260"/>
      <c r="BM38" s="260"/>
      <c r="BN38" s="260"/>
      <c r="BO38" s="260"/>
      <c r="BP38" s="260"/>
      <c r="BQ38" s="260"/>
      <c r="BR38" s="260"/>
      <c r="BS38" s="260"/>
      <c r="BT38" s="260"/>
      <c r="BU38" s="260"/>
      <c r="BV38" s="260"/>
    </row>
    <row r="39" spans="1:106" s="1040" customFormat="1" x14ac:dyDescent="0.25">
      <c r="A39" s="1036" t="s">
        <v>1109</v>
      </c>
      <c r="B39" s="1037"/>
      <c r="C39" s="1038"/>
      <c r="D39" s="1239"/>
      <c r="E39" s="1038"/>
      <c r="F39" s="1037"/>
      <c r="G39" s="1037"/>
      <c r="H39" s="1037"/>
      <c r="I39" s="1037"/>
      <c r="J39" s="1037"/>
      <c r="K39" s="1037"/>
      <c r="L39" s="1037"/>
      <c r="M39" s="1037"/>
      <c r="N39" s="1037"/>
      <c r="O39" s="1037"/>
      <c r="P39" s="1037"/>
      <c r="Q39" s="1037"/>
      <c r="R39" s="1037"/>
      <c r="S39" s="1037"/>
      <c r="T39" s="1037"/>
      <c r="U39" s="1037"/>
      <c r="V39" s="1037"/>
      <c r="W39" s="1037"/>
      <c r="X39" s="1037"/>
      <c r="Y39" s="1037"/>
      <c r="Z39" s="1037"/>
      <c r="AA39" s="1037"/>
      <c r="AB39" s="1037"/>
      <c r="AC39" s="1037"/>
      <c r="AD39" s="1037"/>
      <c r="AE39" s="1037"/>
      <c r="AF39" s="1037"/>
      <c r="AG39" s="1037"/>
      <c r="AH39" s="1037"/>
      <c r="AI39" s="1037"/>
      <c r="AJ39" s="1037"/>
      <c r="AK39" s="1037"/>
      <c r="AL39" s="1037"/>
      <c r="AM39" s="1037"/>
      <c r="AN39" s="1037"/>
      <c r="AO39" s="1037"/>
      <c r="AP39" s="1037"/>
      <c r="AQ39" s="1037"/>
      <c r="AR39" s="1037"/>
      <c r="AS39" s="1037"/>
      <c r="AT39" s="1037"/>
      <c r="AU39" s="1037"/>
      <c r="AV39" s="1037"/>
      <c r="AW39" s="1037"/>
      <c r="AX39" s="1037"/>
      <c r="AY39" s="1037"/>
      <c r="AZ39" s="1037"/>
      <c r="BA39" s="1037"/>
      <c r="BB39" s="1037"/>
      <c r="BC39" s="1037"/>
      <c r="BD39" s="1037"/>
      <c r="BE39" s="1037"/>
      <c r="BF39" s="1037"/>
      <c r="BG39" s="1037"/>
      <c r="BH39" s="1037"/>
      <c r="BI39" s="1037"/>
      <c r="BJ39" s="1037"/>
      <c r="BK39" s="1037"/>
      <c r="BL39" s="1037"/>
      <c r="BM39" s="1037"/>
      <c r="BN39" s="1037"/>
      <c r="BO39" s="1037"/>
      <c r="BP39" s="1037"/>
      <c r="BQ39" s="1037"/>
      <c r="BR39" s="1037"/>
      <c r="BS39" s="1037"/>
      <c r="BT39" s="1037"/>
      <c r="BU39" s="1037"/>
      <c r="BV39" s="1039"/>
    </row>
    <row r="40" spans="1:106" s="1040" customFormat="1" x14ac:dyDescent="0.25">
      <c r="A40" s="1041" t="s">
        <v>1110</v>
      </c>
      <c r="B40" s="1042"/>
      <c r="C40" s="1043"/>
      <c r="D40" s="1240"/>
      <c r="E40" s="1043"/>
      <c r="F40" s="1042"/>
      <c r="G40" s="1042"/>
      <c r="H40" s="1042"/>
      <c r="I40" s="1042"/>
      <c r="J40" s="1042"/>
      <c r="K40" s="1042"/>
      <c r="L40" s="1042"/>
      <c r="M40" s="1042"/>
      <c r="N40" s="1042"/>
      <c r="O40" s="1042"/>
      <c r="P40" s="1042"/>
      <c r="Q40" s="1042"/>
      <c r="R40" s="1042"/>
      <c r="S40" s="1042"/>
      <c r="T40" s="1042"/>
      <c r="U40" s="1042"/>
      <c r="V40" s="1042"/>
      <c r="W40" s="1042"/>
      <c r="X40" s="1042"/>
      <c r="Y40" s="1042"/>
      <c r="Z40" s="1042"/>
      <c r="AA40" s="1042"/>
      <c r="AB40" s="1042"/>
      <c r="AC40" s="1042"/>
      <c r="AD40" s="1042"/>
      <c r="AE40" s="1042"/>
      <c r="AF40" s="1042"/>
      <c r="AG40" s="1042"/>
      <c r="AH40" s="1042"/>
      <c r="AI40" s="1042"/>
      <c r="AJ40" s="1042"/>
      <c r="AK40" s="1042"/>
      <c r="AL40" s="1042"/>
      <c r="AM40" s="1042"/>
      <c r="AN40" s="1042"/>
      <c r="AO40" s="1042"/>
      <c r="AP40" s="1042"/>
      <c r="AQ40" s="1042"/>
      <c r="AR40" s="1042"/>
      <c r="AS40" s="1042"/>
      <c r="AT40" s="1042"/>
      <c r="AU40" s="1042"/>
      <c r="AV40" s="1042"/>
      <c r="AW40" s="1042"/>
      <c r="AX40" s="1042"/>
      <c r="AY40" s="1042"/>
      <c r="AZ40" s="1042"/>
      <c r="BA40" s="1042"/>
      <c r="BB40" s="1042"/>
      <c r="BC40" s="1042"/>
      <c r="BD40" s="1042"/>
      <c r="BE40" s="1042"/>
      <c r="BF40" s="1042"/>
      <c r="BG40" s="1042"/>
      <c r="BH40" s="1042"/>
      <c r="BI40" s="1042"/>
      <c r="BJ40" s="1042"/>
      <c r="BK40" s="1042"/>
      <c r="BL40" s="1042"/>
      <c r="BM40" s="1042"/>
      <c r="BN40" s="1042"/>
      <c r="BO40" s="1042"/>
      <c r="BP40" s="1042"/>
      <c r="BQ40" s="1042"/>
      <c r="BR40" s="1042"/>
      <c r="BS40" s="1042"/>
      <c r="BT40" s="1042"/>
      <c r="BU40" s="1042"/>
      <c r="BV40" s="1044"/>
    </row>
    <row r="41" spans="1:106" s="1040" customFormat="1" x14ac:dyDescent="0.25">
      <c r="A41" s="1045"/>
      <c r="B41" s="1042"/>
      <c r="C41" s="1043"/>
      <c r="D41" s="1240"/>
      <c r="E41" s="1043"/>
      <c r="F41" s="1042"/>
      <c r="G41" s="1042"/>
      <c r="H41" s="1042"/>
      <c r="I41" s="1042"/>
      <c r="J41" s="1042"/>
      <c r="K41" s="1042"/>
      <c r="L41" s="1042"/>
      <c r="M41" s="1042"/>
      <c r="N41" s="1042"/>
      <c r="O41" s="1042"/>
      <c r="P41" s="1042"/>
      <c r="Q41" s="1042"/>
      <c r="R41" s="1042"/>
      <c r="S41" s="1042"/>
      <c r="T41" s="1042"/>
      <c r="U41" s="1042"/>
      <c r="V41" s="1042"/>
      <c r="W41" s="1042"/>
      <c r="X41" s="1042"/>
      <c r="Y41" s="1042"/>
      <c r="Z41" s="1042"/>
      <c r="AA41" s="1042"/>
      <c r="AB41" s="1042"/>
      <c r="AC41" s="1042"/>
      <c r="AD41" s="1042"/>
      <c r="AE41" s="1042"/>
      <c r="AF41" s="1042"/>
      <c r="AG41" s="1042"/>
      <c r="AH41" s="1042"/>
      <c r="AI41" s="1042"/>
      <c r="AJ41" s="1042"/>
      <c r="AK41" s="1042"/>
      <c r="AL41" s="1042"/>
      <c r="AM41" s="1042"/>
      <c r="AN41" s="1042"/>
      <c r="AO41" s="1042"/>
      <c r="AP41" s="1042"/>
      <c r="AQ41" s="1042"/>
      <c r="AR41" s="1042"/>
      <c r="AS41" s="1042"/>
      <c r="AT41" s="1042"/>
      <c r="AU41" s="1042"/>
      <c r="AV41" s="1042"/>
      <c r="AW41" s="1042"/>
      <c r="AX41" s="1042"/>
      <c r="AY41" s="1042"/>
      <c r="AZ41" s="1042"/>
      <c r="BA41" s="1042"/>
      <c r="BB41" s="1042"/>
      <c r="BC41" s="1042"/>
      <c r="BD41" s="1042"/>
      <c r="BE41" s="1042"/>
      <c r="BF41" s="1042"/>
      <c r="BG41" s="1042"/>
      <c r="BH41" s="1042"/>
      <c r="BI41" s="1042"/>
      <c r="BJ41" s="1042"/>
      <c r="BK41" s="1042"/>
      <c r="BL41" s="1042"/>
      <c r="BM41" s="1042"/>
      <c r="BN41" s="1042"/>
      <c r="BO41" s="1042"/>
      <c r="BP41" s="1042"/>
      <c r="BQ41" s="1042"/>
      <c r="BR41" s="1042"/>
      <c r="BS41" s="1042"/>
      <c r="BT41" s="1042"/>
      <c r="BU41" s="1042"/>
      <c r="BV41" s="1044"/>
    </row>
    <row r="42" spans="1:106" s="1040" customFormat="1" x14ac:dyDescent="0.25">
      <c r="A42" s="1045" t="s">
        <v>681</v>
      </c>
      <c r="B42" s="1042"/>
      <c r="C42" s="1043"/>
      <c r="D42" s="1240"/>
      <c r="E42" s="1043"/>
      <c r="F42" s="1042"/>
      <c r="G42" s="1042"/>
      <c r="H42" s="1042"/>
      <c r="I42" s="1042"/>
      <c r="J42" s="1042"/>
      <c r="K42" s="1042"/>
      <c r="L42" s="1042"/>
      <c r="M42" s="1042"/>
      <c r="N42" s="1046">
        <v>11.359373</v>
      </c>
      <c r="O42" s="1046">
        <v>10.802343</v>
      </c>
      <c r="P42" s="1046">
        <v>10.464380999999999</v>
      </c>
      <c r="Q42" s="1046">
        <v>10.477905</v>
      </c>
      <c r="R42" s="1046">
        <v>10.253485</v>
      </c>
      <c r="S42" s="1046">
        <v>10.156079999999999</v>
      </c>
      <c r="T42" s="1046">
        <v>10.662777999999999</v>
      </c>
      <c r="U42" s="1046">
        <v>10.990506</v>
      </c>
      <c r="V42" s="1046">
        <v>11.397518</v>
      </c>
      <c r="W42" s="1046">
        <v>11.624905</v>
      </c>
      <c r="X42" s="1046">
        <v>11.776242999999999</v>
      </c>
      <c r="Y42" s="1046">
        <v>11.960003</v>
      </c>
      <c r="Z42" s="1046">
        <v>12.203179</v>
      </c>
      <c r="AA42" s="1046">
        <v>12.432268000000001</v>
      </c>
      <c r="AB42" s="1046">
        <v>12.584531</v>
      </c>
      <c r="AC42" s="1046">
        <v>12.674325</v>
      </c>
      <c r="AD42" s="1046">
        <v>12.841908</v>
      </c>
      <c r="AE42" s="1046">
        <v>12.933384999999999</v>
      </c>
      <c r="AF42" s="1046">
        <v>13.085578999999999</v>
      </c>
      <c r="AG42" s="1046">
        <v>13.234385</v>
      </c>
      <c r="AH42" s="1046">
        <v>13.368997999999999</v>
      </c>
      <c r="AI42" s="1046">
        <v>13.547089</v>
      </c>
      <c r="AJ42" s="1046">
        <v>13.721807</v>
      </c>
      <c r="AK42" s="1046">
        <v>13.935895</v>
      </c>
      <c r="AL42" s="1046">
        <v>14.248931000000001</v>
      </c>
      <c r="AM42" s="1046">
        <v>14.598827</v>
      </c>
      <c r="AN42" s="1046">
        <v>15.023702999999999</v>
      </c>
      <c r="AO42" s="1046">
        <v>15.415895000000001</v>
      </c>
      <c r="AP42" s="1046">
        <v>15.842275000000001</v>
      </c>
      <c r="AQ42" s="1046">
        <v>16.055761</v>
      </c>
      <c r="AR42" s="1046">
        <v>16.363073</v>
      </c>
      <c r="AS42" s="1042"/>
      <c r="AT42" s="1042"/>
      <c r="AU42" s="1042"/>
      <c r="AV42" s="1042"/>
      <c r="AW42" s="1042"/>
      <c r="AX42" s="1042"/>
      <c r="AY42" s="1042"/>
      <c r="AZ42" s="1042"/>
      <c r="BA42" s="1042"/>
      <c r="BB42" s="1042"/>
      <c r="BC42" s="1042"/>
      <c r="BD42" s="1042"/>
      <c r="BE42" s="1042"/>
      <c r="BF42" s="1042"/>
      <c r="BG42" s="1042"/>
      <c r="BH42" s="1042"/>
      <c r="BI42" s="1042"/>
      <c r="BJ42" s="1042"/>
      <c r="BK42" s="1042"/>
      <c r="BL42" s="1042"/>
      <c r="BM42" s="1042"/>
      <c r="BN42" s="1042"/>
      <c r="BO42" s="1042"/>
      <c r="BP42" s="1042"/>
      <c r="BQ42" s="1042"/>
      <c r="BR42" s="1042"/>
      <c r="BS42" s="1042"/>
      <c r="BT42" s="1042"/>
      <c r="BU42" s="1042"/>
      <c r="BV42" s="1044"/>
    </row>
    <row r="43" spans="1:106" s="1040" customFormat="1" x14ac:dyDescent="0.25">
      <c r="A43" s="1045" t="s">
        <v>1086</v>
      </c>
      <c r="B43" s="1042"/>
      <c r="C43" s="1043"/>
      <c r="D43" s="1240"/>
      <c r="E43" s="1043"/>
      <c r="F43" s="1042"/>
      <c r="G43" s="1042"/>
      <c r="H43" s="1042"/>
      <c r="I43" s="1042"/>
      <c r="J43" s="1042"/>
      <c r="K43" s="1042"/>
      <c r="L43" s="1042"/>
      <c r="M43" s="1042"/>
      <c r="N43" s="1046">
        <v>9.3969749999999994</v>
      </c>
      <c r="O43" s="1046">
        <v>8.8368610000000007</v>
      </c>
      <c r="P43" s="1046">
        <v>8.0727960000000003</v>
      </c>
      <c r="Q43" s="1046">
        <v>8.4627339999999993</v>
      </c>
      <c r="R43" s="1046">
        <v>8.2352620000000005</v>
      </c>
      <c r="S43" s="1046">
        <v>8.1043620000000001</v>
      </c>
      <c r="T43" s="1046">
        <v>8.5610389999999992</v>
      </c>
      <c r="U43" s="1046">
        <v>8.8247909999999994</v>
      </c>
      <c r="V43" s="1046">
        <v>9.1722800000000007</v>
      </c>
      <c r="W43" s="1046">
        <v>9.3508150000000008</v>
      </c>
      <c r="X43" s="1046">
        <v>9.4680210000000002</v>
      </c>
      <c r="Y43" s="1046">
        <v>9.6109419999999997</v>
      </c>
      <c r="Z43" s="1046">
        <v>9.8191819999999996</v>
      </c>
      <c r="AA43" s="1046">
        <v>10.011597999999999</v>
      </c>
      <c r="AB43" s="1046">
        <v>10.133018</v>
      </c>
      <c r="AC43" s="1046">
        <v>10.193654</v>
      </c>
      <c r="AD43" s="1046">
        <v>10.33554</v>
      </c>
      <c r="AE43" s="1046">
        <v>10.388019</v>
      </c>
      <c r="AF43" s="1046">
        <v>10.500005</v>
      </c>
      <c r="AG43" s="1046">
        <v>10.605323</v>
      </c>
      <c r="AH43" s="1046">
        <v>10.697221000000001</v>
      </c>
      <c r="AI43" s="1046">
        <v>10.832411</v>
      </c>
      <c r="AJ43" s="1046">
        <v>10.954602</v>
      </c>
      <c r="AK43" s="1046">
        <v>11.11848</v>
      </c>
      <c r="AL43" s="1046">
        <v>11.383407</v>
      </c>
      <c r="AM43" s="1046">
        <v>11.681657</v>
      </c>
      <c r="AN43" s="1046">
        <v>12.061093</v>
      </c>
      <c r="AO43" s="1046">
        <v>12.401303</v>
      </c>
      <c r="AP43" s="1046">
        <v>12.781521</v>
      </c>
      <c r="AQ43" s="1046">
        <v>12.948893999999999</v>
      </c>
      <c r="AR43" s="1046">
        <v>13.212922000000001</v>
      </c>
      <c r="AS43" s="1042"/>
      <c r="AT43" s="1042"/>
      <c r="AU43" s="1042"/>
      <c r="AV43" s="1042"/>
      <c r="AW43" s="1042"/>
      <c r="AX43" s="1042"/>
      <c r="AY43" s="1042"/>
      <c r="AZ43" s="1042"/>
      <c r="BA43" s="1042"/>
      <c r="BB43" s="1042"/>
      <c r="BC43" s="1042"/>
      <c r="BD43" s="1042"/>
      <c r="BE43" s="1042"/>
      <c r="BF43" s="1042"/>
      <c r="BG43" s="1042"/>
      <c r="BH43" s="1042"/>
      <c r="BI43" s="1042"/>
      <c r="BJ43" s="1042"/>
      <c r="BK43" s="1042"/>
      <c r="BL43" s="1042"/>
      <c r="BM43" s="1042"/>
      <c r="BN43" s="1042"/>
      <c r="BO43" s="1042"/>
      <c r="BP43" s="1042"/>
      <c r="BQ43" s="1042"/>
      <c r="BR43" s="1042"/>
      <c r="BS43" s="1042"/>
      <c r="BT43" s="1042"/>
      <c r="BU43" s="1042"/>
      <c r="BV43" s="1044"/>
    </row>
    <row r="44" spans="1:106" s="1040" customFormat="1" x14ac:dyDescent="0.25">
      <c r="A44" s="1045" t="s">
        <v>283</v>
      </c>
      <c r="B44" s="1042"/>
      <c r="C44" s="1043"/>
      <c r="D44" s="1240"/>
      <c r="E44" s="1043"/>
      <c r="F44" s="1042"/>
      <c r="G44" s="1042"/>
      <c r="H44" s="1042"/>
      <c r="I44" s="1042"/>
      <c r="J44" s="1042"/>
      <c r="K44" s="1042"/>
      <c r="L44" s="1042"/>
      <c r="M44" s="1042"/>
      <c r="N44" s="1046">
        <v>5.4839599999999997</v>
      </c>
      <c r="O44" s="1046">
        <v>4.8898130000000002</v>
      </c>
      <c r="P44" s="1046">
        <v>3.7596859999999999</v>
      </c>
      <c r="Q44" s="1046">
        <v>4.3339879999999997</v>
      </c>
      <c r="R44" s="1046">
        <v>4.3750520000000002</v>
      </c>
      <c r="S44" s="1046">
        <v>4.4225349999999999</v>
      </c>
      <c r="T44" s="1046">
        <v>4.8660360000000003</v>
      </c>
      <c r="U44" s="1046">
        <v>5.0679410000000003</v>
      </c>
      <c r="V44" s="1046">
        <v>5.3212570000000001</v>
      </c>
      <c r="W44" s="1046">
        <v>5.4497980000000004</v>
      </c>
      <c r="X44" s="1046">
        <v>5.5294119999999998</v>
      </c>
      <c r="Y44" s="1046">
        <v>5.6406840000000003</v>
      </c>
      <c r="Z44" s="1046">
        <v>5.8277749999999999</v>
      </c>
      <c r="AA44" s="1046">
        <v>6.0107049999999997</v>
      </c>
      <c r="AB44" s="1046">
        <v>6.1100089999999998</v>
      </c>
      <c r="AC44" s="1046">
        <v>6.1511990000000001</v>
      </c>
      <c r="AD44" s="1046">
        <v>6.2557600000000004</v>
      </c>
      <c r="AE44" s="1046">
        <v>6.2949159999999997</v>
      </c>
      <c r="AF44" s="1046">
        <v>6.396782</v>
      </c>
      <c r="AG44" s="1046">
        <v>6.4862520000000004</v>
      </c>
      <c r="AH44" s="1046">
        <v>6.561483</v>
      </c>
      <c r="AI44" s="1046">
        <v>6.6766310000000004</v>
      </c>
      <c r="AJ44" s="1046">
        <v>6.771134</v>
      </c>
      <c r="AK44" s="1046">
        <v>6.9159920000000001</v>
      </c>
      <c r="AL44" s="1046">
        <v>7.1687539999999998</v>
      </c>
      <c r="AM44" s="1046">
        <v>7.4454149999999997</v>
      </c>
      <c r="AN44" s="1046">
        <v>7.813205</v>
      </c>
      <c r="AO44" s="1046">
        <v>8.1536600000000004</v>
      </c>
      <c r="AP44" s="1046">
        <v>8.4989190000000008</v>
      </c>
      <c r="AQ44" s="1046">
        <v>8.6393810000000002</v>
      </c>
      <c r="AR44" s="1046">
        <v>8.8810929999999999</v>
      </c>
      <c r="AS44" s="1042"/>
      <c r="AT44" s="1042"/>
      <c r="AU44" s="1042"/>
      <c r="AV44" s="1042"/>
      <c r="AW44" s="1042"/>
      <c r="AX44" s="1042"/>
      <c r="AY44" s="1042"/>
      <c r="AZ44" s="1042"/>
      <c r="BA44" s="1042"/>
      <c r="BB44" s="1042"/>
      <c r="BC44" s="1042"/>
      <c r="BD44" s="1042"/>
      <c r="BE44" s="1042"/>
      <c r="BF44" s="1042"/>
      <c r="BG44" s="1042"/>
      <c r="BH44" s="1042"/>
      <c r="BI44" s="1042"/>
      <c r="BJ44" s="1042"/>
      <c r="BK44" s="1042"/>
      <c r="BL44" s="1042"/>
      <c r="BM44" s="1042"/>
      <c r="BN44" s="1042"/>
      <c r="BO44" s="1042"/>
      <c r="BP44" s="1042"/>
      <c r="BQ44" s="1042"/>
      <c r="BR44" s="1042"/>
      <c r="BS44" s="1042"/>
      <c r="BT44" s="1042"/>
      <c r="BU44" s="1042"/>
      <c r="BV44" s="1044"/>
    </row>
    <row r="45" spans="1:106" s="1040" customFormat="1" x14ac:dyDescent="0.25">
      <c r="A45" s="1047" t="str">
        <f>'HyARC Physical Property Data'!$A$74</f>
        <v>Electric Utility Natural Gas</v>
      </c>
      <c r="B45" s="1042"/>
      <c r="C45" s="1043"/>
      <c r="D45" s="1240"/>
      <c r="E45" s="1043"/>
      <c r="F45" s="1042"/>
      <c r="G45" s="1042"/>
      <c r="H45" s="1042"/>
      <c r="I45" s="1042"/>
      <c r="J45" s="1042"/>
      <c r="K45" s="1042"/>
      <c r="L45" s="1042"/>
      <c r="M45" s="1042"/>
      <c r="N45" s="1046">
        <v>5.258165</v>
      </c>
      <c r="O45" s="1046">
        <v>4.7747140000000003</v>
      </c>
      <c r="P45" s="1046">
        <v>3.3217560000000002</v>
      </c>
      <c r="Q45" s="1046">
        <v>3.7155300000000002</v>
      </c>
      <c r="R45" s="1046">
        <v>3.758219</v>
      </c>
      <c r="S45" s="1046">
        <v>3.8420709999999998</v>
      </c>
      <c r="T45" s="1046">
        <v>4.2826180000000003</v>
      </c>
      <c r="U45" s="1046">
        <v>4.4486730000000003</v>
      </c>
      <c r="V45" s="1046">
        <v>4.7026110000000001</v>
      </c>
      <c r="W45" s="1046">
        <v>4.8222319999999996</v>
      </c>
      <c r="X45" s="1046">
        <v>4.8967590000000003</v>
      </c>
      <c r="Y45" s="1046">
        <v>5.0074189999999996</v>
      </c>
      <c r="Z45" s="1046">
        <v>5.20235</v>
      </c>
      <c r="AA45" s="1046">
        <v>5.388776</v>
      </c>
      <c r="AB45" s="1046">
        <v>5.5179349999999996</v>
      </c>
      <c r="AC45" s="1046">
        <v>5.5779610000000002</v>
      </c>
      <c r="AD45" s="1046">
        <v>5.7088080000000003</v>
      </c>
      <c r="AE45" s="1046">
        <v>5.7607720000000002</v>
      </c>
      <c r="AF45" s="1046">
        <v>5.8668440000000004</v>
      </c>
      <c r="AG45" s="1046">
        <v>5.9650189999999998</v>
      </c>
      <c r="AH45" s="1046">
        <v>6.0528500000000003</v>
      </c>
      <c r="AI45" s="1046">
        <v>6.1836820000000001</v>
      </c>
      <c r="AJ45" s="1046">
        <v>6.2931780000000002</v>
      </c>
      <c r="AK45" s="1046">
        <v>6.4458729999999997</v>
      </c>
      <c r="AL45" s="1046">
        <v>6.6983480000000002</v>
      </c>
      <c r="AM45" s="1046">
        <v>6.9804459999999997</v>
      </c>
      <c r="AN45" s="1046">
        <v>7.345173</v>
      </c>
      <c r="AO45" s="1046">
        <v>7.6749489999999998</v>
      </c>
      <c r="AP45" s="1046">
        <v>8.0219799999999992</v>
      </c>
      <c r="AQ45" s="1046">
        <v>8.1549879999999995</v>
      </c>
      <c r="AR45" s="1046">
        <v>8.3777830000000009</v>
      </c>
      <c r="AS45" s="1042"/>
      <c r="AT45" s="1042"/>
      <c r="AU45" s="1042"/>
      <c r="AV45" s="1042"/>
      <c r="AW45" s="1042"/>
      <c r="AX45" s="1042"/>
      <c r="AY45" s="1042"/>
      <c r="AZ45" s="1042"/>
      <c r="BA45" s="1042"/>
      <c r="BB45" s="1042"/>
      <c r="BC45" s="1042"/>
      <c r="BD45" s="1042"/>
      <c r="BE45" s="1042"/>
      <c r="BF45" s="1042"/>
      <c r="BG45" s="1042"/>
      <c r="BH45" s="1042"/>
      <c r="BI45" s="1042"/>
      <c r="BJ45" s="1042"/>
      <c r="BK45" s="1042"/>
      <c r="BL45" s="1042"/>
      <c r="BM45" s="1042"/>
      <c r="BN45" s="1042"/>
      <c r="BO45" s="1042"/>
      <c r="BP45" s="1042"/>
      <c r="BQ45" s="1042"/>
      <c r="BR45" s="1042"/>
      <c r="BS45" s="1042"/>
      <c r="BT45" s="1042"/>
      <c r="BU45" s="1042"/>
      <c r="BV45" s="1044"/>
    </row>
    <row r="46" spans="1:106" s="1040" customFormat="1" x14ac:dyDescent="0.25">
      <c r="A46" s="1045" t="str">
        <f>'HyARC Physical Property Data'!$A$85</f>
        <v>Woody Biomass</v>
      </c>
      <c r="B46" s="1042"/>
      <c r="C46" s="1043"/>
      <c r="D46" s="1240"/>
      <c r="E46" s="1043"/>
      <c r="F46" s="1042"/>
      <c r="G46" s="1042"/>
      <c r="H46" s="1042"/>
      <c r="I46" s="1042"/>
      <c r="J46" s="1042"/>
      <c r="K46" s="1042"/>
      <c r="L46" s="1042"/>
      <c r="M46" s="1042"/>
      <c r="N46" s="1046"/>
      <c r="O46" s="1046"/>
      <c r="P46" s="1046"/>
      <c r="Q46" s="1046"/>
      <c r="R46" s="1046"/>
      <c r="S46" s="1046"/>
      <c r="T46" s="1046"/>
      <c r="U46" s="1046"/>
      <c r="V46" s="1046"/>
      <c r="W46" s="1046"/>
      <c r="X46" s="1046"/>
      <c r="Y46" s="1046"/>
      <c r="Z46" s="1046"/>
      <c r="AA46" s="1046"/>
      <c r="AB46" s="1046"/>
      <c r="AC46" s="1046"/>
      <c r="AD46" s="1046"/>
      <c r="AE46" s="1046"/>
      <c r="AF46" s="1046"/>
      <c r="AG46" s="1046"/>
      <c r="AH46" s="1046"/>
      <c r="AI46" s="1046"/>
      <c r="AJ46" s="1046"/>
      <c r="AK46" s="1046"/>
      <c r="AL46" s="1046"/>
      <c r="AM46" s="1046"/>
      <c r="AN46" s="1046"/>
      <c r="AO46" s="1046"/>
      <c r="AP46" s="1046"/>
      <c r="AQ46" s="1046"/>
      <c r="AR46" s="1046"/>
      <c r="AS46" s="1042"/>
      <c r="AT46" s="1042"/>
      <c r="AU46" s="1042"/>
      <c r="AV46" s="1042"/>
      <c r="AW46" s="1042"/>
      <c r="AX46" s="1042"/>
      <c r="AY46" s="1042"/>
      <c r="AZ46" s="1042"/>
      <c r="BA46" s="1042"/>
      <c r="BB46" s="1042"/>
      <c r="BC46" s="1042"/>
      <c r="BD46" s="1042"/>
      <c r="BE46" s="1042"/>
      <c r="BF46" s="1042"/>
      <c r="BG46" s="1042"/>
      <c r="BH46" s="1042"/>
      <c r="BI46" s="1042"/>
      <c r="BJ46" s="1042"/>
      <c r="BK46" s="1042"/>
      <c r="BL46" s="1042"/>
      <c r="BM46" s="1042"/>
      <c r="BN46" s="1042"/>
      <c r="BO46" s="1042"/>
      <c r="BP46" s="1042"/>
      <c r="BQ46" s="1042"/>
      <c r="BR46" s="1042"/>
      <c r="BS46" s="1042"/>
      <c r="BT46" s="1042"/>
      <c r="BU46" s="1042"/>
      <c r="BV46" s="1044"/>
    </row>
    <row r="47" spans="1:106" s="1040" customFormat="1" x14ac:dyDescent="0.25">
      <c r="A47" s="1045" t="s">
        <v>1111</v>
      </c>
      <c r="B47" s="1042"/>
      <c r="C47" s="1043"/>
      <c r="D47" s="1240"/>
      <c r="E47" s="1043"/>
      <c r="F47" s="1042"/>
      <c r="G47" s="1042"/>
      <c r="H47" s="1042"/>
      <c r="I47" s="1042"/>
      <c r="J47" s="1042"/>
      <c r="K47" s="1042"/>
      <c r="L47" s="1042"/>
      <c r="M47" s="1042"/>
      <c r="N47" s="1046">
        <v>13.6</v>
      </c>
      <c r="O47" s="1046">
        <v>13.6</v>
      </c>
      <c r="P47" s="1046">
        <v>13.6</v>
      </c>
      <c r="Q47" s="1046">
        <v>13.6</v>
      </c>
      <c r="R47" s="1046">
        <v>13.6</v>
      </c>
      <c r="S47" s="1046">
        <v>13.6</v>
      </c>
      <c r="T47" s="1046">
        <v>13.6</v>
      </c>
      <c r="U47" s="1046">
        <v>14.11</v>
      </c>
      <c r="V47" s="1046">
        <v>14.11</v>
      </c>
      <c r="W47" s="1046">
        <v>14.11</v>
      </c>
      <c r="X47" s="1046">
        <v>14.11</v>
      </c>
      <c r="Y47" s="1046">
        <v>14.11</v>
      </c>
      <c r="Z47" s="1046">
        <v>14.11</v>
      </c>
      <c r="AA47" s="1046">
        <v>14.11</v>
      </c>
      <c r="AB47" s="1046">
        <v>14.11</v>
      </c>
      <c r="AC47" s="1046">
        <v>14.11</v>
      </c>
      <c r="AD47" s="1046">
        <v>14.11</v>
      </c>
      <c r="AE47" s="1046">
        <v>14.11</v>
      </c>
      <c r="AF47" s="1046">
        <v>14.11</v>
      </c>
      <c r="AG47" s="1046">
        <v>14.11</v>
      </c>
      <c r="AH47" s="1046">
        <v>14.11</v>
      </c>
      <c r="AI47" s="1046">
        <v>14.11</v>
      </c>
      <c r="AJ47" s="1046">
        <v>14.11</v>
      </c>
      <c r="AK47" s="1046">
        <v>14.11</v>
      </c>
      <c r="AL47" s="1046">
        <v>14.11</v>
      </c>
      <c r="AM47" s="1046">
        <v>14.11</v>
      </c>
      <c r="AN47" s="1046">
        <v>14.11</v>
      </c>
      <c r="AO47" s="1046">
        <v>14.11</v>
      </c>
      <c r="AP47" s="1046">
        <v>14.11</v>
      </c>
      <c r="AQ47" s="1046">
        <v>14.11</v>
      </c>
      <c r="AR47" s="1046">
        <v>14.11</v>
      </c>
      <c r="AS47" s="1046">
        <v>14.11</v>
      </c>
      <c r="AT47" s="1046">
        <v>14.11</v>
      </c>
      <c r="AU47" s="1046">
        <v>14.11</v>
      </c>
      <c r="AV47" s="1046">
        <v>14.11</v>
      </c>
      <c r="AW47" s="1046">
        <v>14.11</v>
      </c>
      <c r="AX47" s="1046">
        <v>14.11</v>
      </c>
      <c r="AY47" s="1046">
        <v>14.11</v>
      </c>
      <c r="AZ47" s="1046">
        <v>14.11</v>
      </c>
      <c r="BA47" s="1046">
        <v>14.11</v>
      </c>
      <c r="BB47" s="1046">
        <v>14.11</v>
      </c>
      <c r="BC47" s="1046">
        <v>14.11</v>
      </c>
      <c r="BD47" s="1046">
        <v>14.11</v>
      </c>
      <c r="BE47" s="1046">
        <v>14.11</v>
      </c>
      <c r="BF47" s="1046">
        <v>14.11</v>
      </c>
      <c r="BG47" s="1046">
        <v>14.11</v>
      </c>
      <c r="BH47" s="1046">
        <v>14.11</v>
      </c>
      <c r="BI47" s="1046">
        <v>14.11</v>
      </c>
      <c r="BJ47" s="1046">
        <v>14.11</v>
      </c>
      <c r="BK47" s="1046">
        <v>14.11</v>
      </c>
      <c r="BL47" s="1046">
        <v>14.11</v>
      </c>
      <c r="BM47" s="1046">
        <v>14.11</v>
      </c>
      <c r="BN47" s="1046">
        <v>14.11</v>
      </c>
      <c r="BO47" s="1046">
        <v>14.11</v>
      </c>
      <c r="BP47" s="1046">
        <v>14.11</v>
      </c>
      <c r="BQ47" s="1046">
        <v>14.11</v>
      </c>
      <c r="BR47" s="1046">
        <v>14.11</v>
      </c>
      <c r="BS47" s="1046">
        <v>14.11</v>
      </c>
      <c r="BT47" s="1046">
        <v>14.11</v>
      </c>
      <c r="BU47" s="1046">
        <v>14.11</v>
      </c>
      <c r="BV47" s="1048">
        <v>14.11</v>
      </c>
    </row>
    <row r="48" spans="1:106" s="1040" customFormat="1" x14ac:dyDescent="0.25">
      <c r="A48" s="1045" t="s">
        <v>311</v>
      </c>
      <c r="B48" s="1042"/>
      <c r="C48" s="1043"/>
      <c r="D48" s="1240"/>
      <c r="E48" s="1043"/>
      <c r="F48" s="1042"/>
      <c r="G48" s="1042"/>
      <c r="H48" s="1042"/>
      <c r="I48" s="1042"/>
      <c r="J48" s="1042"/>
      <c r="K48" s="1042"/>
      <c r="L48" s="1042"/>
      <c r="M48" s="1042"/>
      <c r="N48" s="1046">
        <v>23.6</v>
      </c>
      <c r="O48" s="1046">
        <v>23.6</v>
      </c>
      <c r="P48" s="1046">
        <v>23.6</v>
      </c>
      <c r="Q48" s="1046">
        <v>23.6</v>
      </c>
      <c r="R48" s="1046">
        <v>23.6</v>
      </c>
      <c r="S48" s="1046">
        <v>23.6</v>
      </c>
      <c r="T48" s="1046">
        <v>23.6</v>
      </c>
      <c r="U48" s="1046">
        <v>23.6</v>
      </c>
      <c r="V48" s="1046">
        <v>23.6</v>
      </c>
      <c r="W48" s="1046">
        <v>23.6</v>
      </c>
      <c r="X48" s="1046">
        <v>23.6</v>
      </c>
      <c r="Y48" s="1046">
        <v>23.6</v>
      </c>
      <c r="Z48" s="1046">
        <v>23.6</v>
      </c>
      <c r="AA48" s="1046">
        <v>23.6</v>
      </c>
      <c r="AB48" s="1046">
        <v>23.6</v>
      </c>
      <c r="AC48" s="1046">
        <v>23.6</v>
      </c>
      <c r="AD48" s="1046">
        <v>23.6</v>
      </c>
      <c r="AE48" s="1046">
        <v>23.6</v>
      </c>
      <c r="AF48" s="1046">
        <v>23.6</v>
      </c>
      <c r="AG48" s="1046">
        <v>23.6</v>
      </c>
      <c r="AH48" s="1046">
        <v>23.6</v>
      </c>
      <c r="AI48" s="1046">
        <v>23.6</v>
      </c>
      <c r="AJ48" s="1046">
        <v>23.6</v>
      </c>
      <c r="AK48" s="1046">
        <v>23.6</v>
      </c>
      <c r="AL48" s="1046">
        <v>23.6</v>
      </c>
      <c r="AM48" s="1046">
        <v>23.6</v>
      </c>
      <c r="AN48" s="1046">
        <v>23.6</v>
      </c>
      <c r="AO48" s="1046">
        <v>23.6</v>
      </c>
      <c r="AP48" s="1046">
        <v>23.6</v>
      </c>
      <c r="AQ48" s="1046">
        <v>23.6</v>
      </c>
      <c r="AR48" s="1046">
        <v>23.6</v>
      </c>
      <c r="AS48" s="1046">
        <v>23.6</v>
      </c>
      <c r="AT48" s="1046">
        <v>23.6</v>
      </c>
      <c r="AU48" s="1046">
        <v>23.6</v>
      </c>
      <c r="AV48" s="1046">
        <v>23.6</v>
      </c>
      <c r="AW48" s="1046">
        <v>23.6</v>
      </c>
      <c r="AX48" s="1046">
        <v>23.6</v>
      </c>
      <c r="AY48" s="1046">
        <v>23.6</v>
      </c>
      <c r="AZ48" s="1046">
        <v>23.6</v>
      </c>
      <c r="BA48" s="1046">
        <v>23.6</v>
      </c>
      <c r="BB48" s="1046">
        <v>23.6</v>
      </c>
      <c r="BC48" s="1046">
        <v>23.6</v>
      </c>
      <c r="BD48" s="1046">
        <v>23.6</v>
      </c>
      <c r="BE48" s="1046">
        <v>23.6</v>
      </c>
      <c r="BF48" s="1046">
        <v>23.6</v>
      </c>
      <c r="BG48" s="1046">
        <v>23.6</v>
      </c>
      <c r="BH48" s="1046">
        <v>23.6</v>
      </c>
      <c r="BI48" s="1046">
        <v>23.6</v>
      </c>
      <c r="BJ48" s="1046">
        <v>23.6</v>
      </c>
      <c r="BK48" s="1046">
        <v>23.6</v>
      </c>
      <c r="BL48" s="1046">
        <v>23.6</v>
      </c>
      <c r="BM48" s="1046">
        <v>23.6</v>
      </c>
      <c r="BN48" s="1046">
        <v>23.6</v>
      </c>
      <c r="BO48" s="1046">
        <v>23.6</v>
      </c>
      <c r="BP48" s="1046">
        <v>23.6</v>
      </c>
      <c r="BQ48" s="1046">
        <v>23.6</v>
      </c>
      <c r="BR48" s="1046">
        <v>23.6</v>
      </c>
      <c r="BS48" s="1046">
        <v>23.6</v>
      </c>
      <c r="BT48" s="1046">
        <v>23.6</v>
      </c>
      <c r="BU48" s="1046">
        <v>23.6</v>
      </c>
      <c r="BV48" s="1048">
        <v>23.6</v>
      </c>
    </row>
    <row r="49" spans="1:104" s="1040" customFormat="1" x14ac:dyDescent="0.25">
      <c r="A49" s="1047" t="s">
        <v>1112</v>
      </c>
      <c r="B49" s="1042"/>
      <c r="C49" s="1043"/>
      <c r="D49" s="1240"/>
      <c r="E49" s="1043"/>
      <c r="F49" s="1042"/>
      <c r="G49" s="1042"/>
      <c r="H49" s="1042"/>
      <c r="I49" s="1042"/>
      <c r="J49" s="1042"/>
      <c r="K49" s="1042"/>
      <c r="L49" s="1042"/>
      <c r="M49" s="1042"/>
      <c r="N49" s="1046">
        <v>25.561684</v>
      </c>
      <c r="O49" s="1046">
        <v>25.303816000000001</v>
      </c>
      <c r="P49" s="1046">
        <v>33.642014000000003</v>
      </c>
      <c r="Q49" s="1046">
        <v>31.120284999999999</v>
      </c>
      <c r="R49" s="1046">
        <v>24.805427999999999</v>
      </c>
      <c r="S49" s="1046">
        <v>24.941547</v>
      </c>
      <c r="T49" s="1046">
        <v>24.510408000000002</v>
      </c>
      <c r="U49" s="1046">
        <v>24.773121</v>
      </c>
      <c r="V49" s="1046">
        <v>25.840997999999999</v>
      </c>
      <c r="W49" s="1046">
        <v>26.808551999999999</v>
      </c>
      <c r="X49" s="1046">
        <v>29.644617</v>
      </c>
      <c r="Y49" s="1046">
        <v>29.383793000000001</v>
      </c>
      <c r="Z49" s="1046">
        <v>28.224442</v>
      </c>
      <c r="AA49" s="1046">
        <v>28.253482999999999</v>
      </c>
      <c r="AB49" s="1046">
        <v>27.145426</v>
      </c>
      <c r="AC49" s="1046">
        <v>27.272445999999999</v>
      </c>
      <c r="AD49" s="1046">
        <v>27.519344</v>
      </c>
      <c r="AE49" s="1046">
        <v>26.363682000000001</v>
      </c>
      <c r="AF49" s="1046">
        <v>26.241467</v>
      </c>
      <c r="AG49" s="1046">
        <v>26.599018000000001</v>
      </c>
      <c r="AH49" s="1046">
        <v>26.941008</v>
      </c>
      <c r="AI49" s="1046">
        <v>27.294556</v>
      </c>
      <c r="AJ49" s="1046">
        <v>27.667862</v>
      </c>
      <c r="AK49" s="1046">
        <v>28.194492</v>
      </c>
      <c r="AL49" s="1046">
        <v>28.632065000000001</v>
      </c>
      <c r="AM49" s="1046">
        <v>29.186733</v>
      </c>
      <c r="AN49" s="1046">
        <v>29.790071000000001</v>
      </c>
      <c r="AO49" s="1046">
        <v>30.397635000000001</v>
      </c>
      <c r="AP49" s="1046">
        <v>30.990224999999999</v>
      </c>
      <c r="AQ49" s="1046">
        <v>31.671036000000001</v>
      </c>
      <c r="AR49" s="1046">
        <v>30.576360999999999</v>
      </c>
      <c r="AS49" s="1042"/>
      <c r="AT49" s="1042"/>
      <c r="AU49" s="1042"/>
      <c r="AV49" s="1042"/>
      <c r="AW49" s="1042"/>
      <c r="AX49" s="1042"/>
      <c r="AY49" s="1042"/>
      <c r="AZ49" s="1042"/>
      <c r="BA49" s="1042"/>
      <c r="BB49" s="1042"/>
      <c r="BC49" s="1042"/>
      <c r="BD49" s="1042"/>
      <c r="BE49" s="1042"/>
      <c r="BF49" s="1042"/>
      <c r="BG49" s="1042"/>
      <c r="BH49" s="1042"/>
      <c r="BI49" s="1042"/>
      <c r="BJ49" s="1042"/>
      <c r="BK49" s="1042"/>
      <c r="BL49" s="1042"/>
      <c r="BM49" s="1042"/>
      <c r="BN49" s="1042"/>
      <c r="BO49" s="1042"/>
      <c r="BP49" s="1042"/>
      <c r="BQ49" s="1042"/>
      <c r="BR49" s="1042"/>
      <c r="BS49" s="1042"/>
      <c r="BT49" s="1042"/>
      <c r="BU49" s="1042"/>
      <c r="BV49" s="1044"/>
    </row>
    <row r="50" spans="1:104" s="1040" customFormat="1" x14ac:dyDescent="0.25">
      <c r="A50" s="1045" t="s">
        <v>1088</v>
      </c>
      <c r="B50" s="1042"/>
      <c r="C50" s="1043"/>
      <c r="D50" s="1240"/>
      <c r="E50" s="1043"/>
      <c r="F50" s="1042"/>
      <c r="G50" s="1042"/>
      <c r="H50" s="1042"/>
      <c r="I50" s="1042"/>
      <c r="J50" s="1042"/>
      <c r="K50" s="1042"/>
      <c r="L50" s="1042"/>
      <c r="M50" s="1042"/>
      <c r="N50" s="1046">
        <v>2.2979889999999998</v>
      </c>
      <c r="O50" s="1046">
        <v>2.38</v>
      </c>
      <c r="P50" s="1046">
        <v>2.4052739999999999</v>
      </c>
      <c r="Q50" s="1046">
        <v>2.3369110000000002</v>
      </c>
      <c r="R50" s="1046">
        <v>2.3950149999999999</v>
      </c>
      <c r="S50" s="1046">
        <v>2.3961070000000002</v>
      </c>
      <c r="T50" s="1046">
        <v>2.4583050000000002</v>
      </c>
      <c r="U50" s="1046">
        <v>2.472283</v>
      </c>
      <c r="V50" s="1046">
        <v>2.4802620000000002</v>
      </c>
      <c r="W50" s="1046">
        <v>2.4838239999999998</v>
      </c>
      <c r="X50" s="1046">
        <v>2.516057</v>
      </c>
      <c r="Y50" s="1046">
        <v>2.5464560000000001</v>
      </c>
      <c r="Z50" s="1046">
        <v>2.591459</v>
      </c>
      <c r="AA50" s="1046">
        <v>2.6280779999999999</v>
      </c>
      <c r="AB50" s="1046">
        <v>2.6593969999999998</v>
      </c>
      <c r="AC50" s="1046">
        <v>2.691643</v>
      </c>
      <c r="AD50" s="1046">
        <v>2.7285810000000001</v>
      </c>
      <c r="AE50" s="1046">
        <v>2.7618779999999998</v>
      </c>
      <c r="AF50" s="1046">
        <v>2.7919909999999999</v>
      </c>
      <c r="AG50" s="1046">
        <v>2.8282630000000002</v>
      </c>
      <c r="AH50" s="1046">
        <v>2.8670900000000001</v>
      </c>
      <c r="AI50" s="1046">
        <v>2.8969999999999998</v>
      </c>
      <c r="AJ50" s="1046">
        <v>2.9238430000000002</v>
      </c>
      <c r="AK50" s="1046">
        <v>2.954224</v>
      </c>
      <c r="AL50" s="1046">
        <v>2.98759</v>
      </c>
      <c r="AM50" s="1046">
        <v>3.030205</v>
      </c>
      <c r="AN50" s="1046">
        <v>3.0670109999999999</v>
      </c>
      <c r="AO50" s="1046">
        <v>3.1012659999999999</v>
      </c>
      <c r="AP50" s="1046">
        <v>3.134995</v>
      </c>
      <c r="AQ50" s="1046">
        <v>3.169994</v>
      </c>
      <c r="AR50" s="1046">
        <v>3.2015440000000002</v>
      </c>
      <c r="AS50" s="1042"/>
      <c r="AT50" s="1042"/>
      <c r="AU50" s="1042"/>
      <c r="AV50" s="1042"/>
      <c r="AW50" s="1042"/>
      <c r="AX50" s="1042"/>
      <c r="AY50" s="1042"/>
      <c r="AZ50" s="1042"/>
      <c r="BA50" s="1042"/>
      <c r="BB50" s="1042"/>
      <c r="BC50" s="1042"/>
      <c r="BD50" s="1042"/>
      <c r="BE50" s="1042"/>
      <c r="BF50" s="1042"/>
      <c r="BG50" s="1042"/>
      <c r="BH50" s="1042"/>
      <c r="BI50" s="1042"/>
      <c r="BJ50" s="1042"/>
      <c r="BK50" s="1042"/>
      <c r="BL50" s="1042"/>
      <c r="BM50" s="1042"/>
      <c r="BN50" s="1042"/>
      <c r="BO50" s="1042"/>
      <c r="BP50" s="1042"/>
      <c r="BQ50" s="1042"/>
      <c r="BR50" s="1042"/>
      <c r="BS50" s="1042"/>
      <c r="BT50" s="1042"/>
      <c r="BU50" s="1042"/>
      <c r="BV50" s="1044"/>
    </row>
    <row r="51" spans="1:104" s="1040" customFormat="1" x14ac:dyDescent="0.25">
      <c r="A51" s="1045" t="s">
        <v>683</v>
      </c>
      <c r="B51" s="1042"/>
      <c r="C51" s="1043"/>
      <c r="D51" s="1240"/>
      <c r="E51" s="1043"/>
      <c r="F51" s="1042"/>
      <c r="G51" s="1042"/>
      <c r="H51" s="1042"/>
      <c r="I51" s="1042"/>
      <c r="J51" s="1042"/>
      <c r="K51" s="1042"/>
      <c r="L51" s="1042"/>
      <c r="M51" s="1042"/>
      <c r="N51" s="1046">
        <v>30.492578999999999</v>
      </c>
      <c r="O51" s="1046">
        <v>29.980651999999999</v>
      </c>
      <c r="P51" s="1046">
        <v>28.463469</v>
      </c>
      <c r="Q51" s="1046">
        <v>27.770492999999998</v>
      </c>
      <c r="R51" s="1046">
        <v>27.844252000000001</v>
      </c>
      <c r="S51" s="1046">
        <v>27.733993999999999</v>
      </c>
      <c r="T51" s="1046">
        <v>28.230274000000001</v>
      </c>
      <c r="U51" s="1046">
        <v>28.517765000000001</v>
      </c>
      <c r="V51" s="1046">
        <v>28.644997</v>
      </c>
      <c r="W51" s="1046">
        <v>28.576813000000001</v>
      </c>
      <c r="X51" s="1046">
        <v>28.566559000000002</v>
      </c>
      <c r="Y51" s="1046">
        <v>28.675744999999999</v>
      </c>
      <c r="Z51" s="1046">
        <v>28.66461</v>
      </c>
      <c r="AA51" s="1046">
        <v>28.628443000000001</v>
      </c>
      <c r="AB51" s="1046">
        <v>28.632759</v>
      </c>
      <c r="AC51" s="1046">
        <v>28.485842000000002</v>
      </c>
      <c r="AD51" s="1046">
        <v>28.378672000000002</v>
      </c>
      <c r="AE51" s="1046">
        <v>28.369689999999999</v>
      </c>
      <c r="AF51" s="1046">
        <v>28.482963999999999</v>
      </c>
      <c r="AG51" s="1046">
        <v>28.577332999999999</v>
      </c>
      <c r="AH51" s="1046">
        <v>28.652301999999999</v>
      </c>
      <c r="AI51" s="1046">
        <v>28.781072999999999</v>
      </c>
      <c r="AJ51" s="1046">
        <v>28.912566999999999</v>
      </c>
      <c r="AK51" s="1046">
        <v>29.081726</v>
      </c>
      <c r="AL51" s="1046">
        <v>29.271111999999999</v>
      </c>
      <c r="AM51" s="1046">
        <v>29.658476</v>
      </c>
      <c r="AN51" s="1046">
        <v>30.101704000000002</v>
      </c>
      <c r="AO51" s="1046">
        <v>30.503069</v>
      </c>
      <c r="AP51" s="1046">
        <v>30.944068999999999</v>
      </c>
      <c r="AQ51" s="1046">
        <v>31.476562000000001</v>
      </c>
      <c r="AR51" s="1046">
        <v>31.747146999999998</v>
      </c>
      <c r="AS51" s="1042"/>
      <c r="AT51" s="1042"/>
      <c r="AU51" s="1042"/>
      <c r="AV51" s="1042"/>
      <c r="AW51" s="1042"/>
      <c r="AX51" s="1042"/>
      <c r="AY51" s="1042"/>
      <c r="AZ51" s="1042"/>
      <c r="BA51" s="1042"/>
      <c r="BB51" s="1042"/>
      <c r="BC51" s="1042"/>
      <c r="BD51" s="1042"/>
      <c r="BE51" s="1042"/>
      <c r="BF51" s="1042"/>
      <c r="BG51" s="1042"/>
      <c r="BH51" s="1042"/>
      <c r="BI51" s="1042"/>
      <c r="BJ51" s="1042"/>
      <c r="BK51" s="1042"/>
      <c r="BL51" s="1042"/>
      <c r="BM51" s="1042"/>
      <c r="BN51" s="1042"/>
      <c r="BO51" s="1042"/>
      <c r="BP51" s="1042"/>
      <c r="BQ51" s="1042"/>
      <c r="BR51" s="1042"/>
      <c r="BS51" s="1042"/>
      <c r="BT51" s="1042"/>
      <c r="BU51" s="1042"/>
      <c r="BV51" s="1044"/>
    </row>
    <row r="52" spans="1:104" s="1040" customFormat="1" x14ac:dyDescent="0.25">
      <c r="A52" s="1045" t="s">
        <v>698</v>
      </c>
      <c r="B52" s="1042"/>
      <c r="C52" s="1043"/>
      <c r="D52" s="1240"/>
      <c r="E52" s="1043"/>
      <c r="F52" s="1042"/>
      <c r="G52" s="1042"/>
      <c r="H52" s="1042"/>
      <c r="I52" s="1042"/>
      <c r="J52" s="1042"/>
      <c r="K52" s="1042"/>
      <c r="L52" s="1042"/>
      <c r="M52" s="1042"/>
      <c r="N52" s="1046">
        <v>20.260442999999999</v>
      </c>
      <c r="O52" s="1046">
        <v>19.975739999999998</v>
      </c>
      <c r="P52" s="1046">
        <v>18.436015999999999</v>
      </c>
      <c r="Q52" s="1046">
        <v>18.142965</v>
      </c>
      <c r="R52" s="1046">
        <v>18.046112000000001</v>
      </c>
      <c r="S52" s="1046">
        <v>17.884491000000001</v>
      </c>
      <c r="T52" s="1046">
        <v>18.368113000000001</v>
      </c>
      <c r="U52" s="1046">
        <v>18.636278000000001</v>
      </c>
      <c r="V52" s="1046">
        <v>18.783104000000002</v>
      </c>
      <c r="W52" s="1046">
        <v>18.727132999999998</v>
      </c>
      <c r="X52" s="1046">
        <v>18.720291</v>
      </c>
      <c r="Y52" s="1046">
        <v>18.854441000000001</v>
      </c>
      <c r="Z52" s="1046">
        <v>18.961594000000002</v>
      </c>
      <c r="AA52" s="1046">
        <v>19.089853000000002</v>
      </c>
      <c r="AB52" s="1046">
        <v>19.158766</v>
      </c>
      <c r="AC52" s="1046">
        <v>19.181961000000001</v>
      </c>
      <c r="AD52" s="1046">
        <v>19.274345</v>
      </c>
      <c r="AE52" s="1046">
        <v>19.362473000000001</v>
      </c>
      <c r="AF52" s="1046">
        <v>19.467001</v>
      </c>
      <c r="AG52" s="1046">
        <v>19.610374</v>
      </c>
      <c r="AH52" s="1046">
        <v>19.726358000000001</v>
      </c>
      <c r="AI52" s="1046">
        <v>19.866886000000001</v>
      </c>
      <c r="AJ52" s="1046">
        <v>20.029399999999999</v>
      </c>
      <c r="AK52" s="1046">
        <v>20.204810999999999</v>
      </c>
      <c r="AL52" s="1046">
        <v>20.42868</v>
      </c>
      <c r="AM52" s="1046">
        <v>20.795019</v>
      </c>
      <c r="AN52" s="1046">
        <v>21.263971000000002</v>
      </c>
      <c r="AO52" s="1046">
        <v>21.670811</v>
      </c>
      <c r="AP52" s="1046">
        <v>22.067454999999999</v>
      </c>
      <c r="AQ52" s="1046">
        <v>22.488647</v>
      </c>
      <c r="AR52" s="1046">
        <v>22.744430999999999</v>
      </c>
      <c r="AS52" s="1042"/>
      <c r="AT52" s="1042"/>
      <c r="AU52" s="1042"/>
      <c r="AV52" s="1042"/>
      <c r="AW52" s="1042"/>
      <c r="AX52" s="1042"/>
      <c r="AY52" s="1042"/>
      <c r="AZ52" s="1042"/>
      <c r="BA52" s="1042"/>
      <c r="BB52" s="1042"/>
      <c r="BC52" s="1042"/>
      <c r="BD52" s="1042"/>
      <c r="BE52" s="1042"/>
      <c r="BF52" s="1042"/>
      <c r="BG52" s="1042"/>
      <c r="BH52" s="1042"/>
      <c r="BI52" s="1042"/>
      <c r="BJ52" s="1042"/>
      <c r="BK52" s="1042"/>
      <c r="BL52" s="1042"/>
      <c r="BM52" s="1042"/>
      <c r="BN52" s="1042"/>
      <c r="BO52" s="1042"/>
      <c r="BP52" s="1042"/>
      <c r="BQ52" s="1042"/>
      <c r="BR52" s="1042"/>
      <c r="BS52" s="1042"/>
      <c r="BT52" s="1042"/>
      <c r="BU52" s="1042"/>
      <c r="BV52" s="1044"/>
    </row>
    <row r="53" spans="1:104" s="1040" customFormat="1" ht="13.8" thickBot="1" x14ac:dyDescent="0.3">
      <c r="A53" s="1049" t="s">
        <v>684</v>
      </c>
      <c r="B53" s="1050"/>
      <c r="C53" s="1051"/>
      <c r="D53" s="1241"/>
      <c r="E53" s="1051"/>
      <c r="F53" s="1050"/>
      <c r="G53" s="1050"/>
      <c r="H53" s="1050"/>
      <c r="I53" s="1050"/>
      <c r="J53" s="1050"/>
      <c r="K53" s="1050"/>
      <c r="L53" s="1050"/>
      <c r="M53" s="1050"/>
      <c r="N53" s="1052">
        <v>34.522823000000002</v>
      </c>
      <c r="O53" s="1052">
        <v>34.335875999999999</v>
      </c>
      <c r="P53" s="1052">
        <v>33.266716000000002</v>
      </c>
      <c r="Q53" s="1052">
        <v>32.549408</v>
      </c>
      <c r="R53" s="1052">
        <v>33.007488000000002</v>
      </c>
      <c r="S53" s="1052">
        <v>33.062362999999998</v>
      </c>
      <c r="T53" s="1052">
        <v>33.578304000000003</v>
      </c>
      <c r="U53" s="1052">
        <v>33.826259999999998</v>
      </c>
      <c r="V53" s="1052">
        <v>33.834632999999997</v>
      </c>
      <c r="W53" s="1052">
        <v>33.642589999999998</v>
      </c>
      <c r="X53" s="1052">
        <v>33.615443999999997</v>
      </c>
      <c r="Y53" s="1052">
        <v>33.658813000000002</v>
      </c>
      <c r="Z53" s="1052">
        <v>33.691249999999997</v>
      </c>
      <c r="AA53" s="1052">
        <v>33.703487000000003</v>
      </c>
      <c r="AB53" s="1052">
        <v>33.839970000000001</v>
      </c>
      <c r="AC53" s="1052">
        <v>33.959377000000003</v>
      </c>
      <c r="AD53" s="1052">
        <v>34.126075999999998</v>
      </c>
      <c r="AE53" s="1052">
        <v>34.265704999999997</v>
      </c>
      <c r="AF53" s="1052">
        <v>34.413651000000002</v>
      </c>
      <c r="AG53" s="1052">
        <v>34.510967000000001</v>
      </c>
      <c r="AH53" s="1052">
        <v>34.561591999999997</v>
      </c>
      <c r="AI53" s="1052">
        <v>34.686400999999996</v>
      </c>
      <c r="AJ53" s="1052">
        <v>34.807406999999998</v>
      </c>
      <c r="AK53" s="1052">
        <v>34.923721</v>
      </c>
      <c r="AL53" s="1052">
        <v>35.082526999999999</v>
      </c>
      <c r="AM53" s="1052">
        <v>35.421287999999997</v>
      </c>
      <c r="AN53" s="1052">
        <v>35.835976000000002</v>
      </c>
      <c r="AO53" s="1052">
        <v>36.175975999999999</v>
      </c>
      <c r="AP53" s="1052">
        <v>36.502800000000001</v>
      </c>
      <c r="AQ53" s="1052">
        <v>36.906086000000002</v>
      </c>
      <c r="AR53" s="1052">
        <v>37.098595000000003</v>
      </c>
      <c r="AS53" s="1050"/>
      <c r="AT53" s="1050"/>
      <c r="AU53" s="1050"/>
      <c r="AV53" s="1050"/>
      <c r="AW53" s="1050"/>
      <c r="AX53" s="1050"/>
      <c r="AY53" s="1050"/>
      <c r="AZ53" s="1050"/>
      <c r="BA53" s="1050"/>
      <c r="BB53" s="1050"/>
      <c r="BC53" s="1050"/>
      <c r="BD53" s="1050"/>
      <c r="BE53" s="1050"/>
      <c r="BF53" s="1050"/>
      <c r="BG53" s="1050"/>
      <c r="BH53" s="1050"/>
      <c r="BI53" s="1050"/>
      <c r="BJ53" s="1050"/>
      <c r="BK53" s="1050"/>
      <c r="BL53" s="1050"/>
      <c r="BM53" s="1050"/>
      <c r="BN53" s="1050"/>
      <c r="BO53" s="1050"/>
      <c r="BP53" s="1050"/>
      <c r="BQ53" s="1050"/>
      <c r="BR53" s="1050"/>
      <c r="BS53" s="1050"/>
      <c r="BT53" s="1050"/>
      <c r="BU53" s="1050"/>
      <c r="BV53" s="1053"/>
    </row>
    <row r="54" spans="1:104" x14ac:dyDescent="0.25">
      <c r="A54" s="872"/>
      <c r="B54" s="260"/>
      <c r="C54" s="869"/>
      <c r="D54" s="1238"/>
      <c r="E54" s="869"/>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c r="AE54" s="260"/>
      <c r="AF54" s="260"/>
      <c r="AG54" s="260"/>
      <c r="AH54" s="260"/>
      <c r="AI54" s="260"/>
      <c r="AJ54" s="260"/>
      <c r="AK54" s="260"/>
      <c r="AL54" s="260"/>
      <c r="AM54" s="260"/>
      <c r="AN54" s="260"/>
      <c r="AO54" s="260"/>
      <c r="AP54" s="260"/>
      <c r="AQ54" s="260"/>
      <c r="AR54" s="260"/>
      <c r="AS54" s="260"/>
      <c r="AT54" s="260"/>
      <c r="AU54" s="260"/>
      <c r="AV54" s="260"/>
      <c r="AW54" s="260"/>
      <c r="AX54" s="260"/>
      <c r="AY54" s="260"/>
      <c r="AZ54" s="260"/>
      <c r="BA54" s="260"/>
      <c r="BB54" s="260"/>
      <c r="BC54" s="260"/>
      <c r="BD54" s="260"/>
      <c r="BE54" s="260"/>
      <c r="BF54" s="260"/>
      <c r="BG54" s="260"/>
      <c r="BH54" s="260"/>
      <c r="BI54" s="260"/>
      <c r="BJ54" s="260"/>
      <c r="BK54" s="260"/>
      <c r="BL54" s="260"/>
      <c r="BM54" s="260"/>
      <c r="BN54" s="260"/>
      <c r="BO54" s="260"/>
      <c r="BP54" s="260"/>
      <c r="BQ54" s="260"/>
      <c r="BR54" s="260"/>
      <c r="BS54" s="260"/>
      <c r="BT54" s="260"/>
      <c r="BU54" s="260"/>
      <c r="BV54" s="871"/>
    </row>
    <row r="55" spans="1:104" ht="13.8" thickBot="1" x14ac:dyDescent="0.3">
      <c r="A55" s="872"/>
      <c r="B55" s="260"/>
      <c r="C55" s="869"/>
      <c r="D55" s="1238"/>
      <c r="E55" s="876"/>
      <c r="F55" s="875"/>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c r="AE55" s="260"/>
      <c r="AF55" s="260"/>
      <c r="AG55" s="260"/>
      <c r="AH55" s="260"/>
      <c r="AI55" s="260"/>
      <c r="AJ55" s="260"/>
      <c r="AK55" s="260"/>
      <c r="AL55" s="260"/>
      <c r="AM55" s="260"/>
      <c r="AN55" s="260"/>
      <c r="AO55" s="260"/>
      <c r="AP55" s="260"/>
      <c r="AQ55" s="260"/>
      <c r="AR55" s="260"/>
      <c r="AS55" s="260"/>
      <c r="AT55" s="260"/>
      <c r="AU55" s="260"/>
      <c r="AV55" s="260"/>
      <c r="AW55" s="260"/>
      <c r="AX55" s="260"/>
      <c r="AY55" s="260"/>
      <c r="AZ55" s="260"/>
      <c r="BA55" s="260"/>
      <c r="BB55" s="260"/>
      <c r="BC55" s="260"/>
      <c r="BD55" s="260"/>
      <c r="BE55" s="260"/>
      <c r="BF55" s="260"/>
      <c r="BG55" s="260"/>
      <c r="BH55" s="260"/>
      <c r="BI55" s="260"/>
      <c r="BJ55" s="260"/>
      <c r="BK55" s="260"/>
      <c r="BL55" s="260"/>
      <c r="BM55" s="260"/>
      <c r="BN55" s="260"/>
      <c r="BO55" s="260"/>
      <c r="BP55" s="260"/>
      <c r="BQ55" s="260"/>
      <c r="BR55" s="260"/>
      <c r="BS55" s="260"/>
      <c r="BT55" s="260"/>
      <c r="BU55" s="260"/>
      <c r="BV55" s="871"/>
    </row>
    <row r="56" spans="1:104" ht="13.8" thickTop="1" x14ac:dyDescent="0.25">
      <c r="A56" s="862" t="s">
        <v>1107</v>
      </c>
      <c r="B56" s="863" t="str">
        <f>"Prices are in $(" &amp; ref_year&amp;")/GJ LHV"</f>
        <v>Prices are in $(2016)/GJ LHV</v>
      </c>
      <c r="C56" s="863"/>
      <c r="D56" s="1242"/>
      <c r="E56" s="863"/>
      <c r="F56" s="864"/>
      <c r="G56" s="864"/>
      <c r="H56" s="864"/>
      <c r="I56" s="864"/>
      <c r="J56" s="864"/>
      <c r="K56" s="864"/>
      <c r="L56" s="864"/>
      <c r="M56" s="864"/>
      <c r="N56" s="864"/>
      <c r="O56" s="864"/>
      <c r="P56" s="864"/>
      <c r="Q56" s="864"/>
      <c r="R56" s="864"/>
      <c r="S56" s="864"/>
      <c r="T56" s="864"/>
      <c r="U56" s="864"/>
      <c r="V56" s="864"/>
      <c r="W56" s="864"/>
      <c r="X56" s="864"/>
      <c r="Y56" s="864"/>
      <c r="Z56" s="864"/>
      <c r="AA56" s="864"/>
      <c r="AB56" s="864"/>
      <c r="AC56" s="864"/>
      <c r="AD56" s="864"/>
      <c r="AE56" s="864"/>
      <c r="AF56" s="864"/>
      <c r="AG56" s="864"/>
      <c r="AH56" s="864"/>
      <c r="AI56" s="864"/>
      <c r="AJ56" s="864"/>
      <c r="AK56" s="864"/>
      <c r="AL56" s="864"/>
      <c r="AM56" s="864"/>
      <c r="AN56" s="864"/>
      <c r="AO56" s="864"/>
      <c r="AP56" s="864"/>
      <c r="AQ56" s="864"/>
      <c r="AR56" s="864"/>
      <c r="AS56" s="877" t="s">
        <v>772</v>
      </c>
      <c r="AT56" s="878"/>
      <c r="AU56" s="878"/>
      <c r="AV56" s="878"/>
      <c r="AW56" s="878"/>
      <c r="AX56" s="878"/>
      <c r="AY56" s="878"/>
      <c r="AZ56" s="878"/>
      <c r="BA56" s="878"/>
      <c r="BB56" s="878"/>
      <c r="BC56" s="878"/>
      <c r="BD56" s="878"/>
      <c r="BE56" s="878"/>
      <c r="BF56" s="878"/>
      <c r="BG56" s="878"/>
      <c r="BH56" s="878"/>
      <c r="BI56" s="878"/>
      <c r="BJ56" s="878"/>
      <c r="BK56" s="878"/>
      <c r="BL56" s="878"/>
      <c r="BM56" s="878"/>
      <c r="BN56" s="878"/>
      <c r="BO56" s="878"/>
      <c r="BP56" s="878"/>
      <c r="BQ56" s="878"/>
      <c r="BR56" s="878"/>
      <c r="BS56" s="878"/>
      <c r="BT56" s="878"/>
      <c r="BU56" s="878"/>
      <c r="BV56" s="879"/>
    </row>
    <row r="57" spans="1:104" ht="40.200000000000003" thickBot="1" x14ac:dyDescent="0.3">
      <c r="A57" s="1109" t="s">
        <v>1085</v>
      </c>
      <c r="B57" s="1110" t="s">
        <v>678</v>
      </c>
      <c r="C57" s="1110" t="s">
        <v>679</v>
      </c>
      <c r="D57" s="1243" t="s">
        <v>690</v>
      </c>
      <c r="E57" s="1110" t="s">
        <v>691</v>
      </c>
      <c r="F57" s="1111" t="s">
        <v>680</v>
      </c>
      <c r="G57" s="1111" t="s">
        <v>692</v>
      </c>
      <c r="H57" s="1054">
        <v>2004</v>
      </c>
      <c r="I57" s="1054">
        <v>2005</v>
      </c>
      <c r="J57" s="1054">
        <v>2006</v>
      </c>
      <c r="K57" s="1054">
        <v>2007</v>
      </c>
      <c r="L57" s="1054">
        <v>2008</v>
      </c>
      <c r="M57" s="1054">
        <v>2009</v>
      </c>
      <c r="N57" s="1111">
        <v>2010</v>
      </c>
      <c r="O57" s="1111">
        <v>2011</v>
      </c>
      <c r="P57" s="1111">
        <v>2012</v>
      </c>
      <c r="Q57" s="1111">
        <v>2013</v>
      </c>
      <c r="R57" s="1111">
        <v>2014</v>
      </c>
      <c r="S57" s="1111">
        <v>2015</v>
      </c>
      <c r="T57" s="1111">
        <v>2016</v>
      </c>
      <c r="U57" s="1111">
        <v>2017</v>
      </c>
      <c r="V57" s="1111">
        <v>2018</v>
      </c>
      <c r="W57" s="1111">
        <v>2019</v>
      </c>
      <c r="X57" s="1111">
        <v>2020</v>
      </c>
      <c r="Y57" s="1111">
        <v>2021</v>
      </c>
      <c r="Z57" s="1111">
        <v>2022</v>
      </c>
      <c r="AA57" s="1111">
        <v>2023</v>
      </c>
      <c r="AB57" s="1111">
        <v>2024</v>
      </c>
      <c r="AC57" s="1111">
        <v>2025</v>
      </c>
      <c r="AD57" s="1111">
        <v>2026</v>
      </c>
      <c r="AE57" s="1111">
        <v>2027</v>
      </c>
      <c r="AF57" s="1111">
        <v>2028</v>
      </c>
      <c r="AG57" s="1111">
        <v>2029</v>
      </c>
      <c r="AH57" s="1111">
        <v>2030</v>
      </c>
      <c r="AI57" s="1111">
        <v>2031</v>
      </c>
      <c r="AJ57" s="1111">
        <v>2032</v>
      </c>
      <c r="AK57" s="1111">
        <v>2033</v>
      </c>
      <c r="AL57" s="1111">
        <v>2034</v>
      </c>
      <c r="AM57" s="1111">
        <v>2035</v>
      </c>
      <c r="AN57" s="1111">
        <v>2036</v>
      </c>
      <c r="AO57" s="1111">
        <v>2037</v>
      </c>
      <c r="AP57" s="1111">
        <v>2038</v>
      </c>
      <c r="AQ57" s="1111">
        <v>2039</v>
      </c>
      <c r="AR57" s="1111">
        <v>2040</v>
      </c>
      <c r="AS57" s="1111">
        <v>2041</v>
      </c>
      <c r="AT57" s="1111">
        <v>2042</v>
      </c>
      <c r="AU57" s="1111">
        <v>2043</v>
      </c>
      <c r="AV57" s="1111">
        <v>2044</v>
      </c>
      <c r="AW57" s="1111">
        <v>2045</v>
      </c>
      <c r="AX57" s="1111">
        <v>2046</v>
      </c>
      <c r="AY57" s="1111">
        <v>2047</v>
      </c>
      <c r="AZ57" s="1111">
        <v>2048</v>
      </c>
      <c r="BA57" s="1111">
        <v>2049</v>
      </c>
      <c r="BB57" s="1111">
        <v>2050</v>
      </c>
      <c r="BC57" s="1111">
        <v>2051</v>
      </c>
      <c r="BD57" s="1111">
        <v>2052</v>
      </c>
      <c r="BE57" s="1111">
        <v>2053</v>
      </c>
      <c r="BF57" s="1111">
        <v>2054</v>
      </c>
      <c r="BG57" s="1111">
        <v>2055</v>
      </c>
      <c r="BH57" s="1111">
        <v>2056</v>
      </c>
      <c r="BI57" s="1111">
        <v>2057</v>
      </c>
      <c r="BJ57" s="1111">
        <v>2058</v>
      </c>
      <c r="BK57" s="1111">
        <v>2059</v>
      </c>
      <c r="BL57" s="1111">
        <v>2060</v>
      </c>
      <c r="BM57" s="1111">
        <v>2061</v>
      </c>
      <c r="BN57" s="1111">
        <v>2062</v>
      </c>
      <c r="BO57" s="1111">
        <v>2063</v>
      </c>
      <c r="BP57" s="1111">
        <v>2064</v>
      </c>
      <c r="BQ57" s="1111">
        <v>2065</v>
      </c>
      <c r="BR57" s="1111">
        <v>2066</v>
      </c>
      <c r="BS57" s="1111">
        <v>2067</v>
      </c>
      <c r="BT57" s="1111">
        <v>2068</v>
      </c>
      <c r="BU57" s="1111">
        <v>2069</v>
      </c>
      <c r="BV57" s="1112">
        <v>2070</v>
      </c>
      <c r="BW57" s="1389">
        <f t="shared" ref="BW57" si="130">+BV57+1</f>
        <v>2071</v>
      </c>
      <c r="BX57" s="1389">
        <f t="shared" ref="BX57" si="131">+BW57+1</f>
        <v>2072</v>
      </c>
      <c r="BY57" s="1389">
        <f t="shared" ref="BY57" si="132">+BX57+1</f>
        <v>2073</v>
      </c>
      <c r="BZ57" s="1389">
        <f t="shared" ref="BZ57" si="133">+BY57+1</f>
        <v>2074</v>
      </c>
      <c r="CA57" s="1389">
        <f t="shared" ref="CA57" si="134">+BZ57+1</f>
        <v>2075</v>
      </c>
      <c r="CB57" s="1389">
        <f t="shared" ref="CB57" si="135">+CA57+1</f>
        <v>2076</v>
      </c>
      <c r="CC57" s="1389">
        <f t="shared" ref="CC57" si="136">+CB57+1</f>
        <v>2077</v>
      </c>
      <c r="CD57" s="1389">
        <f t="shared" ref="CD57" si="137">+CC57+1</f>
        <v>2078</v>
      </c>
      <c r="CE57" s="1389">
        <f t="shared" ref="CE57" si="138">+CD57+1</f>
        <v>2079</v>
      </c>
      <c r="CF57" s="1389">
        <f t="shared" ref="CF57" si="139">+CE57+1</f>
        <v>2080</v>
      </c>
      <c r="CG57" s="1389">
        <f t="shared" ref="CG57" si="140">+CF57+1</f>
        <v>2081</v>
      </c>
      <c r="CH57" s="1389">
        <f t="shared" ref="CH57" si="141">+CG57+1</f>
        <v>2082</v>
      </c>
      <c r="CI57" s="1389">
        <f t="shared" ref="CI57" si="142">+CH57+1</f>
        <v>2083</v>
      </c>
      <c r="CJ57" s="1389">
        <f t="shared" ref="CJ57" si="143">+CI57+1</f>
        <v>2084</v>
      </c>
      <c r="CK57" s="1389">
        <f t="shared" ref="CK57" si="144">+CJ57+1</f>
        <v>2085</v>
      </c>
      <c r="CL57" s="1389">
        <f t="shared" ref="CL57" si="145">+CK57+1</f>
        <v>2086</v>
      </c>
      <c r="CM57" s="1389">
        <f t="shared" ref="CM57" si="146">+CL57+1</f>
        <v>2087</v>
      </c>
      <c r="CN57" s="1389">
        <f t="shared" ref="CN57" si="147">+CM57+1</f>
        <v>2088</v>
      </c>
      <c r="CO57" s="1389">
        <f t="shared" ref="CO57" si="148">+CN57+1</f>
        <v>2089</v>
      </c>
      <c r="CP57" s="1389">
        <f t="shared" ref="CP57" si="149">+CO57+1</f>
        <v>2090</v>
      </c>
      <c r="CQ57" s="1389">
        <f t="shared" ref="CQ57" si="150">+CP57+1</f>
        <v>2091</v>
      </c>
      <c r="CR57" s="1389">
        <f t="shared" ref="CR57" si="151">+CQ57+1</f>
        <v>2092</v>
      </c>
      <c r="CS57" s="1389">
        <f t="shared" ref="CS57" si="152">+CR57+1</f>
        <v>2093</v>
      </c>
      <c r="CT57" s="1389">
        <f t="shared" ref="CT57" si="153">+CS57+1</f>
        <v>2094</v>
      </c>
      <c r="CU57" s="1389">
        <f t="shared" ref="CU57" si="154">+CT57+1</f>
        <v>2095</v>
      </c>
      <c r="CV57" s="1389">
        <f t="shared" ref="CV57" si="155">+CU57+1</f>
        <v>2096</v>
      </c>
      <c r="CW57" s="1389">
        <f t="shared" ref="CW57" si="156">+CV57+1</f>
        <v>2097</v>
      </c>
      <c r="CX57" s="1389">
        <f t="shared" ref="CX57" si="157">+CW57+1</f>
        <v>2098</v>
      </c>
      <c r="CY57" s="1389">
        <f t="shared" ref="CY57" si="158">+CX57+1</f>
        <v>2099</v>
      </c>
      <c r="CZ57" s="1389">
        <f t="shared" ref="CZ57" si="159">+CY57+1</f>
        <v>2100</v>
      </c>
    </row>
    <row r="58" spans="1:104" ht="13.8" thickBot="1" x14ac:dyDescent="0.3">
      <c r="A58" s="865" t="s">
        <v>1091</v>
      </c>
      <c r="B58" s="866"/>
      <c r="C58" s="866"/>
      <c r="D58" s="1244"/>
      <c r="E58" s="866"/>
      <c r="F58" s="866"/>
      <c r="G58" s="866"/>
      <c r="H58" s="866"/>
      <c r="I58" s="866"/>
      <c r="J58" s="866"/>
      <c r="K58" s="866"/>
      <c r="L58" s="866"/>
      <c r="M58" s="866"/>
      <c r="N58" s="866"/>
      <c r="O58" s="866"/>
      <c r="P58" s="866"/>
      <c r="Q58" s="866"/>
      <c r="R58" s="866"/>
      <c r="S58" s="866"/>
      <c r="T58" s="866"/>
      <c r="U58" s="866"/>
      <c r="V58" s="866"/>
      <c r="W58" s="866"/>
      <c r="X58" s="866"/>
      <c r="Y58" s="866"/>
      <c r="Z58" s="866"/>
      <c r="AA58" s="866"/>
      <c r="AB58" s="866"/>
      <c r="AC58" s="866"/>
      <c r="AD58" s="866"/>
      <c r="AE58" s="866"/>
      <c r="AF58" s="866"/>
      <c r="AG58" s="866"/>
      <c r="AH58" s="866"/>
      <c r="AI58" s="866"/>
      <c r="AJ58" s="866"/>
      <c r="AK58" s="866"/>
      <c r="AL58" s="866"/>
      <c r="AM58" s="866"/>
      <c r="AN58" s="866"/>
      <c r="AO58" s="866"/>
      <c r="AP58" s="866"/>
      <c r="AQ58" s="866"/>
      <c r="AR58" s="866"/>
      <c r="AS58" s="866"/>
      <c r="AT58" s="866"/>
      <c r="AU58" s="866"/>
      <c r="AV58" s="866"/>
      <c r="AW58" s="866"/>
      <c r="AX58" s="866"/>
      <c r="AY58" s="866"/>
      <c r="AZ58" s="866"/>
      <c r="BA58" s="866"/>
      <c r="BB58" s="866"/>
      <c r="BC58" s="866"/>
      <c r="BD58" s="866"/>
      <c r="BE58" s="866"/>
      <c r="BF58" s="866"/>
      <c r="BG58" s="866"/>
      <c r="BH58" s="866"/>
      <c r="BI58" s="866"/>
      <c r="BJ58" s="866"/>
      <c r="BK58" s="866"/>
      <c r="BL58" s="866"/>
      <c r="BM58" s="866"/>
      <c r="BN58" s="866"/>
      <c r="BO58" s="866"/>
      <c r="BP58" s="866"/>
      <c r="BQ58" s="866"/>
      <c r="BR58" s="866"/>
      <c r="BS58" s="866"/>
      <c r="BT58" s="866"/>
      <c r="BU58" s="866"/>
      <c r="BV58" s="867"/>
    </row>
    <row r="59" spans="1:104" x14ac:dyDescent="0.25">
      <c r="A59" s="868" t="str">
        <f>'HyARC Physical Property Data'!A73</f>
        <v>Residential Natural Gas</v>
      </c>
      <c r="B59" s="260">
        <v>2011</v>
      </c>
      <c r="C59" s="869">
        <f>VLOOKUP(ref_year,DeflatorTable,2,FALSE)/VLOOKUP(B59,DeflatorTable,2,FALSE)</f>
        <v>1.0784554773635862</v>
      </c>
      <c r="D59" s="1245" t="str">
        <f>'HyARC Physical Property Data'!H73</f>
        <v>mmBtu</v>
      </c>
      <c r="E59" s="869" t="s">
        <v>1059</v>
      </c>
      <c r="F59" s="260">
        <f>'HyARC Physical Property Data'!$E$6</f>
        <v>47.141269049911173</v>
      </c>
      <c r="G59" s="260">
        <f>'HyARC Physical Property Data'!$I$6</f>
        <v>52.224661236371581</v>
      </c>
      <c r="H59" s="1056">
        <v>13.568796522291001</v>
      </c>
      <c r="I59" s="1056">
        <v>13.568796522291001</v>
      </c>
      <c r="J59" s="1056">
        <v>13.568796522291001</v>
      </c>
      <c r="K59" s="1056">
        <v>12.569562315288914</v>
      </c>
      <c r="L59" s="1056">
        <v>12.891154499364562</v>
      </c>
      <c r="M59" s="1056">
        <v>11.574514296329017</v>
      </c>
      <c r="N59" s="260">
        <f t="shared" ref="N59:AR59" si="160">N74*(1/mmBTU_to_GJ*$C59*$G59/$F59)</f>
        <v>12.864072624231566</v>
      </c>
      <c r="O59" s="260">
        <f t="shared" si="160"/>
        <v>12.233256612302414</v>
      </c>
      <c r="P59" s="260">
        <f t="shared" si="160"/>
        <v>11.861152965490446</v>
      </c>
      <c r="Q59" s="260">
        <f t="shared" si="160"/>
        <v>11.893055588099742</v>
      </c>
      <c r="R59" s="260">
        <f t="shared" si="160"/>
        <v>11.702900284056764</v>
      </c>
      <c r="S59" s="260">
        <f t="shared" si="160"/>
        <v>11.584863638053182</v>
      </c>
      <c r="T59" s="260">
        <f t="shared" si="160"/>
        <v>12.172704934041207</v>
      </c>
      <c r="U59" s="260">
        <f t="shared" si="160"/>
        <v>12.561660766684307</v>
      </c>
      <c r="V59" s="260">
        <f t="shared" si="160"/>
        <v>13.040849007274005</v>
      </c>
      <c r="W59" s="260">
        <f t="shared" si="160"/>
        <v>13.334636024602869</v>
      </c>
      <c r="X59" s="260">
        <f t="shared" si="160"/>
        <v>13.585497021910953</v>
      </c>
      <c r="Y59" s="260">
        <f t="shared" si="160"/>
        <v>13.826832870705786</v>
      </c>
      <c r="Z59" s="260">
        <f t="shared" si="160"/>
        <v>14.133121150005612</v>
      </c>
      <c r="AA59" s="260">
        <f t="shared" si="160"/>
        <v>14.415523514141789</v>
      </c>
      <c r="AB59" s="260">
        <f t="shared" si="160"/>
        <v>14.555819858061962</v>
      </c>
      <c r="AC59" s="260">
        <f t="shared" si="160"/>
        <v>14.74260268650484</v>
      </c>
      <c r="AD59" s="260">
        <f t="shared" si="160"/>
        <v>14.962909824951016</v>
      </c>
      <c r="AE59" s="260">
        <f t="shared" si="160"/>
        <v>15.13708380741285</v>
      </c>
      <c r="AF59" s="260">
        <f t="shared" si="160"/>
        <v>15.40515937879654</v>
      </c>
      <c r="AG59" s="260">
        <f t="shared" si="160"/>
        <v>15.610444392046157</v>
      </c>
      <c r="AH59" s="260">
        <f t="shared" si="160"/>
        <v>15.844346751976293</v>
      </c>
      <c r="AI59" s="951">
        <f t="shared" si="160"/>
        <v>16.116906877885302</v>
      </c>
      <c r="AJ59" s="951">
        <f t="shared" si="160"/>
        <v>16.508795790382088</v>
      </c>
      <c r="AK59" s="951">
        <f t="shared" si="160"/>
        <v>16.937809113598334</v>
      </c>
      <c r="AL59" s="951">
        <f t="shared" si="160"/>
        <v>17.381004274269273</v>
      </c>
      <c r="AM59" s="951">
        <f t="shared" si="160"/>
        <v>17.788911879634913</v>
      </c>
      <c r="AN59" s="951">
        <f t="shared" si="160"/>
        <v>18.311687498791546</v>
      </c>
      <c r="AO59" s="951">
        <f t="shared" si="160"/>
        <v>18.65334373828842</v>
      </c>
      <c r="AP59" s="951">
        <f t="shared" si="160"/>
        <v>19.195162859691969</v>
      </c>
      <c r="AQ59" s="951">
        <f t="shared" si="160"/>
        <v>19.682735858288098</v>
      </c>
      <c r="AR59" s="951">
        <f t="shared" si="160"/>
        <v>20.015032288908259</v>
      </c>
      <c r="AS59" s="951">
        <f>($BB59-$AR59)/10+AR59</f>
        <v>20.01518684253227</v>
      </c>
      <c r="AT59" s="951">
        <f t="shared" ref="AT59:BA59" si="161">($BB59-$AR59)/10+AS59</f>
        <v>20.01534139615628</v>
      </c>
      <c r="AU59" s="951">
        <f t="shared" si="161"/>
        <v>20.015495949780291</v>
      </c>
      <c r="AV59" s="951">
        <f t="shared" si="161"/>
        <v>20.015650503404302</v>
      </c>
      <c r="AW59" s="951">
        <f t="shared" si="161"/>
        <v>20.015805057028313</v>
      </c>
      <c r="AX59" s="951">
        <f t="shared" si="161"/>
        <v>20.015959610652324</v>
      </c>
      <c r="AY59" s="951">
        <f t="shared" si="161"/>
        <v>20.016114164276335</v>
      </c>
      <c r="AZ59" s="951">
        <f t="shared" si="161"/>
        <v>20.016268717900346</v>
      </c>
      <c r="BA59" s="951">
        <f t="shared" si="161"/>
        <v>20.016423271524356</v>
      </c>
      <c r="BB59" s="953">
        <f>'AEO Data'!$B$30*AM59</f>
        <v>20.01657782514836</v>
      </c>
      <c r="BC59" s="951">
        <f>($BQ59-$BB59)/15+BB59</f>
        <v>20.179679524085394</v>
      </c>
      <c r="BD59" s="951">
        <f t="shared" ref="BD59:BP62" si="162">($BQ59-$BB59)/15+BC59</f>
        <v>20.342781223022428</v>
      </c>
      <c r="BE59" s="951">
        <f t="shared" si="162"/>
        <v>20.505882921959461</v>
      </c>
      <c r="BF59" s="951">
        <f t="shared" si="162"/>
        <v>20.668984620896495</v>
      </c>
      <c r="BG59" s="951">
        <f t="shared" si="162"/>
        <v>20.832086319833529</v>
      </c>
      <c r="BH59" s="951">
        <f t="shared" si="162"/>
        <v>20.995188018770563</v>
      </c>
      <c r="BI59" s="951">
        <f t="shared" si="162"/>
        <v>21.158289717707596</v>
      </c>
      <c r="BJ59" s="951">
        <f t="shared" si="162"/>
        <v>21.32139141664463</v>
      </c>
      <c r="BK59" s="951">
        <f t="shared" si="162"/>
        <v>21.484493115581664</v>
      </c>
      <c r="BL59" s="951">
        <f t="shared" si="162"/>
        <v>21.647594814518698</v>
      </c>
      <c r="BM59" s="951">
        <f t="shared" si="162"/>
        <v>21.810696513455731</v>
      </c>
      <c r="BN59" s="951">
        <f t="shared" si="162"/>
        <v>21.973798212392765</v>
      </c>
      <c r="BO59" s="951">
        <f t="shared" si="162"/>
        <v>22.136899911329799</v>
      </c>
      <c r="BP59" s="951">
        <f t="shared" si="162"/>
        <v>22.300001610266833</v>
      </c>
      <c r="BQ59" s="953">
        <f>'AEO Data'!$C$30*BB59</f>
        <v>22.463103309203859</v>
      </c>
      <c r="BR59" s="950">
        <f>($BV59-$BQ59)/5+BQ59</f>
        <v>22.591499473992489</v>
      </c>
      <c r="BS59" s="951">
        <f t="shared" ref="BS59:BU62" si="163">($BV59-$BQ59)/5+BR59</f>
        <v>22.719895638781118</v>
      </c>
      <c r="BT59" s="951">
        <f t="shared" si="163"/>
        <v>22.848291803569747</v>
      </c>
      <c r="BU59" s="951">
        <f t="shared" si="163"/>
        <v>22.976687968358377</v>
      </c>
      <c r="BV59" s="954">
        <f>'AEO Data'!$D$30*BQ59</f>
        <v>23.105084133146999</v>
      </c>
      <c r="BW59" s="1388">
        <f>+BV59*BW$133/BV$133</f>
        <v>23.181799806296944</v>
      </c>
      <c r="BX59" s="1388">
        <f t="shared" ref="BX59:CZ59" si="164">+BW59*BX$133/BW$133</f>
        <v>23.258770198039247</v>
      </c>
      <c r="BY59" s="1388">
        <f t="shared" si="164"/>
        <v>23.335996154114543</v>
      </c>
      <c r="BZ59" s="1388">
        <f t="shared" si="164"/>
        <v>23.413478523071561</v>
      </c>
      <c r="CA59" s="1388">
        <f t="shared" si="164"/>
        <v>23.491218156276457</v>
      </c>
      <c r="CB59" s="1388">
        <f t="shared" si="164"/>
        <v>23.541346730111329</v>
      </c>
      <c r="CC59" s="1388">
        <f t="shared" si="164"/>
        <v>23.591582274725578</v>
      </c>
      <c r="CD59" s="1388">
        <f t="shared" si="164"/>
        <v>23.641925018387173</v>
      </c>
      <c r="CE59" s="1388">
        <f t="shared" si="164"/>
        <v>23.692375189851191</v>
      </c>
      <c r="CF59" s="1388">
        <f t="shared" si="164"/>
        <v>23.742933018360848</v>
      </c>
      <c r="CG59" s="1388">
        <f t="shared" si="164"/>
        <v>23.759348824569351</v>
      </c>
      <c r="CH59" s="1388">
        <f t="shared" si="164"/>
        <v>23.775775980626385</v>
      </c>
      <c r="CI59" s="1388">
        <f t="shared" si="164"/>
        <v>23.792214494379209</v>
      </c>
      <c r="CJ59" s="1388">
        <f t="shared" si="164"/>
        <v>23.808664373680507</v>
      </c>
      <c r="CK59" s="1388">
        <f t="shared" si="164"/>
        <v>23.825125626388392</v>
      </c>
      <c r="CL59" s="1388">
        <f t="shared" si="164"/>
        <v>23.830705260336195</v>
      </c>
      <c r="CM59" s="1388">
        <f t="shared" si="164"/>
        <v>23.836286200984979</v>
      </c>
      <c r="CN59" s="1388">
        <f t="shared" si="164"/>
        <v>23.841868448640763</v>
      </c>
      <c r="CO59" s="1388">
        <f t="shared" si="164"/>
        <v>23.847452003609632</v>
      </c>
      <c r="CP59" s="1388">
        <f t="shared" si="164"/>
        <v>23.853036866197748</v>
      </c>
      <c r="CQ59" s="1388">
        <f t="shared" si="164"/>
        <v>23.861501261663879</v>
      </c>
      <c r="CR59" s="1388">
        <f t="shared" si="164"/>
        <v>23.869968660772315</v>
      </c>
      <c r="CS59" s="1388">
        <f t="shared" si="164"/>
        <v>23.878439064588914</v>
      </c>
      <c r="CT59" s="1388">
        <f t="shared" si="164"/>
        <v>23.886912474179919</v>
      </c>
      <c r="CU59" s="1388">
        <f t="shared" si="164"/>
        <v>23.89538889061194</v>
      </c>
      <c r="CV59" s="1388">
        <f t="shared" si="164"/>
        <v>23.908434131387597</v>
      </c>
      <c r="CW59" s="1388">
        <f t="shared" si="164"/>
        <v>23.921486493968537</v>
      </c>
      <c r="CX59" s="1388">
        <f t="shared" si="164"/>
        <v>23.934545982242778</v>
      </c>
      <c r="CY59" s="1388">
        <f t="shared" si="164"/>
        <v>23.947612600100459</v>
      </c>
      <c r="CZ59" s="1388">
        <f t="shared" si="164"/>
        <v>23.960686351433843</v>
      </c>
    </row>
    <row r="60" spans="1:104" x14ac:dyDescent="0.25">
      <c r="A60" s="868" t="str">
        <f>'HyARC Physical Property Data'!A71</f>
        <v>Commercial Natural Gas</v>
      </c>
      <c r="B60" s="260">
        <v>2011</v>
      </c>
      <c r="C60" s="869">
        <f t="shared" ref="C60:C68" si="165">VLOOKUP(ref_year,DeflatorTable,2,FALSE)/VLOOKUP(B60,DeflatorTable,2,FALSE)</f>
        <v>1.0784554773635862</v>
      </c>
      <c r="D60" s="1245" t="str">
        <f>'HyARC Physical Property Data'!H71</f>
        <v>mmBtu</v>
      </c>
      <c r="E60" s="869" t="s">
        <v>1059</v>
      </c>
      <c r="F60" s="260">
        <f>'HyARC Physical Property Data'!$E$6</f>
        <v>47.141269049911173</v>
      </c>
      <c r="G60" s="260">
        <f>'HyARC Physical Property Data'!$I$6</f>
        <v>52.224661236371581</v>
      </c>
      <c r="H60" s="1056">
        <v>11.78211597551449</v>
      </c>
      <c r="I60" s="1056">
        <v>11.78211597551449</v>
      </c>
      <c r="J60" s="1056">
        <v>11.78211597551449</v>
      </c>
      <c r="K60" s="1056">
        <v>10.884547954455588</v>
      </c>
      <c r="L60" s="1056">
        <v>11.412186165255939</v>
      </c>
      <c r="M60" s="1056">
        <v>10.075756967258858</v>
      </c>
      <c r="N60" s="260">
        <f t="shared" ref="N60:AR60" si="166">N75*(1/mmBTU_to_GJ*$C60*$G60/$F60)</f>
        <v>10.64172897994356</v>
      </c>
      <c r="O60" s="260">
        <f t="shared" si="166"/>
        <v>10.007414788992003</v>
      </c>
      <c r="P60" s="260">
        <f t="shared" si="166"/>
        <v>9.1519429796830281</v>
      </c>
      <c r="Q60" s="260">
        <f t="shared" si="166"/>
        <v>9.6083607814240821</v>
      </c>
      <c r="R60" s="260">
        <f t="shared" si="166"/>
        <v>9.4170571596314385</v>
      </c>
      <c r="S60" s="260">
        <f t="shared" si="166"/>
        <v>9.2604963783141265</v>
      </c>
      <c r="T60" s="260">
        <f t="shared" si="166"/>
        <v>9.7880272107161694</v>
      </c>
      <c r="U60" s="260">
        <f t="shared" si="166"/>
        <v>10.102152135802671</v>
      </c>
      <c r="V60" s="260">
        <f t="shared" si="166"/>
        <v>10.510533110812647</v>
      </c>
      <c r="W60" s="260">
        <f t="shared" si="166"/>
        <v>10.749394527375706</v>
      </c>
      <c r="X60" s="260">
        <f t="shared" si="166"/>
        <v>10.957396319995588</v>
      </c>
      <c r="Y60" s="260">
        <f t="shared" si="166"/>
        <v>11.154595545540458</v>
      </c>
      <c r="Z60" s="260">
        <f t="shared" si="166"/>
        <v>11.419131036760978</v>
      </c>
      <c r="AA60" s="260">
        <f t="shared" si="166"/>
        <v>11.655986860883548</v>
      </c>
      <c r="AB60" s="260">
        <f t="shared" si="166"/>
        <v>11.761963905589115</v>
      </c>
      <c r="AC60" s="260">
        <f t="shared" si="166"/>
        <v>11.916887145026724</v>
      </c>
      <c r="AD60" s="260">
        <f t="shared" si="166"/>
        <v>12.10487944423552</v>
      </c>
      <c r="AE60" s="260">
        <f t="shared" si="166"/>
        <v>12.234521573768266</v>
      </c>
      <c r="AF60" s="260">
        <f t="shared" si="166"/>
        <v>12.450381528976834</v>
      </c>
      <c r="AG60" s="260">
        <f t="shared" si="166"/>
        <v>12.607433799350707</v>
      </c>
      <c r="AH60" s="260">
        <f t="shared" si="166"/>
        <v>12.785898685119724</v>
      </c>
      <c r="AI60" s="260">
        <f t="shared" si="166"/>
        <v>13.004609050363703</v>
      </c>
      <c r="AJ60" s="260">
        <f t="shared" si="166"/>
        <v>13.334459360333689</v>
      </c>
      <c r="AK60" s="260">
        <f t="shared" si="166"/>
        <v>13.708042004168398</v>
      </c>
      <c r="AL60" s="260">
        <f t="shared" si="166"/>
        <v>14.091726220317723</v>
      </c>
      <c r="AM60" s="260">
        <f t="shared" si="166"/>
        <v>14.43493053709644</v>
      </c>
      <c r="AN60" s="260">
        <f t="shared" si="166"/>
        <v>14.903089717958334</v>
      </c>
      <c r="AO60" s="260">
        <f t="shared" si="166"/>
        <v>15.194282261949443</v>
      </c>
      <c r="AP60" s="260">
        <f t="shared" si="166"/>
        <v>15.688899182047464</v>
      </c>
      <c r="AQ60" s="260">
        <f t="shared" si="166"/>
        <v>16.126102479588738</v>
      </c>
      <c r="AR60" s="260">
        <f t="shared" si="166"/>
        <v>16.399079351978891</v>
      </c>
      <c r="AS60" s="260">
        <f t="shared" ref="AS60:BA60" si="167">($BB60-$AR60)/10+AR60</f>
        <v>16.383429901231551</v>
      </c>
      <c r="AT60" s="260">
        <f t="shared" si="167"/>
        <v>16.367780450484211</v>
      </c>
      <c r="AU60" s="260">
        <f t="shared" si="167"/>
        <v>16.352130999736872</v>
      </c>
      <c r="AV60" s="260">
        <f t="shared" si="167"/>
        <v>16.336481548989532</v>
      </c>
      <c r="AW60" s="260">
        <f t="shared" si="167"/>
        <v>16.320832098242192</v>
      </c>
      <c r="AX60" s="260">
        <f t="shared" si="167"/>
        <v>16.305182647494853</v>
      </c>
      <c r="AY60" s="260">
        <f t="shared" si="167"/>
        <v>16.289533196747513</v>
      </c>
      <c r="AZ60" s="260">
        <f t="shared" si="167"/>
        <v>16.273883746000173</v>
      </c>
      <c r="BA60" s="260">
        <f t="shared" si="167"/>
        <v>16.258234295252834</v>
      </c>
      <c r="BB60" s="931">
        <f>'AEO Data'!$B$30*AM60</f>
        <v>16.242584844505476</v>
      </c>
      <c r="BC60" s="260">
        <f>($BQ60-$BB60)/15+BB60</f>
        <v>16.374934799947876</v>
      </c>
      <c r="BD60" s="260">
        <f t="shared" si="162"/>
        <v>16.507284755390277</v>
      </c>
      <c r="BE60" s="260">
        <f t="shared" si="162"/>
        <v>16.639634710832677</v>
      </c>
      <c r="BF60" s="260">
        <f t="shared" si="162"/>
        <v>16.771984666275078</v>
      </c>
      <c r="BG60" s="260">
        <f t="shared" si="162"/>
        <v>16.904334621717478</v>
      </c>
      <c r="BH60" s="260">
        <f t="shared" si="162"/>
        <v>17.036684577159878</v>
      </c>
      <c r="BI60" s="260">
        <f t="shared" si="162"/>
        <v>17.169034532602279</v>
      </c>
      <c r="BJ60" s="260">
        <f t="shared" si="162"/>
        <v>17.301384488044679</v>
      </c>
      <c r="BK60" s="260">
        <f t="shared" si="162"/>
        <v>17.433734443487079</v>
      </c>
      <c r="BL60" s="260">
        <f t="shared" si="162"/>
        <v>17.56608439892948</v>
      </c>
      <c r="BM60" s="260">
        <f t="shared" si="162"/>
        <v>17.69843435437188</v>
      </c>
      <c r="BN60" s="260">
        <f t="shared" si="162"/>
        <v>17.83078430981428</v>
      </c>
      <c r="BO60" s="260">
        <f t="shared" si="162"/>
        <v>17.963134265256681</v>
      </c>
      <c r="BP60" s="260">
        <f t="shared" si="162"/>
        <v>18.095484220699081</v>
      </c>
      <c r="BQ60" s="931">
        <f>'AEO Data'!$C$30*BB60</f>
        <v>18.227834176141503</v>
      </c>
      <c r="BR60" s="868">
        <f>($BV60-$BQ60)/5+BQ60</f>
        <v>18.332022095700271</v>
      </c>
      <c r="BS60" s="260">
        <f t="shared" si="163"/>
        <v>18.436210015259039</v>
      </c>
      <c r="BT60" s="260">
        <f t="shared" si="163"/>
        <v>18.540397934817808</v>
      </c>
      <c r="BU60" s="260">
        <f t="shared" si="163"/>
        <v>18.644585854376576</v>
      </c>
      <c r="BV60" s="955">
        <f>'AEO Data'!$D$30*BQ60</f>
        <v>18.748773773935348</v>
      </c>
      <c r="BW60" s="1388">
        <f>+BV60*BW$134/BV$134</f>
        <v>18.811025215761521</v>
      </c>
      <c r="BX60" s="1388">
        <f t="shared" ref="BX60:CZ60" si="168">+BW60*BX$134/BW$134</f>
        <v>18.873483350678995</v>
      </c>
      <c r="BY60" s="1388">
        <f t="shared" si="168"/>
        <v>18.93614886496961</v>
      </c>
      <c r="BZ60" s="1388">
        <f t="shared" si="168"/>
        <v>18.999022447193862</v>
      </c>
      <c r="CA60" s="1388">
        <f t="shared" si="168"/>
        <v>19.062104788198472</v>
      </c>
      <c r="CB60" s="1388">
        <f t="shared" si="168"/>
        <v>19.102781951935423</v>
      </c>
      <c r="CC60" s="1388">
        <f t="shared" si="168"/>
        <v>19.143545917820827</v>
      </c>
      <c r="CD60" s="1388">
        <f t="shared" si="168"/>
        <v>19.184396871084243</v>
      </c>
      <c r="CE60" s="1388">
        <f t="shared" si="168"/>
        <v>19.22533499735049</v>
      </c>
      <c r="CF60" s="1388">
        <f t="shared" si="168"/>
        <v>19.266360482640504</v>
      </c>
      <c r="CG60" s="1388">
        <f t="shared" si="168"/>
        <v>19.279681197473067</v>
      </c>
      <c r="CH60" s="1388">
        <f t="shared" si="168"/>
        <v>19.293011122215507</v>
      </c>
      <c r="CI60" s="1388">
        <f t="shared" si="168"/>
        <v>19.306350263235526</v>
      </c>
      <c r="CJ60" s="1388">
        <f t="shared" si="168"/>
        <v>19.319698626905243</v>
      </c>
      <c r="CK60" s="1388">
        <f t="shared" si="168"/>
        <v>19.333056219601172</v>
      </c>
      <c r="CL60" s="1388">
        <f t="shared" si="168"/>
        <v>19.337583850577364</v>
      </c>
      <c r="CM60" s="1388">
        <f t="shared" si="168"/>
        <v>19.342112541884731</v>
      </c>
      <c r="CN60" s="1388">
        <f t="shared" si="168"/>
        <v>19.346642293771598</v>
      </c>
      <c r="CO60" s="1388">
        <f t="shared" si="168"/>
        <v>19.351173106486343</v>
      </c>
      <c r="CP60" s="1388">
        <f t="shared" si="168"/>
        <v>19.355704980277398</v>
      </c>
      <c r="CQ60" s="1388">
        <f t="shared" si="168"/>
        <v>19.362573470122019</v>
      </c>
      <c r="CR60" s="1388">
        <f t="shared" si="168"/>
        <v>19.369444397292106</v>
      </c>
      <c r="CS60" s="1388">
        <f t="shared" si="168"/>
        <v>19.376317762652565</v>
      </c>
      <c r="CT60" s="1388">
        <f t="shared" si="168"/>
        <v>19.383193567068602</v>
      </c>
      <c r="CU60" s="1388">
        <f t="shared" si="168"/>
        <v>19.390071811405733</v>
      </c>
      <c r="CV60" s="1388">
        <f t="shared" si="168"/>
        <v>19.400657458561128</v>
      </c>
      <c r="CW60" s="1388">
        <f t="shared" si="168"/>
        <v>19.411248884752663</v>
      </c>
      <c r="CX60" s="1388">
        <f t="shared" si="168"/>
        <v>19.42184609313529</v>
      </c>
      <c r="CY60" s="1388">
        <f t="shared" si="168"/>
        <v>19.432449086865692</v>
      </c>
      <c r="CZ60" s="1388">
        <f t="shared" si="168"/>
        <v>19.443057869102269</v>
      </c>
    </row>
    <row r="61" spans="1:104" x14ac:dyDescent="0.25">
      <c r="A61" s="868" t="str">
        <f>'HyARC Physical Property Data'!A72</f>
        <v>Industrial Natural Gas</v>
      </c>
      <c r="B61" s="260">
        <v>2011</v>
      </c>
      <c r="C61" s="869">
        <f t="shared" si="165"/>
        <v>1.0784554773635862</v>
      </c>
      <c r="D61" s="1245" t="str">
        <f>'HyARC Physical Property Data'!H72</f>
        <v>mmBtu</v>
      </c>
      <c r="E61" s="869" t="s">
        <v>1059</v>
      </c>
      <c r="F61" s="260">
        <f>'HyARC Physical Property Data'!$E$6</f>
        <v>47.141269049911173</v>
      </c>
      <c r="G61" s="260">
        <f>'HyARC Physical Property Data'!$I$6</f>
        <v>52.224661236371581</v>
      </c>
      <c r="H61" s="1056">
        <v>7.8800725307970341</v>
      </c>
      <c r="I61" s="1056">
        <v>7.8800725307970341</v>
      </c>
      <c r="J61" s="1056">
        <v>7.8800725307970341</v>
      </c>
      <c r="K61" s="1056">
        <v>7.4431315976064605</v>
      </c>
      <c r="L61" s="1056">
        <v>8.8750360136942668</v>
      </c>
      <c r="M61" s="1056">
        <v>6.5580125743803235</v>
      </c>
      <c r="N61" s="260">
        <f t="shared" ref="N61:AR61" si="169">N76*(1/mmBTU_to_GJ*$C61*$G61/$F61)</f>
        <v>6.2103798436905873</v>
      </c>
      <c r="O61" s="260">
        <f t="shared" si="169"/>
        <v>5.5365993079896789</v>
      </c>
      <c r="P61" s="260">
        <f t="shared" si="169"/>
        <v>4.2658486899298849</v>
      </c>
      <c r="Q61" s="260">
        <f t="shared" si="169"/>
        <v>4.9262435098506687</v>
      </c>
      <c r="R61" s="260">
        <f t="shared" si="169"/>
        <v>5.0011287756439424</v>
      </c>
      <c r="S61" s="260">
        <f t="shared" si="169"/>
        <v>5.043267733696263</v>
      </c>
      <c r="T61" s="260">
        <f t="shared" si="169"/>
        <v>5.5677692268671866</v>
      </c>
      <c r="U61" s="260">
        <f t="shared" si="169"/>
        <v>5.811978134962712</v>
      </c>
      <c r="V61" s="260">
        <f t="shared" si="169"/>
        <v>6.1008547915790015</v>
      </c>
      <c r="W61" s="260">
        <f t="shared" si="169"/>
        <v>6.2889829863794731</v>
      </c>
      <c r="X61" s="260">
        <f t="shared" si="169"/>
        <v>6.4543826434720692</v>
      </c>
      <c r="Y61" s="260">
        <f t="shared" si="169"/>
        <v>6.6186022738436092</v>
      </c>
      <c r="Z61" s="260">
        <f t="shared" si="169"/>
        <v>6.8574772799658357</v>
      </c>
      <c r="AA61" s="260">
        <f t="shared" si="169"/>
        <v>7.0784899430254651</v>
      </c>
      <c r="AB61" s="260">
        <f t="shared" si="169"/>
        <v>7.1627859785423293</v>
      </c>
      <c r="AC61" s="260">
        <f t="shared" si="169"/>
        <v>7.2980043571868638</v>
      </c>
      <c r="AD61" s="260">
        <f t="shared" si="169"/>
        <v>7.4390911604652894</v>
      </c>
      <c r="AE61" s="260">
        <f t="shared" si="169"/>
        <v>7.5449878002791149</v>
      </c>
      <c r="AF61" s="260">
        <f t="shared" si="169"/>
        <v>7.7612180709749996</v>
      </c>
      <c r="AG61" s="260">
        <f t="shared" si="169"/>
        <v>7.9069717553642462</v>
      </c>
      <c r="AH61" s="260">
        <f t="shared" si="169"/>
        <v>8.0635665105794754</v>
      </c>
      <c r="AI61" s="260">
        <f t="shared" si="169"/>
        <v>8.2711923253957185</v>
      </c>
      <c r="AJ61" s="260">
        <f t="shared" si="169"/>
        <v>8.5949477180790161</v>
      </c>
      <c r="AK61" s="260">
        <f t="shared" si="169"/>
        <v>8.9590199354229085</v>
      </c>
      <c r="AL61" s="260">
        <f t="shared" si="169"/>
        <v>9.332634288229011</v>
      </c>
      <c r="AM61" s="260">
        <f t="shared" si="169"/>
        <v>9.6599444830979113</v>
      </c>
      <c r="AN61" s="260">
        <f t="shared" si="169"/>
        <v>10.080315979146802</v>
      </c>
      <c r="AO61" s="260">
        <f t="shared" si="169"/>
        <v>10.318380141572026</v>
      </c>
      <c r="AP61" s="260">
        <f t="shared" si="169"/>
        <v>10.748724109123437</v>
      </c>
      <c r="AQ61" s="260">
        <f t="shared" si="169"/>
        <v>11.112492826312584</v>
      </c>
      <c r="AR61" s="260">
        <f t="shared" si="169"/>
        <v>11.338483797880626</v>
      </c>
      <c r="AS61" s="260">
        <f t="shared" ref="AS61:BA61" si="170">($BB61-$AR61)/10+AR61</f>
        <v>11.291599206776587</v>
      </c>
      <c r="AT61" s="260">
        <f t="shared" si="170"/>
        <v>11.244714615672548</v>
      </c>
      <c r="AU61" s="260">
        <f t="shared" si="170"/>
        <v>11.197830024568509</v>
      </c>
      <c r="AV61" s="260">
        <f t="shared" si="170"/>
        <v>11.15094543346447</v>
      </c>
      <c r="AW61" s="260">
        <f t="shared" si="170"/>
        <v>11.104060842360431</v>
      </c>
      <c r="AX61" s="260">
        <f t="shared" si="170"/>
        <v>11.057176251256392</v>
      </c>
      <c r="AY61" s="260">
        <f t="shared" si="170"/>
        <v>11.010291660152353</v>
      </c>
      <c r="AZ61" s="260">
        <f t="shared" si="170"/>
        <v>10.963407069048314</v>
      </c>
      <c r="BA61" s="260">
        <f t="shared" si="170"/>
        <v>10.916522477944275</v>
      </c>
      <c r="BB61" s="931">
        <f>'AEO Data'!$B$30*AM61</f>
        <v>10.869637886840229</v>
      </c>
      <c r="BC61" s="260">
        <f>($BQ61-$BB61)/15+BB61</f>
        <v>10.958207292742701</v>
      </c>
      <c r="BD61" s="260">
        <f t="shared" si="162"/>
        <v>11.046776698645173</v>
      </c>
      <c r="BE61" s="260">
        <f t="shared" si="162"/>
        <v>11.135346104547645</v>
      </c>
      <c r="BF61" s="260">
        <f t="shared" si="162"/>
        <v>11.223915510450118</v>
      </c>
      <c r="BG61" s="260">
        <f t="shared" si="162"/>
        <v>11.31248491635259</v>
      </c>
      <c r="BH61" s="260">
        <f t="shared" si="162"/>
        <v>11.401054322255062</v>
      </c>
      <c r="BI61" s="260">
        <f t="shared" si="162"/>
        <v>11.489623728157534</v>
      </c>
      <c r="BJ61" s="260">
        <f t="shared" si="162"/>
        <v>11.578193134060006</v>
      </c>
      <c r="BK61" s="260">
        <f t="shared" si="162"/>
        <v>11.666762539962479</v>
      </c>
      <c r="BL61" s="260">
        <f t="shared" si="162"/>
        <v>11.755331945864951</v>
      </c>
      <c r="BM61" s="260">
        <f t="shared" si="162"/>
        <v>11.843901351767423</v>
      </c>
      <c r="BN61" s="260">
        <f t="shared" si="162"/>
        <v>11.932470757669895</v>
      </c>
      <c r="BO61" s="260">
        <f t="shared" si="162"/>
        <v>12.021040163572367</v>
      </c>
      <c r="BP61" s="260">
        <f t="shared" si="162"/>
        <v>12.10960956947484</v>
      </c>
      <c r="BQ61" s="931">
        <f>'AEO Data'!$C$30*BB61</f>
        <v>12.19817897537731</v>
      </c>
      <c r="BR61" s="868">
        <f>($BV61-$BQ61)/5+BQ61</f>
        <v>12.26790217329369</v>
      </c>
      <c r="BS61" s="260">
        <f t="shared" si="163"/>
        <v>12.33762537121007</v>
      </c>
      <c r="BT61" s="260">
        <f t="shared" si="163"/>
        <v>12.40734856912645</v>
      </c>
      <c r="BU61" s="260">
        <f t="shared" si="163"/>
        <v>12.47707176704283</v>
      </c>
      <c r="BV61" s="955">
        <f>'AEO Data'!$D$30*BQ61</f>
        <v>12.546794964959213</v>
      </c>
      <c r="BW61" s="1388">
        <f>+BV61*BW$135/BV$135</f>
        <v>12.588454013507333</v>
      </c>
      <c r="BX61" s="1388">
        <f t="shared" ref="BX61:CZ61" si="171">+BW61*BX$135/BW$135</f>
        <v>12.630251382346072</v>
      </c>
      <c r="BY61" s="1388">
        <f t="shared" si="171"/>
        <v>12.672187530739475</v>
      </c>
      <c r="BZ61" s="1388">
        <f t="shared" si="171"/>
        <v>12.714262919476461</v>
      </c>
      <c r="CA61" s="1388">
        <f t="shared" si="171"/>
        <v>12.75647801087592</v>
      </c>
      <c r="CB61" s="1388">
        <f t="shared" si="171"/>
        <v>12.78369941955669</v>
      </c>
      <c r="CC61" s="1388">
        <f t="shared" si="171"/>
        <v>12.810978916770198</v>
      </c>
      <c r="CD61" s="1388">
        <f t="shared" si="171"/>
        <v>12.838316626473205</v>
      </c>
      <c r="CE61" s="1388">
        <f t="shared" si="171"/>
        <v>12.865712672886987</v>
      </c>
      <c r="CF61" s="1388">
        <f t="shared" si="171"/>
        <v>12.893167180497899</v>
      </c>
      <c r="CG61" s="1388">
        <f t="shared" si="171"/>
        <v>12.90208148496421</v>
      </c>
      <c r="CH61" s="1388">
        <f t="shared" si="171"/>
        <v>12.911001952758973</v>
      </c>
      <c r="CI61" s="1388">
        <f t="shared" si="171"/>
        <v>12.919928588143499</v>
      </c>
      <c r="CJ61" s="1388">
        <f t="shared" si="171"/>
        <v>12.928861395382043</v>
      </c>
      <c r="CK61" s="1388">
        <f t="shared" si="171"/>
        <v>12.937800378741811</v>
      </c>
      <c r="CL61" s="1388">
        <f t="shared" si="171"/>
        <v>12.940830297296499</v>
      </c>
      <c r="CM61" s="1388">
        <f t="shared" si="171"/>
        <v>12.943860925431345</v>
      </c>
      <c r="CN61" s="1388">
        <f t="shared" si="171"/>
        <v>12.946892263312527</v>
      </c>
      <c r="CO61" s="1388">
        <f t="shared" si="171"/>
        <v>12.949924311106264</v>
      </c>
      <c r="CP61" s="1388">
        <f t="shared" si="171"/>
        <v>12.952957068978808</v>
      </c>
      <c r="CQ61" s="1388">
        <f t="shared" si="171"/>
        <v>12.957553504715802</v>
      </c>
      <c r="CR61" s="1388">
        <f t="shared" si="171"/>
        <v>12.962151571526023</v>
      </c>
      <c r="CS61" s="1388">
        <f t="shared" si="171"/>
        <v>12.966751269988269</v>
      </c>
      <c r="CT61" s="1388">
        <f t="shared" si="171"/>
        <v>12.971352600681538</v>
      </c>
      <c r="CU61" s="1388">
        <f t="shared" si="171"/>
        <v>12.975955564185037</v>
      </c>
      <c r="CV61" s="1388">
        <f t="shared" si="171"/>
        <v>12.983039544504583</v>
      </c>
      <c r="CW61" s="1388">
        <f t="shared" si="171"/>
        <v>12.990127392190731</v>
      </c>
      <c r="CX61" s="1388">
        <f t="shared" si="171"/>
        <v>12.997219109354795</v>
      </c>
      <c r="CY61" s="1388">
        <f t="shared" si="171"/>
        <v>13.004314698109246</v>
      </c>
      <c r="CZ61" s="1388">
        <f t="shared" si="171"/>
        <v>13.011414160567707</v>
      </c>
    </row>
    <row r="62" spans="1:104" x14ac:dyDescent="0.25">
      <c r="A62" s="868" t="str">
        <f>'HyARC Physical Property Data'!A74</f>
        <v>Electric Utility Natural Gas</v>
      </c>
      <c r="B62" s="260">
        <v>2011</v>
      </c>
      <c r="C62" s="869">
        <f t="shared" si="165"/>
        <v>1.0784554773635862</v>
      </c>
      <c r="D62" s="1245" t="str">
        <f>'HyARC Physical Property Data'!H74</f>
        <v>mmBtu</v>
      </c>
      <c r="E62" s="869" t="s">
        <v>1059</v>
      </c>
      <c r="F62" s="260">
        <f>'HyARC Physical Property Data'!$E$6</f>
        <v>47.141269049911173</v>
      </c>
      <c r="G62" s="260">
        <f>'HyARC Physical Property Data'!$I$6</f>
        <v>52.224661236371581</v>
      </c>
      <c r="H62" s="1056">
        <v>6.9870463159656619</v>
      </c>
      <c r="I62" s="1056">
        <v>6.9870463159656619</v>
      </c>
      <c r="J62" s="1056">
        <v>6.9870463159656619</v>
      </c>
      <c r="K62" s="1056">
        <v>6.9519071777354364</v>
      </c>
      <c r="L62" s="1056">
        <v>9.0904707383294223</v>
      </c>
      <c r="M62" s="1056">
        <v>6.2626950486669273</v>
      </c>
      <c r="N62" s="260">
        <f t="shared" ref="N62:AR62" si="172">N77*(1/mmBTU_to_GJ*$C62*$G62/$F62)</f>
        <v>5.9546798308555591</v>
      </c>
      <c r="O62" s="260">
        <f t="shared" si="172"/>
        <v>5.4071882009627821</v>
      </c>
      <c r="P62" s="260">
        <f t="shared" si="172"/>
        <v>3.768852464514262</v>
      </c>
      <c r="Q62" s="260">
        <f t="shared" si="172"/>
        <v>4.2197914089842286</v>
      </c>
      <c r="R62" s="260">
        <f t="shared" si="172"/>
        <v>4.3421608594357606</v>
      </c>
      <c r="S62" s="260">
        <f t="shared" si="172"/>
        <v>4.4350092575221245</v>
      </c>
      <c r="T62" s="260">
        <f t="shared" si="172"/>
        <v>4.9227430659017379</v>
      </c>
      <c r="U62" s="260">
        <f t="shared" si="172"/>
        <v>5.1227134290535421</v>
      </c>
      <c r="V62" s="260">
        <f t="shared" si="172"/>
        <v>5.404199630409166</v>
      </c>
      <c r="W62" s="260">
        <f t="shared" si="172"/>
        <v>5.5835002740669921</v>
      </c>
      <c r="X62" s="260">
        <f t="shared" si="172"/>
        <v>5.7378889908440085</v>
      </c>
      <c r="Y62" s="260">
        <f t="shared" si="172"/>
        <v>5.8922335415537308</v>
      </c>
      <c r="Z62" s="260">
        <f t="shared" si="172"/>
        <v>6.1313078612104164</v>
      </c>
      <c r="AA62" s="260">
        <f t="shared" si="172"/>
        <v>6.355420076223532</v>
      </c>
      <c r="AB62" s="260">
        <f t="shared" si="172"/>
        <v>6.4754872288594125</v>
      </c>
      <c r="AC62" s="260">
        <f t="shared" si="172"/>
        <v>6.6246700120119595</v>
      </c>
      <c r="AD62" s="260">
        <f t="shared" si="172"/>
        <v>6.7907434847466179</v>
      </c>
      <c r="AE62" s="260">
        <f t="shared" si="172"/>
        <v>6.9234738416002104</v>
      </c>
      <c r="AF62" s="260">
        <f t="shared" si="172"/>
        <v>7.1128771900359125</v>
      </c>
      <c r="AG62" s="260">
        <f t="shared" si="172"/>
        <v>7.2589977925226847</v>
      </c>
      <c r="AH62" s="260">
        <f t="shared" si="172"/>
        <v>7.4163003372778959</v>
      </c>
      <c r="AI62" s="260">
        <f t="shared" si="172"/>
        <v>7.6223407035245794</v>
      </c>
      <c r="AJ62" s="260">
        <f t="shared" si="172"/>
        <v>7.9461017585241978</v>
      </c>
      <c r="AK62" s="260">
        <f t="shared" si="172"/>
        <v>8.2927532934784409</v>
      </c>
      <c r="AL62" s="260">
        <f t="shared" si="172"/>
        <v>8.6454827587704095</v>
      </c>
      <c r="AM62" s="260">
        <f t="shared" si="172"/>
        <v>8.9495797216544553</v>
      </c>
      <c r="AN62" s="260">
        <f t="shared" si="172"/>
        <v>9.3600297070477065</v>
      </c>
      <c r="AO62" s="260">
        <f t="shared" si="172"/>
        <v>9.6003452064417036</v>
      </c>
      <c r="AP62" s="260">
        <f t="shared" si="172"/>
        <v>10.02812074731043</v>
      </c>
      <c r="AQ62" s="260">
        <f t="shared" si="172"/>
        <v>10.386438918810089</v>
      </c>
      <c r="AR62" s="260">
        <f t="shared" si="172"/>
        <v>10.572567183486392</v>
      </c>
      <c r="AS62" s="260">
        <f t="shared" ref="AS62:BA62" si="173">($BB62-$AR62)/10+AR62</f>
        <v>10.522342037462021</v>
      </c>
      <c r="AT62" s="260">
        <f t="shared" si="173"/>
        <v>10.472116891437651</v>
      </c>
      <c r="AU62" s="260">
        <f t="shared" si="173"/>
        <v>10.42189174541328</v>
      </c>
      <c r="AV62" s="260">
        <f t="shared" si="173"/>
        <v>10.371666599388909</v>
      </c>
      <c r="AW62" s="260">
        <f t="shared" si="173"/>
        <v>10.321441453364539</v>
      </c>
      <c r="AX62" s="260">
        <f t="shared" si="173"/>
        <v>10.271216307340168</v>
      </c>
      <c r="AY62" s="260">
        <f t="shared" si="173"/>
        <v>10.220991161315798</v>
      </c>
      <c r="AZ62" s="260">
        <f t="shared" si="173"/>
        <v>10.170766015291427</v>
      </c>
      <c r="BA62" s="260">
        <f t="shared" si="173"/>
        <v>10.120540869267057</v>
      </c>
      <c r="BB62" s="931">
        <f>'AEO Data'!$B$30*AM62</f>
        <v>10.070315723242683</v>
      </c>
      <c r="BC62" s="260">
        <f>($BQ62-$BB62)/15+BB62</f>
        <v>10.152371987687129</v>
      </c>
      <c r="BD62" s="260">
        <f t="shared" si="162"/>
        <v>10.234428252131575</v>
      </c>
      <c r="BE62" s="260">
        <f t="shared" si="162"/>
        <v>10.316484516576022</v>
      </c>
      <c r="BF62" s="260">
        <f t="shared" si="162"/>
        <v>10.398540781020468</v>
      </c>
      <c r="BG62" s="260">
        <f t="shared" si="162"/>
        <v>10.480597045464915</v>
      </c>
      <c r="BH62" s="260">
        <f t="shared" si="162"/>
        <v>10.562653309909361</v>
      </c>
      <c r="BI62" s="260">
        <f t="shared" si="162"/>
        <v>10.644709574353808</v>
      </c>
      <c r="BJ62" s="260">
        <f t="shared" si="162"/>
        <v>10.726765838798254</v>
      </c>
      <c r="BK62" s="260">
        <f t="shared" si="162"/>
        <v>10.808822103242701</v>
      </c>
      <c r="BL62" s="260">
        <f t="shared" si="162"/>
        <v>10.890878367687147</v>
      </c>
      <c r="BM62" s="260">
        <f t="shared" si="162"/>
        <v>10.972934632131594</v>
      </c>
      <c r="BN62" s="260">
        <f t="shared" si="162"/>
        <v>11.05499089657604</v>
      </c>
      <c r="BO62" s="260">
        <f t="shared" si="162"/>
        <v>11.137047161020487</v>
      </c>
      <c r="BP62" s="260">
        <f t="shared" si="162"/>
        <v>11.219103425464933</v>
      </c>
      <c r="BQ62" s="931">
        <f>'AEO Data'!$C$30*BB62</f>
        <v>11.301159689909367</v>
      </c>
      <c r="BR62" s="868">
        <f>($BV62-$BQ62)/5+BQ62</f>
        <v>11.365755642742549</v>
      </c>
      <c r="BS62" s="260">
        <f t="shared" si="163"/>
        <v>11.430351595575731</v>
      </c>
      <c r="BT62" s="260">
        <f t="shared" si="163"/>
        <v>11.494947548408913</v>
      </c>
      <c r="BU62" s="260">
        <f t="shared" si="163"/>
        <v>11.559543501242095</v>
      </c>
      <c r="BV62" s="955">
        <f>'AEO Data'!$D$30*BQ62</f>
        <v>11.624139454075273</v>
      </c>
      <c r="BW62" s="1388">
        <f>+BV62*BW$136/BV$136</f>
        <v>11.662735015029273</v>
      </c>
      <c r="BX62" s="1388">
        <f t="shared" ref="BX62:CZ63" si="174">+BW62*BX$136/BW$136</f>
        <v>11.701458724594294</v>
      </c>
      <c r="BY62" s="1388">
        <f t="shared" si="174"/>
        <v>11.740311008261404</v>
      </c>
      <c r="BZ62" s="1388">
        <f t="shared" si="174"/>
        <v>11.779292292934432</v>
      </c>
      <c r="CA62" s="1388">
        <f t="shared" si="174"/>
        <v>11.818403006934647</v>
      </c>
      <c r="CB62" s="1388">
        <f t="shared" si="174"/>
        <v>11.843622630872503</v>
      </c>
      <c r="CC62" s="1388">
        <f t="shared" si="174"/>
        <v>11.868896071678103</v>
      </c>
      <c r="CD62" s="1388">
        <f t="shared" si="174"/>
        <v>11.894223444192779</v>
      </c>
      <c r="CE62" s="1388">
        <f t="shared" si="174"/>
        <v>11.919604863502929</v>
      </c>
      <c r="CF62" s="1388">
        <f t="shared" si="174"/>
        <v>11.94504044494054</v>
      </c>
      <c r="CG62" s="1388">
        <f t="shared" si="174"/>
        <v>11.95329921688524</v>
      </c>
      <c r="CH62" s="1388">
        <f t="shared" si="174"/>
        <v>11.961563698924795</v>
      </c>
      <c r="CI62" s="1388">
        <f t="shared" si="174"/>
        <v>11.969833895007156</v>
      </c>
      <c r="CJ62" s="1388">
        <f t="shared" si="174"/>
        <v>11.978109809082998</v>
      </c>
      <c r="CK62" s="1388">
        <f t="shared" si="174"/>
        <v>11.986391445105726</v>
      </c>
      <c r="CL62" s="1388">
        <f t="shared" si="174"/>
        <v>11.98919855209301</v>
      </c>
      <c r="CM62" s="1388">
        <f t="shared" si="174"/>
        <v>11.992006316479953</v>
      </c>
      <c r="CN62" s="1388">
        <f t="shared" si="174"/>
        <v>11.994814738420512</v>
      </c>
      <c r="CO62" s="1388">
        <f t="shared" si="174"/>
        <v>11.99762381806868</v>
      </c>
      <c r="CP62" s="1388">
        <f t="shared" si="174"/>
        <v>12.000433555578486</v>
      </c>
      <c r="CQ62" s="1388">
        <f t="shared" si="174"/>
        <v>12.00469198254312</v>
      </c>
      <c r="CR62" s="1388">
        <f t="shared" si="174"/>
        <v>12.008951920636509</v>
      </c>
      <c r="CS62" s="1388">
        <f t="shared" si="174"/>
        <v>12.013213370394887</v>
      </c>
      <c r="CT62" s="1388">
        <f t="shared" si="174"/>
        <v>12.017476332354676</v>
      </c>
      <c r="CU62" s="1388">
        <f t="shared" si="174"/>
        <v>12.021740807052488</v>
      </c>
      <c r="CV62" s="1388">
        <f t="shared" si="174"/>
        <v>12.028303851667012</v>
      </c>
      <c r="CW62" s="1388">
        <f t="shared" si="174"/>
        <v>12.034870479253032</v>
      </c>
      <c r="CX62" s="1388">
        <f t="shared" si="174"/>
        <v>12.041440691766601</v>
      </c>
      <c r="CY62" s="1388">
        <f t="shared" si="174"/>
        <v>12.048014491164842</v>
      </c>
      <c r="CZ62" s="1388">
        <f t="shared" si="174"/>
        <v>12.054591879405951</v>
      </c>
    </row>
    <row r="63" spans="1:104" x14ac:dyDescent="0.25">
      <c r="A63" s="868" t="str">
        <f>'HyARC Physical Property Data'!A75</f>
        <v>Bio Methane</v>
      </c>
      <c r="B63" s="260">
        <v>2007</v>
      </c>
      <c r="C63" s="869">
        <f t="shared" si="165"/>
        <v>1.1446359956438654</v>
      </c>
      <c r="D63" s="1248" t="str">
        <f>'HyARC Physical Property Data'!H75</f>
        <v>mmBtu</v>
      </c>
      <c r="E63" s="869" t="s">
        <v>1059</v>
      </c>
      <c r="F63" s="260">
        <f>'HyARC Physical Property Data'!$E$6</f>
        <v>47.141269049911173</v>
      </c>
      <c r="G63" s="260">
        <f>'HyARC Physical Property Data'!$I$6</f>
        <v>52.224661236371581</v>
      </c>
      <c r="H63" s="1056">
        <v>12.42654028436019</v>
      </c>
      <c r="I63" s="1056">
        <v>12.42654028436019</v>
      </c>
      <c r="J63" s="1056">
        <v>12.42654028436019</v>
      </c>
      <c r="K63" s="1056">
        <v>12.42654028436019</v>
      </c>
      <c r="L63" s="1056">
        <v>12.42654028436019</v>
      </c>
      <c r="M63" s="1056">
        <v>12.42654028436019</v>
      </c>
      <c r="N63" s="260">
        <f t="shared" ref="N63:AM63" si="175">13.11*($C$63/mmBTU_to_GJ)</f>
        <v>14.223865310797228</v>
      </c>
      <c r="O63" s="260">
        <f t="shared" si="175"/>
        <v>14.223865310797228</v>
      </c>
      <c r="P63" s="260">
        <f t="shared" si="175"/>
        <v>14.223865310797228</v>
      </c>
      <c r="Q63" s="260">
        <f t="shared" si="175"/>
        <v>14.223865310797228</v>
      </c>
      <c r="R63" s="260">
        <f t="shared" si="175"/>
        <v>14.223865310797228</v>
      </c>
      <c r="S63" s="260">
        <f t="shared" si="175"/>
        <v>14.223865310797228</v>
      </c>
      <c r="T63" s="260">
        <f t="shared" si="175"/>
        <v>14.223865310797228</v>
      </c>
      <c r="U63" s="260">
        <f t="shared" si="175"/>
        <v>14.223865310797228</v>
      </c>
      <c r="V63" s="260">
        <f t="shared" si="175"/>
        <v>14.223865310797228</v>
      </c>
      <c r="W63" s="260">
        <f t="shared" si="175"/>
        <v>14.223865310797228</v>
      </c>
      <c r="X63" s="260">
        <f t="shared" si="175"/>
        <v>14.223865310797228</v>
      </c>
      <c r="Y63" s="260">
        <f t="shared" si="175"/>
        <v>14.223865310797228</v>
      </c>
      <c r="Z63" s="260">
        <f t="shared" si="175"/>
        <v>14.223865310797228</v>
      </c>
      <c r="AA63" s="260">
        <f t="shared" si="175"/>
        <v>14.223865310797228</v>
      </c>
      <c r="AB63" s="260">
        <f t="shared" si="175"/>
        <v>14.223865310797228</v>
      </c>
      <c r="AC63" s="260">
        <f t="shared" si="175"/>
        <v>14.223865310797228</v>
      </c>
      <c r="AD63" s="260">
        <f t="shared" si="175"/>
        <v>14.223865310797228</v>
      </c>
      <c r="AE63" s="260">
        <f t="shared" si="175"/>
        <v>14.223865310797228</v>
      </c>
      <c r="AF63" s="260">
        <f t="shared" si="175"/>
        <v>14.223865310797228</v>
      </c>
      <c r="AG63" s="260">
        <f t="shared" si="175"/>
        <v>14.223865310797228</v>
      </c>
      <c r="AH63" s="260">
        <f t="shared" si="175"/>
        <v>14.223865310797228</v>
      </c>
      <c r="AI63" s="260">
        <f t="shared" si="175"/>
        <v>14.223865310797228</v>
      </c>
      <c r="AJ63" s="260">
        <f t="shared" si="175"/>
        <v>14.223865310797228</v>
      </c>
      <c r="AK63" s="260">
        <f t="shared" si="175"/>
        <v>14.223865310797228</v>
      </c>
      <c r="AL63" s="260">
        <f t="shared" si="175"/>
        <v>14.223865310797228</v>
      </c>
      <c r="AM63" s="260">
        <f t="shared" si="175"/>
        <v>14.223865310797228</v>
      </c>
      <c r="AN63" s="260">
        <f t="shared" ref="AN63:BV63" si="176">13.11*($C$63/mmBTU_to_GJ)</f>
        <v>14.223865310797228</v>
      </c>
      <c r="AO63" s="260">
        <f t="shared" si="176"/>
        <v>14.223865310797228</v>
      </c>
      <c r="AP63" s="260">
        <f t="shared" si="176"/>
        <v>14.223865310797228</v>
      </c>
      <c r="AQ63" s="260">
        <f t="shared" si="176"/>
        <v>14.223865310797228</v>
      </c>
      <c r="AR63" s="260">
        <f t="shared" si="176"/>
        <v>14.223865310797228</v>
      </c>
      <c r="AS63" s="260">
        <f t="shared" si="176"/>
        <v>14.223865310797228</v>
      </c>
      <c r="AT63" s="260">
        <f t="shared" si="176"/>
        <v>14.223865310797228</v>
      </c>
      <c r="AU63" s="260">
        <f t="shared" si="176"/>
        <v>14.223865310797228</v>
      </c>
      <c r="AV63" s="260">
        <f t="shared" si="176"/>
        <v>14.223865310797228</v>
      </c>
      <c r="AW63" s="260">
        <f t="shared" si="176"/>
        <v>14.223865310797228</v>
      </c>
      <c r="AX63" s="260">
        <f t="shared" si="176"/>
        <v>14.223865310797228</v>
      </c>
      <c r="AY63" s="260">
        <f t="shared" si="176"/>
        <v>14.223865310797228</v>
      </c>
      <c r="AZ63" s="260">
        <f t="shared" si="176"/>
        <v>14.223865310797228</v>
      </c>
      <c r="BA63" s="260">
        <f t="shared" si="176"/>
        <v>14.223865310797228</v>
      </c>
      <c r="BB63" s="260">
        <f t="shared" si="176"/>
        <v>14.223865310797228</v>
      </c>
      <c r="BC63" s="260">
        <f t="shared" si="176"/>
        <v>14.223865310797228</v>
      </c>
      <c r="BD63" s="260">
        <f t="shared" si="176"/>
        <v>14.223865310797228</v>
      </c>
      <c r="BE63" s="260">
        <f t="shared" si="176"/>
        <v>14.223865310797228</v>
      </c>
      <c r="BF63" s="260">
        <f t="shared" si="176"/>
        <v>14.223865310797228</v>
      </c>
      <c r="BG63" s="260">
        <f t="shared" si="176"/>
        <v>14.223865310797228</v>
      </c>
      <c r="BH63" s="260">
        <f t="shared" si="176"/>
        <v>14.223865310797228</v>
      </c>
      <c r="BI63" s="260">
        <f t="shared" si="176"/>
        <v>14.223865310797228</v>
      </c>
      <c r="BJ63" s="260">
        <f t="shared" si="176"/>
        <v>14.223865310797228</v>
      </c>
      <c r="BK63" s="260">
        <f t="shared" si="176"/>
        <v>14.223865310797228</v>
      </c>
      <c r="BL63" s="260">
        <f t="shared" si="176"/>
        <v>14.223865310797228</v>
      </c>
      <c r="BM63" s="260">
        <f t="shared" si="176"/>
        <v>14.223865310797228</v>
      </c>
      <c r="BN63" s="260">
        <f t="shared" si="176"/>
        <v>14.223865310797228</v>
      </c>
      <c r="BO63" s="260">
        <f t="shared" si="176"/>
        <v>14.223865310797228</v>
      </c>
      <c r="BP63" s="260">
        <f t="shared" si="176"/>
        <v>14.223865310797228</v>
      </c>
      <c r="BQ63" s="260">
        <f t="shared" si="176"/>
        <v>14.223865310797228</v>
      </c>
      <c r="BR63" s="868">
        <f t="shared" si="176"/>
        <v>14.223865310797228</v>
      </c>
      <c r="BS63" s="260">
        <f t="shared" si="176"/>
        <v>14.223865310797228</v>
      </c>
      <c r="BT63" s="260">
        <f t="shared" si="176"/>
        <v>14.223865310797228</v>
      </c>
      <c r="BU63" s="260">
        <f t="shared" si="176"/>
        <v>14.223865310797228</v>
      </c>
      <c r="BV63" s="871">
        <f t="shared" si="176"/>
        <v>14.223865310797228</v>
      </c>
      <c r="BW63" s="1388">
        <f>+BV63*BW$136/BV$136</f>
        <v>14.271092726019944</v>
      </c>
      <c r="BX63" s="1388">
        <f t="shared" si="174"/>
        <v>14.318476950147966</v>
      </c>
      <c r="BY63" s="1388">
        <f t="shared" si="174"/>
        <v>14.366018503832969</v>
      </c>
      <c r="BZ63" s="1388">
        <f t="shared" si="174"/>
        <v>14.413717909455341</v>
      </c>
      <c r="CA63" s="1388">
        <f t="shared" si="174"/>
        <v>14.461575691129934</v>
      </c>
      <c r="CB63" s="1388">
        <f t="shared" si="174"/>
        <v>14.49243565590395</v>
      </c>
      <c r="CC63" s="1388">
        <f t="shared" si="174"/>
        <v>14.523361473628309</v>
      </c>
      <c r="CD63" s="1388">
        <f t="shared" si="174"/>
        <v>14.554353284828478</v>
      </c>
      <c r="CE63" s="1388">
        <f t="shared" si="174"/>
        <v>14.585411230329802</v>
      </c>
      <c r="CF63" s="1388">
        <f t="shared" si="174"/>
        <v>14.616535451258134</v>
      </c>
      <c r="CG63" s="1388">
        <f t="shared" si="174"/>
        <v>14.626641288360148</v>
      </c>
      <c r="CH63" s="1388">
        <f t="shared" si="174"/>
        <v>14.636754112613382</v>
      </c>
      <c r="CI63" s="1388">
        <f t="shared" si="174"/>
        <v>14.646873928848736</v>
      </c>
      <c r="CJ63" s="1388">
        <f t="shared" si="174"/>
        <v>14.657000741900452</v>
      </c>
      <c r="CK63" s="1388">
        <f t="shared" si="174"/>
        <v>14.667134556606111</v>
      </c>
      <c r="CL63" s="1388">
        <f t="shared" si="174"/>
        <v>14.670569469948116</v>
      </c>
      <c r="CM63" s="1388">
        <f t="shared" si="174"/>
        <v>14.674005187716483</v>
      </c>
      <c r="CN63" s="1388">
        <f t="shared" si="174"/>
        <v>14.6774417100996</v>
      </c>
      <c r="CO63" s="1388">
        <f t="shared" si="174"/>
        <v>14.6808790372859</v>
      </c>
      <c r="CP63" s="1388">
        <f t="shared" si="174"/>
        <v>14.684317169463862</v>
      </c>
      <c r="CQ63" s="1388">
        <f t="shared" si="174"/>
        <v>14.689527988881515</v>
      </c>
      <c r="CR63" s="1388">
        <f t="shared" si="174"/>
        <v>14.69474065739019</v>
      </c>
      <c r="CS63" s="1388">
        <f t="shared" si="174"/>
        <v>14.699955175646044</v>
      </c>
      <c r="CT63" s="1388">
        <f t="shared" si="174"/>
        <v>14.705171544305472</v>
      </c>
      <c r="CU63" s="1388">
        <f t="shared" si="174"/>
        <v>14.710389764025104</v>
      </c>
      <c r="CV63" s="1388">
        <f t="shared" si="174"/>
        <v>14.718420626266095</v>
      </c>
      <c r="CW63" s="1388">
        <f t="shared" si="174"/>
        <v>14.726455872806168</v>
      </c>
      <c r="CX63" s="1388">
        <f t="shared" si="174"/>
        <v>14.734495506038849</v>
      </c>
      <c r="CY63" s="1388">
        <f t="shared" si="174"/>
        <v>14.74253952835897</v>
      </c>
      <c r="CZ63" s="1388">
        <f t="shared" si="174"/>
        <v>14.750587942162673</v>
      </c>
    </row>
    <row r="64" spans="1:104" x14ac:dyDescent="0.25">
      <c r="A64" s="956" t="str">
        <f>'HyARC Physical Property Data'!A85</f>
        <v>Woody Biomass</v>
      </c>
      <c r="B64" s="260">
        <v>2005</v>
      </c>
      <c r="C64" s="869">
        <f>VLOOKUP(ref_year,DeflatorTable,2,FALSE)/VLOOKUP(B64,DeflatorTable,2,FALSE)</f>
        <v>1.2112501494873942</v>
      </c>
      <c r="D64" s="1247" t="str">
        <f>+'HyARC Physical Property Data'!$H$85</f>
        <v>kg</v>
      </c>
      <c r="E64" s="895" t="s">
        <v>1053</v>
      </c>
      <c r="F64" s="260">
        <f>'HyARC Physical Property Data'!$E$45</f>
        <v>19.551069237418005</v>
      </c>
      <c r="G64" s="260">
        <f>'HyARC Physical Property Data'!$I$45</f>
        <v>20.588656379262464</v>
      </c>
      <c r="H64" s="1056">
        <v>1.3438238843289665</v>
      </c>
      <c r="I64" s="1056">
        <v>1.3438238843289665</v>
      </c>
      <c r="J64" s="1056">
        <v>1.3438238843289665</v>
      </c>
      <c r="K64" s="1056">
        <v>1.3438238843289665</v>
      </c>
      <c r="L64" s="1056">
        <v>1.3438238843289665</v>
      </c>
      <c r="M64" s="1056">
        <v>1.3438238843289665</v>
      </c>
      <c r="N64" s="260">
        <f>1.27*($C$64)</f>
        <v>1.5382876898489906</v>
      </c>
      <c r="O64" s="260">
        <f>1.27*($C$64)</f>
        <v>1.5382876898489906</v>
      </c>
      <c r="P64" s="260">
        <f>1.28*($C$64)</f>
        <v>1.5504001913438645</v>
      </c>
      <c r="Q64" s="260">
        <f>1.32*($C$64)</f>
        <v>1.5988501973233604</v>
      </c>
      <c r="R64" s="260">
        <f>1.32*($C$64)</f>
        <v>1.5988501973233604</v>
      </c>
      <c r="S64" s="260">
        <f>1.34*($C$64)</f>
        <v>1.6230752003131084</v>
      </c>
      <c r="T64" s="260">
        <f>1.34*($C$64)</f>
        <v>1.6230752003131084</v>
      </c>
      <c r="U64" s="260">
        <f>1.36*($C$64)</f>
        <v>1.6473002033028561</v>
      </c>
      <c r="V64" s="260">
        <f>1.36*($C$64)</f>
        <v>1.6473002033028561</v>
      </c>
      <c r="W64" s="260">
        <f>1.38*($C$64)</f>
        <v>1.6715252062926038</v>
      </c>
      <c r="X64" s="260">
        <f>1.4*($C$64)</f>
        <v>1.6957502092823518</v>
      </c>
      <c r="Y64" s="260">
        <f>1.46*($C$64)</f>
        <v>1.7684252182515954</v>
      </c>
      <c r="Z64" s="260">
        <f>1.48*($C$64)</f>
        <v>1.7926502212413433</v>
      </c>
      <c r="AA64" s="260">
        <f>1.48*($C$64)</f>
        <v>1.7926502212413433</v>
      </c>
      <c r="AB64" s="260">
        <f>1.51*($C$64)</f>
        <v>1.8289877257259652</v>
      </c>
      <c r="AC64" s="260">
        <f>1.52*($C$64)</f>
        <v>1.8411002272208392</v>
      </c>
      <c r="AD64" s="260">
        <f>1.62*($C$64)</f>
        <v>1.9622252421695787</v>
      </c>
      <c r="AE64" s="260">
        <f>1.72*($C$64)</f>
        <v>2.083350257118318</v>
      </c>
      <c r="AF64" s="260">
        <f>1.82*($C$64)</f>
        <v>2.2044752720670573</v>
      </c>
      <c r="AG64" s="260">
        <f>1.91*($C$64)</f>
        <v>2.3134877855209228</v>
      </c>
      <c r="AH64" s="260">
        <f>2.01*($C$64)</f>
        <v>2.4346128004696621</v>
      </c>
      <c r="AI64" s="260">
        <f>2.11*($C$64)</f>
        <v>2.5557378154184014</v>
      </c>
      <c r="AJ64" s="260">
        <f>2.2*($C$64)</f>
        <v>2.6647503288722674</v>
      </c>
      <c r="AK64" s="260">
        <f>2.3*($C$64)</f>
        <v>2.7858753438210062</v>
      </c>
      <c r="AL64" s="260">
        <f>2.4*($C$64)</f>
        <v>2.9070003587697459</v>
      </c>
      <c r="AM64" s="260">
        <f>2.5*($C$64)</f>
        <v>3.0281253737184857</v>
      </c>
      <c r="AN64" s="260">
        <f>2.57*($C$64)</f>
        <v>3.1129128841826028</v>
      </c>
      <c r="AO64" s="260">
        <f>2.64*($C$64)</f>
        <v>3.1977003946467208</v>
      </c>
      <c r="AP64" s="260">
        <f>2.71*($C$64)</f>
        <v>3.282487905110838</v>
      </c>
      <c r="AQ64" s="260">
        <f>2.78*($C$64)</f>
        <v>3.3672754155749556</v>
      </c>
      <c r="AR64" s="260">
        <f>2.85*($C$64)</f>
        <v>3.4520629260390736</v>
      </c>
      <c r="AS64" s="260">
        <f>2.92*($C$64)</f>
        <v>3.5368504365031908</v>
      </c>
      <c r="AT64" s="260">
        <f>2.99*($C$64)</f>
        <v>3.6216379469673088</v>
      </c>
      <c r="AU64" s="260">
        <f>3.07*($C$64)</f>
        <v>3.7185379589263001</v>
      </c>
      <c r="AV64" s="260">
        <f>3.14*($C$64)</f>
        <v>3.8033254693904177</v>
      </c>
      <c r="AW64" s="260">
        <f>3.21*($C$64)</f>
        <v>3.8881129798545353</v>
      </c>
      <c r="AX64" s="260">
        <f>3.28*($C$64)</f>
        <v>3.9729004903186529</v>
      </c>
      <c r="AY64" s="260">
        <f>3.35*($C$64)</f>
        <v>4.0576880007827709</v>
      </c>
      <c r="AZ64" s="260">
        <f>3.42*($C$64)</f>
        <v>4.1424755112468876</v>
      </c>
      <c r="BA64" s="260">
        <f>3.49*($C$64)</f>
        <v>4.2272630217110061</v>
      </c>
      <c r="BB64" s="260">
        <f>3.56*($C$64)</f>
        <v>4.3120505321751237</v>
      </c>
      <c r="BC64" s="260">
        <f>3.64*($C$64)</f>
        <v>4.4089505441341146</v>
      </c>
      <c r="BD64" s="260">
        <f>3.71*($C$64)</f>
        <v>4.4937380545982322</v>
      </c>
      <c r="BE64" s="260">
        <f>3.78*($C$64)</f>
        <v>4.5785255650623498</v>
      </c>
      <c r="BF64" s="260">
        <f>3.85*($C$64)</f>
        <v>4.6633130755264673</v>
      </c>
      <c r="BG64" s="260">
        <f>3.92*($C$64)</f>
        <v>4.7481005859905849</v>
      </c>
      <c r="BH64" s="260">
        <f>3.99*($C$64)</f>
        <v>4.8328880964547034</v>
      </c>
      <c r="BI64" s="260">
        <f>4.06*($C$64)</f>
        <v>4.9176756069188201</v>
      </c>
      <c r="BJ64" s="260">
        <f>4.14*($C$64)</f>
        <v>5.0145756188778119</v>
      </c>
      <c r="BK64" s="260">
        <f>4.21*($C$64)</f>
        <v>5.0993631293419295</v>
      </c>
      <c r="BL64" s="260">
        <f>4.28*($C$64)</f>
        <v>5.1841506398060471</v>
      </c>
      <c r="BM64" s="260">
        <f>4.35*($C$64)</f>
        <v>5.2689381502701647</v>
      </c>
      <c r="BN64" s="260">
        <f>4.42*($C$64)</f>
        <v>5.3537256607342822</v>
      </c>
      <c r="BO64" s="260">
        <f>4.49*($C$64)</f>
        <v>5.4385131711983998</v>
      </c>
      <c r="BP64" s="260">
        <f>4.56*($C$64)</f>
        <v>5.5233006816625174</v>
      </c>
      <c r="BQ64" s="260">
        <f>4.63*($C$64)</f>
        <v>5.608088192126635</v>
      </c>
      <c r="BR64" s="868">
        <f>4.71*($C$64)</f>
        <v>5.7049882040856268</v>
      </c>
      <c r="BS64" s="260">
        <f>4.78*($C$64)</f>
        <v>5.7897757145497444</v>
      </c>
      <c r="BT64" s="260">
        <f>4.85*($C$64)</f>
        <v>5.8745632250138611</v>
      </c>
      <c r="BU64" s="260">
        <f>4.92*($C$64)</f>
        <v>5.9593507354779796</v>
      </c>
      <c r="BV64" s="871">
        <f>4.99*($C$64)</f>
        <v>6.0441382459420971</v>
      </c>
      <c r="BW64" s="1388">
        <f>+BV64*BW$137/BV$137</f>
        <v>6.0586659764672328</v>
      </c>
      <c r="BX64" s="1388">
        <f t="shared" ref="BX64:CZ64" si="177">+BW64*BX$137/BW$137</f>
        <v>6.0732286259412112</v>
      </c>
      <c r="BY64" s="1388">
        <f t="shared" si="177"/>
        <v>6.0878262782954495</v>
      </c>
      <c r="BZ64" s="1388">
        <f t="shared" si="177"/>
        <v>6.1024590176630999</v>
      </c>
      <c r="CA64" s="1388">
        <f t="shared" si="177"/>
        <v>6.1171269283795393</v>
      </c>
      <c r="CB64" s="1388">
        <f t="shared" si="177"/>
        <v>6.1299667153690152</v>
      </c>
      <c r="CC64" s="1388">
        <f t="shared" si="177"/>
        <v>6.1428334529403346</v>
      </c>
      <c r="CD64" s="1388">
        <f t="shared" si="177"/>
        <v>6.155727197662495</v>
      </c>
      <c r="CE64" s="1388">
        <f t="shared" si="177"/>
        <v>6.1686480062232301</v>
      </c>
      <c r="CF64" s="1388">
        <f t="shared" si="177"/>
        <v>6.18159593542926</v>
      </c>
      <c r="CG64" s="1388">
        <f t="shared" si="177"/>
        <v>6.197524392005751</v>
      </c>
      <c r="CH64" s="1388">
        <f t="shared" si="177"/>
        <v>6.2134938923080965</v>
      </c>
      <c r="CI64" s="1388">
        <f t="shared" si="177"/>
        <v>6.229504542095909</v>
      </c>
      <c r="CJ64" s="1388">
        <f t="shared" si="177"/>
        <v>6.245556447401321</v>
      </c>
      <c r="CK64" s="1388">
        <f t="shared" si="177"/>
        <v>6.2616497145296828</v>
      </c>
      <c r="CL64" s="1388">
        <f t="shared" si="177"/>
        <v>6.2750522655841658</v>
      </c>
      <c r="CM64" s="1388">
        <f t="shared" si="177"/>
        <v>6.2884835037072264</v>
      </c>
      <c r="CN64" s="1388">
        <f t="shared" si="177"/>
        <v>6.3019434903011975</v>
      </c>
      <c r="CO64" s="1388">
        <f t="shared" si="177"/>
        <v>6.3154322868998385</v>
      </c>
      <c r="CP64" s="1388">
        <f t="shared" si="177"/>
        <v>6.3289499551686168</v>
      </c>
      <c r="CQ64" s="1388">
        <f t="shared" si="177"/>
        <v>6.3413225489579119</v>
      </c>
      <c r="CR64" s="1388">
        <f t="shared" si="177"/>
        <v>6.3537193301840116</v>
      </c>
      <c r="CS64" s="1388">
        <f t="shared" si="177"/>
        <v>6.3661403461314299</v>
      </c>
      <c r="CT64" s="1388">
        <f t="shared" si="177"/>
        <v>6.3785856441771198</v>
      </c>
      <c r="CU64" s="1388">
        <f t="shared" si="177"/>
        <v>6.3910552717906537</v>
      </c>
      <c r="CV64" s="1388">
        <f t="shared" si="177"/>
        <v>6.4057772391562917</v>
      </c>
      <c r="CW64" s="1388">
        <f t="shared" si="177"/>
        <v>6.4205331189689208</v>
      </c>
      <c r="CX64" s="1388">
        <f t="shared" si="177"/>
        <v>6.4353229893467718</v>
      </c>
      <c r="CY64" s="1388">
        <f t="shared" si="177"/>
        <v>6.4501469285880244</v>
      </c>
      <c r="CZ64" s="1388">
        <f t="shared" si="177"/>
        <v>6.4650050151712186</v>
      </c>
    </row>
    <row r="65" spans="1:104" x14ac:dyDescent="0.25">
      <c r="A65" s="903" t="str">
        <f>'HyARC Physical Property Data'!A79</f>
        <v>Electric Utility Steam Coal</v>
      </c>
      <c r="B65" s="260">
        <v>2011</v>
      </c>
      <c r="C65" s="869">
        <f>VLOOKUP(ref_year,DeflatorTable,2,FALSE)/VLOOKUP(B65,DeflatorTable,2,FALSE)</f>
        <v>1.0784554773635862</v>
      </c>
      <c r="D65" s="1247" t="str">
        <f>+'HyARC Physical Property Data'!$H$79</f>
        <v>kg</v>
      </c>
      <c r="E65" s="895" t="s">
        <v>1053</v>
      </c>
      <c r="F65" s="260">
        <f>'HyARC Physical Property Data'!$E$42</f>
        <v>22.7322030001394</v>
      </c>
      <c r="G65" s="260">
        <f>'HyARC Physical Property Data'!$I$42</f>
        <v>23.967615189707661</v>
      </c>
      <c r="H65" s="1056">
        <v>1.6359074751967535</v>
      </c>
      <c r="I65" s="1056">
        <v>1.6359074751967535</v>
      </c>
      <c r="J65" s="1056">
        <v>1.6359074751967535</v>
      </c>
      <c r="K65" s="1056">
        <v>1.6778298347292193</v>
      </c>
      <c r="L65" s="1056">
        <v>1.8315470257945772</v>
      </c>
      <c r="M65" s="1056">
        <v>1.8060149340317679</v>
      </c>
      <c r="N65" s="260">
        <f t="shared" ref="N65:AR65" si="178">N79*($C65/mmBTU_to_GJ*$G65/$F65)</f>
        <v>2.4767433408545654</v>
      </c>
      <c r="O65" s="260">
        <f t="shared" si="178"/>
        <v>2.5651337544408896</v>
      </c>
      <c r="P65" s="260">
        <f t="shared" si="178"/>
        <v>2.6023831610321637</v>
      </c>
      <c r="Q65" s="260">
        <f t="shared" si="178"/>
        <v>2.5126832358863247</v>
      </c>
      <c r="R65" s="260">
        <f t="shared" si="178"/>
        <v>2.6585542013179602</v>
      </c>
      <c r="S65" s="260">
        <f t="shared" si="178"/>
        <v>2.6840072260006811</v>
      </c>
      <c r="T65" s="260">
        <f t="shared" si="178"/>
        <v>2.7699747737550795</v>
      </c>
      <c r="U65" s="260">
        <f t="shared" si="178"/>
        <v>2.7766301102818329</v>
      </c>
      <c r="V65" s="260">
        <f t="shared" si="178"/>
        <v>2.7968493998756609</v>
      </c>
      <c r="W65" s="260">
        <f t="shared" si="178"/>
        <v>2.8115213182786878</v>
      </c>
      <c r="X65" s="260">
        <f t="shared" si="178"/>
        <v>2.8489776600299841</v>
      </c>
      <c r="Y65" s="260">
        <f t="shared" si="178"/>
        <v>2.8785704657004394</v>
      </c>
      <c r="Z65" s="260">
        <f t="shared" si="178"/>
        <v>2.9253496675256483</v>
      </c>
      <c r="AA65" s="260">
        <f t="shared" si="178"/>
        <v>2.9630312668209267</v>
      </c>
      <c r="AB65" s="260">
        <f t="shared" si="178"/>
        <v>3.0053645960675355</v>
      </c>
      <c r="AC65" s="260">
        <f t="shared" si="178"/>
        <v>3.0521599647021214</v>
      </c>
      <c r="AD65" s="260">
        <f t="shared" si="178"/>
        <v>3.0924023866026737</v>
      </c>
      <c r="AE65" s="260">
        <f t="shared" si="178"/>
        <v>3.1249741963476141</v>
      </c>
      <c r="AF65" s="260">
        <f t="shared" si="178"/>
        <v>3.1652489518669196</v>
      </c>
      <c r="AG65" s="260">
        <f t="shared" si="178"/>
        <v>3.2097820449760555</v>
      </c>
      <c r="AH65" s="260">
        <f t="shared" si="178"/>
        <v>3.2527092350204363</v>
      </c>
      <c r="AI65" s="260">
        <f t="shared" si="178"/>
        <v>3.2901989881777776</v>
      </c>
      <c r="AJ65" s="260">
        <f t="shared" si="178"/>
        <v>3.3307065457521077</v>
      </c>
      <c r="AK65" s="260">
        <f t="shared" si="178"/>
        <v>3.3733136329708291</v>
      </c>
      <c r="AL65" s="260">
        <f t="shared" si="178"/>
        <v>3.4171795757463519</v>
      </c>
      <c r="AM65" s="260">
        <f t="shared" si="178"/>
        <v>3.4665778006905912</v>
      </c>
      <c r="AN65" s="260">
        <f t="shared" si="178"/>
        <v>3.5046355477507012</v>
      </c>
      <c r="AO65" s="260">
        <f t="shared" si="178"/>
        <v>3.5333294788198106</v>
      </c>
      <c r="AP65" s="260">
        <f t="shared" si="178"/>
        <v>3.5689945380921646</v>
      </c>
      <c r="AQ65" s="260">
        <f t="shared" si="178"/>
        <v>3.6172858754877444</v>
      </c>
      <c r="AR65" s="260">
        <f t="shared" si="178"/>
        <v>3.6632858371009949</v>
      </c>
      <c r="AS65" s="260">
        <f>($BB65-$AR65)/10+AR65</f>
        <v>3.6603339305711646</v>
      </c>
      <c r="AT65" s="260">
        <f t="shared" ref="AT65:BA65" si="179">($BB65-$AR65)/10+AS65</f>
        <v>3.6573820240413344</v>
      </c>
      <c r="AU65" s="260">
        <f t="shared" si="179"/>
        <v>3.6544301175115042</v>
      </c>
      <c r="AV65" s="260">
        <f t="shared" si="179"/>
        <v>3.6514782109816739</v>
      </c>
      <c r="AW65" s="260">
        <f t="shared" si="179"/>
        <v>3.6485263044518437</v>
      </c>
      <c r="AX65" s="260">
        <f t="shared" si="179"/>
        <v>3.6455743979220134</v>
      </c>
      <c r="AY65" s="260">
        <f t="shared" si="179"/>
        <v>3.6426224913921832</v>
      </c>
      <c r="AZ65" s="260">
        <f t="shared" si="179"/>
        <v>3.639670584862353</v>
      </c>
      <c r="BA65" s="260">
        <f t="shared" si="179"/>
        <v>3.6367186783325227</v>
      </c>
      <c r="BB65" s="931">
        <f>('AEO Data'!$B$28*AM65)</f>
        <v>3.6337667718026938</v>
      </c>
      <c r="BC65" s="260">
        <f>($BQ65-$BB65)/15+BB65</f>
        <v>3.6465192456024029</v>
      </c>
      <c r="BD65" s="260">
        <f t="shared" ref="BD65:BP68" si="180">($BQ65-$BB65)/15+BC65</f>
        <v>3.659271719402112</v>
      </c>
      <c r="BE65" s="260">
        <f t="shared" si="180"/>
        <v>3.6720241932018212</v>
      </c>
      <c r="BF65" s="260">
        <f t="shared" si="180"/>
        <v>3.6847766670015303</v>
      </c>
      <c r="BG65" s="260">
        <f t="shared" si="180"/>
        <v>3.6975291408012394</v>
      </c>
      <c r="BH65" s="260">
        <f t="shared" si="180"/>
        <v>3.7102816146009485</v>
      </c>
      <c r="BI65" s="260">
        <f t="shared" si="180"/>
        <v>3.7230340884006576</v>
      </c>
      <c r="BJ65" s="260">
        <f t="shared" si="180"/>
        <v>3.7357865622003668</v>
      </c>
      <c r="BK65" s="260">
        <f t="shared" si="180"/>
        <v>3.7485390360000759</v>
      </c>
      <c r="BL65" s="260">
        <f t="shared" si="180"/>
        <v>3.761291509799785</v>
      </c>
      <c r="BM65" s="260">
        <f t="shared" si="180"/>
        <v>3.7740439835994941</v>
      </c>
      <c r="BN65" s="260">
        <f t="shared" si="180"/>
        <v>3.7867964573992032</v>
      </c>
      <c r="BO65" s="260">
        <f t="shared" si="180"/>
        <v>3.7995489311989123</v>
      </c>
      <c r="BP65" s="260">
        <f t="shared" si="180"/>
        <v>3.8123014049986215</v>
      </c>
      <c r="BQ65" s="931">
        <f>('AEO Data'!$C$28*BB65)</f>
        <v>3.8250538787983337</v>
      </c>
      <c r="BR65" s="868">
        <f t="shared" ref="BR65:BU68" si="181">($BV65-$BQ65)/5+BQ65</f>
        <v>3.8373166225762918</v>
      </c>
      <c r="BS65" s="260">
        <f t="shared" si="181"/>
        <v>3.8495793663542499</v>
      </c>
      <c r="BT65" s="260">
        <f t="shared" si="181"/>
        <v>3.861842110132208</v>
      </c>
      <c r="BU65" s="260">
        <f t="shared" si="181"/>
        <v>3.8741048539101661</v>
      </c>
      <c r="BV65" s="955">
        <f>('AEO Data'!$D$28*BQ65)</f>
        <v>3.8863675976881238</v>
      </c>
      <c r="BW65" s="1388">
        <f>+BV65*BW$138/BV$138</f>
        <v>3.8995072326040932</v>
      </c>
      <c r="BX65" s="1388">
        <f t="shared" ref="BX65:CZ65" si="182">+BW65*BX$138/BW$138</f>
        <v>3.9126912920376582</v>
      </c>
      <c r="BY65" s="1388">
        <f t="shared" si="182"/>
        <v>3.9259199261861233</v>
      </c>
      <c r="BZ65" s="1388">
        <f t="shared" si="182"/>
        <v>3.9391932857546061</v>
      </c>
      <c r="CA65" s="1388">
        <f t="shared" si="182"/>
        <v>3.9525115219577494</v>
      </c>
      <c r="CB65" s="1388">
        <f t="shared" si="182"/>
        <v>3.9638281829885078</v>
      </c>
      <c r="CC65" s="1388">
        <f t="shared" si="182"/>
        <v>3.9751772453965106</v>
      </c>
      <c r="CD65" s="1388">
        <f t="shared" si="182"/>
        <v>3.9865588019519875</v>
      </c>
      <c r="CE65" s="1388">
        <f t="shared" si="182"/>
        <v>3.9979729456907847</v>
      </c>
      <c r="CF65" s="1388">
        <f t="shared" si="182"/>
        <v>4.0094197699151231</v>
      </c>
      <c r="CG65" s="1388">
        <f t="shared" si="182"/>
        <v>4.0181594321320722</v>
      </c>
      <c r="CH65" s="1388">
        <f t="shared" si="182"/>
        <v>4.0269181449099625</v>
      </c>
      <c r="CI65" s="1388">
        <f t="shared" si="182"/>
        <v>4.0356959497748699</v>
      </c>
      <c r="CJ65" s="1388">
        <f t="shared" si="182"/>
        <v>4.0444928883433882</v>
      </c>
      <c r="CK65" s="1388">
        <f t="shared" si="182"/>
        <v>4.0533090023228242</v>
      </c>
      <c r="CL65" s="1388">
        <f t="shared" si="182"/>
        <v>4.0592855925032651</v>
      </c>
      <c r="CM65" s="1388">
        <f t="shared" si="182"/>
        <v>4.0652709951453678</v>
      </c>
      <c r="CN65" s="1388">
        <f t="shared" si="182"/>
        <v>4.0712652232430759</v>
      </c>
      <c r="CO65" s="1388">
        <f t="shared" si="182"/>
        <v>4.0772682898094939</v>
      </c>
      <c r="CP65" s="1388">
        <f t="shared" si="182"/>
        <v>4.0832802078769133</v>
      </c>
      <c r="CQ65" s="1388">
        <f t="shared" si="182"/>
        <v>4.0852935052227286</v>
      </c>
      <c r="CR65" s="1388">
        <f t="shared" si="182"/>
        <v>4.0873077952425705</v>
      </c>
      <c r="CS65" s="1388">
        <f t="shared" si="182"/>
        <v>4.0893230784258847</v>
      </c>
      <c r="CT65" s="1388">
        <f t="shared" si="182"/>
        <v>4.0913393552623587</v>
      </c>
      <c r="CU65" s="1388">
        <f t="shared" si="182"/>
        <v>4.0933566262419232</v>
      </c>
      <c r="CV65" s="1388">
        <f t="shared" si="182"/>
        <v>4.0904573728021916</v>
      </c>
      <c r="CW65" s="1388">
        <f t="shared" si="182"/>
        <v>4.0875601728533422</v>
      </c>
      <c r="CX65" s="1388">
        <f t="shared" si="182"/>
        <v>4.0846650249409233</v>
      </c>
      <c r="CY65" s="1388">
        <f t="shared" si="182"/>
        <v>4.081771927611511</v>
      </c>
      <c r="CZ65" s="1388">
        <f t="shared" si="182"/>
        <v>4.0788808794127149</v>
      </c>
    </row>
    <row r="66" spans="1:104" x14ac:dyDescent="0.25">
      <c r="A66" s="872" t="str">
        <f>'HyARC Physical Property Data'!A76</f>
        <v>Commercial Electricity</v>
      </c>
      <c r="B66" s="260">
        <v>2011</v>
      </c>
      <c r="C66" s="869">
        <f t="shared" si="165"/>
        <v>1.0784554773635862</v>
      </c>
      <c r="D66" s="1247" t="str">
        <f>'HyARC Physical Property Data'!$H$76</f>
        <v>kWh</v>
      </c>
      <c r="E66" s="869" t="s">
        <v>1072</v>
      </c>
      <c r="F66" s="873"/>
      <c r="G66" s="869"/>
      <c r="H66" s="1056">
        <v>26.764062885406638</v>
      </c>
      <c r="I66" s="1056">
        <v>26.764062885406638</v>
      </c>
      <c r="J66" s="1056">
        <v>26.764062885406638</v>
      </c>
      <c r="K66" s="1056">
        <v>26.478521097803213</v>
      </c>
      <c r="L66" s="1056">
        <v>27.879470162766175</v>
      </c>
      <c r="M66" s="1056">
        <v>27.895326399478549</v>
      </c>
      <c r="N66" s="260">
        <f>N80*($C66)</f>
        <v>32.884888841491865</v>
      </c>
      <c r="O66" s="260">
        <f t="shared" ref="O66:AR68" si="183">O80*($C66)</f>
        <v>32.332798364331552</v>
      </c>
      <c r="P66" s="260">
        <f t="shared" si="183"/>
        <v>30.737262309969314</v>
      </c>
      <c r="Q66" s="260">
        <f t="shared" si="183"/>
        <v>29.97242384233401</v>
      </c>
      <c r="R66" s="260">
        <f t="shared" si="183"/>
        <v>30.387977542238183</v>
      </c>
      <c r="S66" s="260">
        <f t="shared" si="183"/>
        <v>30.347150453231627</v>
      </c>
      <c r="T66" s="260">
        <f t="shared" si="183"/>
        <v>30.940154295836678</v>
      </c>
      <c r="U66" s="260">
        <f t="shared" si="183"/>
        <v>31.301692474701618</v>
      </c>
      <c r="V66" s="260">
        <f t="shared" si="183"/>
        <v>31.392652645028893</v>
      </c>
      <c r="W66" s="260">
        <f t="shared" si="183"/>
        <v>31.248251770431818</v>
      </c>
      <c r="X66" s="260">
        <f t="shared" si="183"/>
        <v>31.319545226673895</v>
      </c>
      <c r="Y66" s="260">
        <f t="shared" si="183"/>
        <v>31.450144028071669</v>
      </c>
      <c r="Z66" s="260">
        <f t="shared" si="183"/>
        <v>31.542321774632889</v>
      </c>
      <c r="AA66" s="260">
        <f t="shared" si="183"/>
        <v>31.486595823206557</v>
      </c>
      <c r="AB66" s="260">
        <f t="shared" si="183"/>
        <v>31.399882610549138</v>
      </c>
      <c r="AC66" s="260">
        <f t="shared" si="183"/>
        <v>31.493015868663306</v>
      </c>
      <c r="AD66" s="260">
        <f t="shared" si="183"/>
        <v>31.467305490082953</v>
      </c>
      <c r="AE66" s="260">
        <f t="shared" si="183"/>
        <v>31.504678286195514</v>
      </c>
      <c r="AF66" s="260">
        <f t="shared" si="183"/>
        <v>31.506435090168136</v>
      </c>
      <c r="AG66" s="260">
        <f t="shared" si="183"/>
        <v>31.647141176299762</v>
      </c>
      <c r="AH66" s="260">
        <f t="shared" si="183"/>
        <v>31.868543771980598</v>
      </c>
      <c r="AI66" s="260">
        <f t="shared" si="183"/>
        <v>32.132385747606648</v>
      </c>
      <c r="AJ66" s="260">
        <f t="shared" si="183"/>
        <v>32.307495641921648</v>
      </c>
      <c r="AK66" s="260">
        <f t="shared" si="183"/>
        <v>32.65090606266758</v>
      </c>
      <c r="AL66" s="260">
        <f t="shared" si="183"/>
        <v>33.217937462011285</v>
      </c>
      <c r="AM66" s="260">
        <f t="shared" si="183"/>
        <v>33.746086227574118</v>
      </c>
      <c r="AN66" s="260">
        <f t="shared" si="183"/>
        <v>34.302393465650923</v>
      </c>
      <c r="AO66" s="260">
        <f t="shared" si="183"/>
        <v>34.800179395704063</v>
      </c>
      <c r="AP66" s="260">
        <f t="shared" si="183"/>
        <v>35.230419502298972</v>
      </c>
      <c r="AQ66" s="260">
        <f t="shared" si="183"/>
        <v>35.829986824939262</v>
      </c>
      <c r="AR66" s="260">
        <f t="shared" si="183"/>
        <v>36.211973598110482</v>
      </c>
      <c r="AS66" s="260">
        <f t="shared" ref="AS66:BA66" si="184">($BB66-$AR66)/10+AR66</f>
        <v>35.881261041922635</v>
      </c>
      <c r="AT66" s="260">
        <f t="shared" si="184"/>
        <v>35.550548485734787</v>
      </c>
      <c r="AU66" s="260">
        <f t="shared" si="184"/>
        <v>35.219835929546939</v>
      </c>
      <c r="AV66" s="260">
        <f t="shared" si="184"/>
        <v>34.889123373359091</v>
      </c>
      <c r="AW66" s="260">
        <f t="shared" si="184"/>
        <v>34.558410817171243</v>
      </c>
      <c r="AX66" s="260">
        <f t="shared" si="184"/>
        <v>34.227698260983395</v>
      </c>
      <c r="AY66" s="260">
        <f t="shared" si="184"/>
        <v>33.896985704795547</v>
      </c>
      <c r="AZ66" s="260">
        <f t="shared" si="184"/>
        <v>33.566273148607699</v>
      </c>
      <c r="BA66" s="260">
        <f t="shared" si="184"/>
        <v>33.235560592419851</v>
      </c>
      <c r="BB66" s="931">
        <f>'AEO Data'!$B$33*AM66</f>
        <v>32.904848036232032</v>
      </c>
      <c r="BC66" s="260">
        <f>($BQ66-$BB66)/15+BB66</f>
        <v>32.924019184217244</v>
      </c>
      <c r="BD66" s="260">
        <f t="shared" si="180"/>
        <v>32.943190332202455</v>
      </c>
      <c r="BE66" s="260">
        <f t="shared" si="180"/>
        <v>32.962361480187667</v>
      </c>
      <c r="BF66" s="260">
        <f t="shared" si="180"/>
        <v>32.981532628172879</v>
      </c>
      <c r="BG66" s="260">
        <f t="shared" si="180"/>
        <v>33.00070377615809</v>
      </c>
      <c r="BH66" s="260">
        <f t="shared" si="180"/>
        <v>33.019874924143302</v>
      </c>
      <c r="BI66" s="260">
        <f t="shared" si="180"/>
        <v>33.039046072128514</v>
      </c>
      <c r="BJ66" s="260">
        <f t="shared" si="180"/>
        <v>33.058217220113725</v>
      </c>
      <c r="BK66" s="260">
        <f t="shared" si="180"/>
        <v>33.077388368098937</v>
      </c>
      <c r="BL66" s="260">
        <f t="shared" si="180"/>
        <v>33.096559516084149</v>
      </c>
      <c r="BM66" s="260">
        <f t="shared" si="180"/>
        <v>33.115730664069361</v>
      </c>
      <c r="BN66" s="260">
        <f t="shared" si="180"/>
        <v>33.134901812054572</v>
      </c>
      <c r="BO66" s="260">
        <f t="shared" si="180"/>
        <v>33.154072960039784</v>
      </c>
      <c r="BP66" s="260">
        <f t="shared" si="180"/>
        <v>33.173244108024996</v>
      </c>
      <c r="BQ66" s="931">
        <f>'AEO Data'!$C$33*BB66</f>
        <v>33.192415256010214</v>
      </c>
      <c r="BR66" s="868">
        <f t="shared" si="181"/>
        <v>33.170065135939467</v>
      </c>
      <c r="BS66" s="260">
        <f t="shared" si="181"/>
        <v>33.147715015868719</v>
      </c>
      <c r="BT66" s="260">
        <f t="shared" si="181"/>
        <v>33.125364895797972</v>
      </c>
      <c r="BU66" s="260">
        <f t="shared" si="181"/>
        <v>33.103014775727225</v>
      </c>
      <c r="BV66" s="955">
        <f>'AEO Data'!$D$33*BQ66</f>
        <v>33.080664655656477</v>
      </c>
      <c r="BW66" s="1388">
        <f>+BV66*BW$139/BV$139</f>
        <v>33.066099114275488</v>
      </c>
      <c r="BX66" s="1388">
        <f t="shared" ref="BX66:CZ66" si="185">+BW66*BX$139/BW$139</f>
        <v>33.051539986157294</v>
      </c>
      <c r="BY66" s="1388">
        <f t="shared" si="185"/>
        <v>33.0369872684781</v>
      </c>
      <c r="BZ66" s="1388">
        <f t="shared" si="185"/>
        <v>33.022440958415373</v>
      </c>
      <c r="CA66" s="1388">
        <f t="shared" si="185"/>
        <v>33.007901053147819</v>
      </c>
      <c r="CB66" s="1388">
        <f t="shared" si="185"/>
        <v>32.98146223987488</v>
      </c>
      <c r="CC66" s="1388">
        <f t="shared" si="185"/>
        <v>32.955044603678495</v>
      </c>
      <c r="CD66" s="1388">
        <f t="shared" si="185"/>
        <v>32.928648127596141</v>
      </c>
      <c r="CE66" s="1388">
        <f t="shared" si="185"/>
        <v>32.902272794678915</v>
      </c>
      <c r="CF66" s="1388">
        <f t="shared" si="185"/>
        <v>32.875918587991457</v>
      </c>
      <c r="CG66" s="1388">
        <f t="shared" si="185"/>
        <v>32.839614191376278</v>
      </c>
      <c r="CH66" s="1388">
        <f t="shared" si="185"/>
        <v>32.803349885175919</v>
      </c>
      <c r="CI66" s="1388">
        <f t="shared" si="185"/>
        <v>32.767125625119114</v>
      </c>
      <c r="CJ66" s="1388">
        <f t="shared" si="185"/>
        <v>32.730941366983494</v>
      </c>
      <c r="CK66" s="1388">
        <f t="shared" si="185"/>
        <v>32.69479706659552</v>
      </c>
      <c r="CL66" s="1388">
        <f t="shared" si="185"/>
        <v>32.65539094584242</v>
      </c>
      <c r="CM66" s="1388">
        <f t="shared" si="185"/>
        <v>32.616032320180047</v>
      </c>
      <c r="CN66" s="1388">
        <f t="shared" si="185"/>
        <v>32.576721132363886</v>
      </c>
      <c r="CO66" s="1388">
        <f t="shared" si="185"/>
        <v>32.537457325218448</v>
      </c>
      <c r="CP66" s="1388">
        <f t="shared" si="185"/>
        <v>32.498240841637141</v>
      </c>
      <c r="CQ66" s="1388">
        <f t="shared" si="185"/>
        <v>32.452817913303896</v>
      </c>
      <c r="CR66" s="1388">
        <f t="shared" si="185"/>
        <v>32.407458472789216</v>
      </c>
      <c r="CS66" s="1388">
        <f t="shared" si="185"/>
        <v>32.362162431355912</v>
      </c>
      <c r="CT66" s="1388">
        <f t="shared" si="185"/>
        <v>32.31692970039083</v>
      </c>
      <c r="CU66" s="1388">
        <f t="shared" si="185"/>
        <v>32.271760191404653</v>
      </c>
      <c r="CV66" s="1388">
        <f t="shared" si="185"/>
        <v>32.22766670904133</v>
      </c>
      <c r="CW66" s="1388">
        <f t="shared" si="185"/>
        <v>32.183633472390525</v>
      </c>
      <c r="CX66" s="1388">
        <f t="shared" si="185"/>
        <v>32.139660399137448</v>
      </c>
      <c r="CY66" s="1388">
        <f t="shared" si="185"/>
        <v>32.09574740707977</v>
      </c>
      <c r="CZ66" s="1388">
        <f t="shared" si="185"/>
        <v>32.051894414127482</v>
      </c>
    </row>
    <row r="67" spans="1:104" x14ac:dyDescent="0.25">
      <c r="A67" s="872" t="str">
        <f>'HyARC Physical Property Data'!A77</f>
        <v>Industrial Electricity</v>
      </c>
      <c r="B67" s="260">
        <v>2011</v>
      </c>
      <c r="C67" s="869">
        <f t="shared" si="165"/>
        <v>1.0784554773635862</v>
      </c>
      <c r="D67" s="1235" t="str">
        <f>'HyARC Physical Property Data'!$H$77</f>
        <v>kWh</v>
      </c>
      <c r="E67" s="869" t="s">
        <v>1072</v>
      </c>
      <c r="F67" s="880"/>
      <c r="G67" s="222"/>
      <c r="H67" s="1059">
        <v>17.365230901091444</v>
      </c>
      <c r="I67" s="1059">
        <v>17.365230901091444</v>
      </c>
      <c r="J67" s="1059">
        <v>17.365230901091444</v>
      </c>
      <c r="K67" s="1059">
        <v>17.575551809904887</v>
      </c>
      <c r="L67" s="1059">
        <v>19.530121721487372</v>
      </c>
      <c r="M67" s="1059">
        <v>19.467200489895287</v>
      </c>
      <c r="N67" s="222">
        <f t="shared" ref="N67:AC68" si="186">N81*($C67)</f>
        <v>21.849987884073684</v>
      </c>
      <c r="O67" s="222">
        <f t="shared" si="186"/>
        <v>21.542925726736811</v>
      </c>
      <c r="P67" s="222">
        <f t="shared" si="186"/>
        <v>19.902451511088309</v>
      </c>
      <c r="Q67" s="222">
        <f t="shared" si="186"/>
        <v>19.582235432294034</v>
      </c>
      <c r="R67" s="222">
        <f t="shared" si="186"/>
        <v>19.704756602166356</v>
      </c>
      <c r="S67" s="222">
        <f t="shared" si="186"/>
        <v>19.619020470171431</v>
      </c>
      <c r="T67" s="222">
        <f t="shared" si="186"/>
        <v>20.171031141626411</v>
      </c>
      <c r="U67" s="222">
        <f t="shared" si="186"/>
        <v>20.49385492576495</v>
      </c>
      <c r="V67" s="222">
        <f t="shared" si="186"/>
        <v>20.594470507981068</v>
      </c>
      <c r="W67" s="222">
        <f t="shared" si="186"/>
        <v>20.544822731625157</v>
      </c>
      <c r="X67" s="222">
        <f t="shared" si="186"/>
        <v>20.594035890423687</v>
      </c>
      <c r="Y67" s="222">
        <f t="shared" si="186"/>
        <v>20.76255102949461</v>
      </c>
      <c r="Z67" s="222">
        <f t="shared" si="186"/>
        <v>20.94633062739214</v>
      </c>
      <c r="AA67" s="222">
        <f t="shared" si="186"/>
        <v>21.072253245840066</v>
      </c>
      <c r="AB67" s="222">
        <f t="shared" si="186"/>
        <v>21.100348089480867</v>
      </c>
      <c r="AC67" s="222">
        <f t="shared" si="186"/>
        <v>21.269441280687655</v>
      </c>
      <c r="AD67" s="222">
        <f t="shared" si="183"/>
        <v>21.365271755950712</v>
      </c>
      <c r="AE67" s="222">
        <f t="shared" si="183"/>
        <v>21.508514369365095</v>
      </c>
      <c r="AF67" s="222">
        <f t="shared" si="183"/>
        <v>21.619174685897374</v>
      </c>
      <c r="AG67" s="222">
        <f t="shared" si="183"/>
        <v>21.826218725352589</v>
      </c>
      <c r="AH67" s="222">
        <f t="shared" si="183"/>
        <v>22.023947066394335</v>
      </c>
      <c r="AI67" s="222">
        <f t="shared" si="183"/>
        <v>22.224293897335123</v>
      </c>
      <c r="AJ67" s="222">
        <f t="shared" si="183"/>
        <v>22.474376937980967</v>
      </c>
      <c r="AK67" s="222">
        <f t="shared" si="183"/>
        <v>22.838414976642433</v>
      </c>
      <c r="AL67" s="222">
        <f t="shared" si="183"/>
        <v>23.325651455216004</v>
      </c>
      <c r="AM67" s="222">
        <f t="shared" si="183"/>
        <v>23.843532246178864</v>
      </c>
      <c r="AN67" s="222">
        <f t="shared" si="183"/>
        <v>24.337545738972189</v>
      </c>
      <c r="AO67" s="222">
        <f t="shared" si="183"/>
        <v>24.794215553950846</v>
      </c>
      <c r="AP67" s="222">
        <f t="shared" si="183"/>
        <v>25.214004348514621</v>
      </c>
      <c r="AQ67" s="222">
        <f t="shared" si="183"/>
        <v>25.744343457151981</v>
      </c>
      <c r="AR67" s="222">
        <f t="shared" si="183"/>
        <v>26.063271860106287</v>
      </c>
      <c r="AS67" s="260">
        <f t="shared" ref="AS67:BA67" si="187">($BB67-$AR67)/10+AR67</f>
        <v>25.78185962843024</v>
      </c>
      <c r="AT67" s="260">
        <f t="shared" si="187"/>
        <v>25.500447396754193</v>
      </c>
      <c r="AU67" s="260">
        <f t="shared" si="187"/>
        <v>25.219035165078147</v>
      </c>
      <c r="AV67" s="260">
        <f t="shared" si="187"/>
        <v>24.9376229334021</v>
      </c>
      <c r="AW67" s="260">
        <f t="shared" si="187"/>
        <v>24.656210701726053</v>
      </c>
      <c r="AX67" s="260">
        <f t="shared" si="187"/>
        <v>24.374798470050006</v>
      </c>
      <c r="AY67" s="260">
        <f t="shared" si="187"/>
        <v>24.093386238373959</v>
      </c>
      <c r="AZ67" s="260">
        <f t="shared" si="187"/>
        <v>23.811974006697913</v>
      </c>
      <c r="BA67" s="260">
        <f t="shared" si="187"/>
        <v>23.530561775021866</v>
      </c>
      <c r="BB67" s="931">
        <f>'AEO Data'!$B$33*AM67</f>
        <v>23.24914954334583</v>
      </c>
      <c r="BC67" s="260">
        <f>($BQ67-$BB67)/15+BB67</f>
        <v>23.262695051470804</v>
      </c>
      <c r="BD67" s="260">
        <f t="shared" si="180"/>
        <v>23.276240559595777</v>
      </c>
      <c r="BE67" s="260">
        <f t="shared" si="180"/>
        <v>23.289786067720751</v>
      </c>
      <c r="BF67" s="260">
        <f t="shared" si="180"/>
        <v>23.303331575845725</v>
      </c>
      <c r="BG67" s="260">
        <f t="shared" si="180"/>
        <v>23.316877083970699</v>
      </c>
      <c r="BH67" s="260">
        <f t="shared" si="180"/>
        <v>23.330422592095672</v>
      </c>
      <c r="BI67" s="260">
        <f t="shared" si="180"/>
        <v>23.343968100220646</v>
      </c>
      <c r="BJ67" s="260">
        <f t="shared" si="180"/>
        <v>23.35751360834562</v>
      </c>
      <c r="BK67" s="260">
        <f t="shared" si="180"/>
        <v>23.371059116470594</v>
      </c>
      <c r="BL67" s="260">
        <f t="shared" si="180"/>
        <v>23.384604624595568</v>
      </c>
      <c r="BM67" s="260">
        <f t="shared" si="180"/>
        <v>23.398150132720541</v>
      </c>
      <c r="BN67" s="260">
        <f t="shared" si="180"/>
        <v>23.411695640845515</v>
      </c>
      <c r="BO67" s="260">
        <f t="shared" si="180"/>
        <v>23.425241148970489</v>
      </c>
      <c r="BP67" s="260">
        <f t="shared" si="180"/>
        <v>23.438786657095463</v>
      </c>
      <c r="BQ67" s="931">
        <f>'AEO Data'!$C$33*BB67</f>
        <v>23.45233216522044</v>
      </c>
      <c r="BR67" s="868">
        <f t="shared" si="181"/>
        <v>23.436540532228719</v>
      </c>
      <c r="BS67" s="260">
        <f t="shared" si="181"/>
        <v>23.420748899236997</v>
      </c>
      <c r="BT67" s="260">
        <f t="shared" si="181"/>
        <v>23.404957266245276</v>
      </c>
      <c r="BU67" s="260">
        <f t="shared" si="181"/>
        <v>23.389165633253555</v>
      </c>
      <c r="BV67" s="955">
        <f>'AEO Data'!$D$33*BQ67</f>
        <v>23.373374000261833</v>
      </c>
      <c r="BW67" s="1388">
        <f>+BV67*BW$140/BV$140</f>
        <v>23.380436490829396</v>
      </c>
      <c r="BX67" s="1388">
        <f t="shared" ref="BX67:CZ67" si="188">+BW67*BX$140/BW$140</f>
        <v>23.387501115396649</v>
      </c>
      <c r="BY67" s="1388">
        <f t="shared" si="188"/>
        <v>23.394567874608409</v>
      </c>
      <c r="BZ67" s="1388">
        <f t="shared" si="188"/>
        <v>23.401636769109679</v>
      </c>
      <c r="CA67" s="1388">
        <f t="shared" si="188"/>
        <v>23.408707799545656</v>
      </c>
      <c r="CB67" s="1388">
        <f t="shared" si="188"/>
        <v>23.406060454578945</v>
      </c>
      <c r="CC67" s="1388">
        <f t="shared" si="188"/>
        <v>23.403413409006607</v>
      </c>
      <c r="CD67" s="1388">
        <f t="shared" si="188"/>
        <v>23.40076666279478</v>
      </c>
      <c r="CE67" s="1388">
        <f t="shared" si="188"/>
        <v>23.398120215909611</v>
      </c>
      <c r="CF67" s="1388">
        <f t="shared" si="188"/>
        <v>23.395474068317245</v>
      </c>
      <c r="CG67" s="1388">
        <f t="shared" si="188"/>
        <v>23.384861674186023</v>
      </c>
      <c r="CH67" s="1388">
        <f t="shared" si="188"/>
        <v>23.374254093930716</v>
      </c>
      <c r="CI67" s="1388">
        <f t="shared" si="188"/>
        <v>23.363651325367709</v>
      </c>
      <c r="CJ67" s="1388">
        <f t="shared" si="188"/>
        <v>23.353053366314384</v>
      </c>
      <c r="CK67" s="1388">
        <f t="shared" si="188"/>
        <v>23.342460214589092</v>
      </c>
      <c r="CL67" s="1388">
        <f t="shared" si="188"/>
        <v>23.329464593323419</v>
      </c>
      <c r="CM67" s="1388">
        <f t="shared" si="188"/>
        <v>23.316476207206502</v>
      </c>
      <c r="CN67" s="1388">
        <f t="shared" si="188"/>
        <v>23.303495052210266</v>
      </c>
      <c r="CO67" s="1388">
        <f t="shared" si="188"/>
        <v>23.290521124308881</v>
      </c>
      <c r="CP67" s="1388">
        <f t="shared" si="188"/>
        <v>23.277554419478744</v>
      </c>
      <c r="CQ67" s="1388">
        <f t="shared" si="188"/>
        <v>23.259789388655847</v>
      </c>
      <c r="CR67" s="1388">
        <f t="shared" si="188"/>
        <v>23.242037915800186</v>
      </c>
      <c r="CS67" s="1388">
        <f t="shared" si="188"/>
        <v>23.224299990564553</v>
      </c>
      <c r="CT67" s="1388">
        <f t="shared" si="188"/>
        <v>23.206575602609636</v>
      </c>
      <c r="CU67" s="1388">
        <f t="shared" si="188"/>
        <v>23.188864741604011</v>
      </c>
      <c r="CV67" s="1388">
        <f t="shared" si="188"/>
        <v>23.17221317404951</v>
      </c>
      <c r="CW67" s="1388">
        <f t="shared" si="188"/>
        <v>23.155573563729877</v>
      </c>
      <c r="CX67" s="1388">
        <f t="shared" si="188"/>
        <v>23.138945902058804</v>
      </c>
      <c r="CY67" s="1388">
        <f t="shared" si="188"/>
        <v>23.122330180456149</v>
      </c>
      <c r="CZ67" s="1388">
        <f t="shared" si="188"/>
        <v>23.105726390347936</v>
      </c>
    </row>
    <row r="68" spans="1:104" ht="13.8" thickBot="1" x14ac:dyDescent="0.3">
      <c r="A68" s="874" t="str">
        <f>'HyARC Physical Property Data'!A78</f>
        <v>Residential Electricity</v>
      </c>
      <c r="B68" s="875">
        <v>2011</v>
      </c>
      <c r="C68" s="876">
        <f t="shared" si="165"/>
        <v>1.0784554773635862</v>
      </c>
      <c r="D68" s="1236" t="str">
        <f>'HyARC Physical Property Data'!$H$78</f>
        <v>kWh</v>
      </c>
      <c r="E68" s="876" t="s">
        <v>1072</v>
      </c>
      <c r="F68" s="881"/>
      <c r="G68" s="568"/>
      <c r="H68" s="1060">
        <v>29.433773538887177</v>
      </c>
      <c r="I68" s="1060">
        <v>29.433773538887177</v>
      </c>
      <c r="J68" s="1060">
        <v>29.433773538887177</v>
      </c>
      <c r="K68" s="1060">
        <v>29.415861064534436</v>
      </c>
      <c r="L68" s="1060">
        <v>30.500905105766051</v>
      </c>
      <c r="M68" s="1060">
        <v>30.574559070308627</v>
      </c>
      <c r="N68" s="568">
        <f t="shared" si="186"/>
        <v>37.231327558403592</v>
      </c>
      <c r="O68" s="568">
        <f t="shared" si="183"/>
        <v>37.029713542276902</v>
      </c>
      <c r="P68" s="568">
        <f t="shared" si="183"/>
        <v>35.904219072357151</v>
      </c>
      <c r="Q68" s="568">
        <f t="shared" si="183"/>
        <v>35.115964100941852</v>
      </c>
      <c r="R68" s="568">
        <f t="shared" si="183"/>
        <v>35.969434353528804</v>
      </c>
      <c r="S68" s="568">
        <f t="shared" si="183"/>
        <v>36.116413815172251</v>
      </c>
      <c r="T68" s="568">
        <f t="shared" si="183"/>
        <v>36.717853336521245</v>
      </c>
      <c r="U68" s="568">
        <f t="shared" si="183"/>
        <v>37.019523216471292</v>
      </c>
      <c r="V68" s="568">
        <f t="shared" si="183"/>
        <v>36.994572070547008</v>
      </c>
      <c r="W68" s="568">
        <f t="shared" si="183"/>
        <v>36.749885621109897</v>
      </c>
      <c r="X68" s="568">
        <f t="shared" si="183"/>
        <v>36.78085131323143</v>
      </c>
      <c r="Y68" s="568">
        <f t="shared" si="183"/>
        <v>36.866643524911183</v>
      </c>
      <c r="Z68" s="568">
        <f t="shared" si="183"/>
        <v>36.980382831831335</v>
      </c>
      <c r="AA68" s="568">
        <f t="shared" si="183"/>
        <v>37.011953537475684</v>
      </c>
      <c r="AB68" s="568">
        <f t="shared" si="183"/>
        <v>37.116621955375727</v>
      </c>
      <c r="AC68" s="568">
        <f t="shared" si="183"/>
        <v>37.450882759851702</v>
      </c>
      <c r="AD68" s="568">
        <f t="shared" si="183"/>
        <v>37.642585770141416</v>
      </c>
      <c r="AE68" s="568">
        <f t="shared" si="183"/>
        <v>37.813937247117813</v>
      </c>
      <c r="AF68" s="568">
        <f t="shared" si="183"/>
        <v>37.937612364350912</v>
      </c>
      <c r="AG68" s="568">
        <f t="shared" si="183"/>
        <v>38.109761898380555</v>
      </c>
      <c r="AH68" s="568">
        <f t="shared" si="183"/>
        <v>38.292401568838507</v>
      </c>
      <c r="AI68" s="568">
        <f t="shared" si="183"/>
        <v>38.52845390372385</v>
      </c>
      <c r="AJ68" s="568">
        <f t="shared" si="183"/>
        <v>38.699570277406174</v>
      </c>
      <c r="AK68" s="568">
        <f t="shared" si="183"/>
        <v>38.991412192591014</v>
      </c>
      <c r="AL68" s="568">
        <f t="shared" si="183"/>
        <v>39.480914506122524</v>
      </c>
      <c r="AM68" s="568">
        <f t="shared" si="183"/>
        <v>39.991294639240323</v>
      </c>
      <c r="AN68" s="568">
        <f t="shared" si="183"/>
        <v>40.444338686904082</v>
      </c>
      <c r="AO68" s="568">
        <f t="shared" si="183"/>
        <v>40.811228161847694</v>
      </c>
      <c r="AP68" s="568">
        <f t="shared" si="183"/>
        <v>41.155489483965269</v>
      </c>
      <c r="AQ68" s="568">
        <f t="shared" si="183"/>
        <v>41.648278929791786</v>
      </c>
      <c r="AR68" s="568">
        <f t="shared" si="183"/>
        <v>41.89880413718334</v>
      </c>
      <c r="AS68" s="875">
        <f t="shared" ref="AS68:BA68" si="189">($BB68-$AR68)/10+AR68</f>
        <v>41.608361021177913</v>
      </c>
      <c r="AT68" s="875">
        <f t="shared" si="189"/>
        <v>41.317917905172486</v>
      </c>
      <c r="AU68" s="875">
        <f t="shared" si="189"/>
        <v>41.027474789167059</v>
      </c>
      <c r="AV68" s="875">
        <f t="shared" si="189"/>
        <v>40.737031673161631</v>
      </c>
      <c r="AW68" s="875">
        <f t="shared" si="189"/>
        <v>40.446588557156204</v>
      </c>
      <c r="AX68" s="875">
        <f t="shared" si="189"/>
        <v>40.156145441150777</v>
      </c>
      <c r="AY68" s="875">
        <f t="shared" si="189"/>
        <v>39.86570232514535</v>
      </c>
      <c r="AZ68" s="875">
        <f t="shared" si="189"/>
        <v>39.575259209139922</v>
      </c>
      <c r="BA68" s="875">
        <f t="shared" si="189"/>
        <v>39.284816093134495</v>
      </c>
      <c r="BB68" s="960">
        <f>'AEO Data'!$B$33*AM68</f>
        <v>38.994372977129068</v>
      </c>
      <c r="BC68" s="875">
        <f>($BQ68-$BB68)/15+BB68</f>
        <v>39.017092027346592</v>
      </c>
      <c r="BD68" s="875">
        <f t="shared" si="180"/>
        <v>39.039811077564117</v>
      </c>
      <c r="BE68" s="875">
        <f t="shared" si="180"/>
        <v>39.062530127781642</v>
      </c>
      <c r="BF68" s="875">
        <f t="shared" si="180"/>
        <v>39.085249177999167</v>
      </c>
      <c r="BG68" s="875">
        <f t="shared" si="180"/>
        <v>39.107968228216691</v>
      </c>
      <c r="BH68" s="875">
        <f t="shared" si="180"/>
        <v>39.130687278434216</v>
      </c>
      <c r="BI68" s="875">
        <f t="shared" si="180"/>
        <v>39.153406328651741</v>
      </c>
      <c r="BJ68" s="875">
        <f t="shared" si="180"/>
        <v>39.176125378869266</v>
      </c>
      <c r="BK68" s="875">
        <f t="shared" si="180"/>
        <v>39.19884442908679</v>
      </c>
      <c r="BL68" s="875">
        <f t="shared" si="180"/>
        <v>39.221563479304315</v>
      </c>
      <c r="BM68" s="875">
        <f t="shared" si="180"/>
        <v>39.24428252952184</v>
      </c>
      <c r="BN68" s="875">
        <f t="shared" si="180"/>
        <v>39.267001579739365</v>
      </c>
      <c r="BO68" s="875">
        <f t="shared" si="180"/>
        <v>39.289720629956889</v>
      </c>
      <c r="BP68" s="875">
        <f t="shared" si="180"/>
        <v>39.312439680174414</v>
      </c>
      <c r="BQ68" s="960">
        <f>'AEO Data'!$C$33*BB68</f>
        <v>39.335158730391903</v>
      </c>
      <c r="BR68" s="968">
        <f t="shared" si="181"/>
        <v>39.30867239265946</v>
      </c>
      <c r="BS68" s="875">
        <f t="shared" si="181"/>
        <v>39.282186054927017</v>
      </c>
      <c r="BT68" s="875">
        <f t="shared" si="181"/>
        <v>39.255699717194574</v>
      </c>
      <c r="BU68" s="875">
        <f t="shared" si="181"/>
        <v>39.229213379462131</v>
      </c>
      <c r="BV68" s="961">
        <f>'AEO Data'!$D$33*BQ68</f>
        <v>39.202727041729688</v>
      </c>
      <c r="BW68" s="1388">
        <f>+BV68*BW$141/BV$141</f>
        <v>39.185465933196419</v>
      </c>
      <c r="BX68" s="1388">
        <f t="shared" ref="BX68:CZ68" si="190">+BW68*BX$141/BW$141</f>
        <v>39.168212424794326</v>
      </c>
      <c r="BY68" s="1388">
        <f t="shared" si="190"/>
        <v>39.150966513177039</v>
      </c>
      <c r="BZ68" s="1388">
        <f t="shared" si="190"/>
        <v>39.133728194999662</v>
      </c>
      <c r="CA68" s="1388">
        <f t="shared" si="190"/>
        <v>39.11649746691878</v>
      </c>
      <c r="CB68" s="1388">
        <f t="shared" si="190"/>
        <v>39.085165763313817</v>
      </c>
      <c r="CC68" s="1388">
        <f t="shared" si="190"/>
        <v>39.053859155914154</v>
      </c>
      <c r="CD68" s="1388">
        <f t="shared" si="190"/>
        <v>39.022577624618116</v>
      </c>
      <c r="CE68" s="1388">
        <f t="shared" si="190"/>
        <v>38.991321149340131</v>
      </c>
      <c r="CF68" s="1388">
        <f t="shared" si="190"/>
        <v>38.960089710010728</v>
      </c>
      <c r="CG68" s="1388">
        <f t="shared" si="190"/>
        <v>38.917066652108652</v>
      </c>
      <c r="CH68" s="1388">
        <f t="shared" si="190"/>
        <v>38.874091103940906</v>
      </c>
      <c r="CI68" s="1388">
        <f t="shared" si="190"/>
        <v>38.831163013043174</v>
      </c>
      <c r="CJ68" s="1388">
        <f t="shared" si="190"/>
        <v>38.788282327009078</v>
      </c>
      <c r="CK68" s="1388">
        <f t="shared" si="190"/>
        <v>38.745448993490129</v>
      </c>
      <c r="CL68" s="1388">
        <f t="shared" si="190"/>
        <v>38.698750191886909</v>
      </c>
      <c r="CM68" s="1388">
        <f t="shared" si="190"/>
        <v>38.652107675037847</v>
      </c>
      <c r="CN68" s="1388">
        <f t="shared" si="190"/>
        <v>38.605521375104502</v>
      </c>
      <c r="CO68" s="1388">
        <f t="shared" si="190"/>
        <v>38.558991224330207</v>
      </c>
      <c r="CP68" s="1388">
        <f t="shared" si="190"/>
        <v>38.512517155039959</v>
      </c>
      <c r="CQ68" s="1388">
        <f t="shared" si="190"/>
        <v>38.45868804732946</v>
      </c>
      <c r="CR68" s="1388">
        <f t="shared" si="190"/>
        <v>38.404934176789915</v>
      </c>
      <c r="CS68" s="1388">
        <f t="shared" si="190"/>
        <v>38.351255438262001</v>
      </c>
      <c r="CT68" s="1388">
        <f t="shared" si="190"/>
        <v>38.297651726733392</v>
      </c>
      <c r="CU68" s="1388">
        <f t="shared" si="190"/>
        <v>38.244122937338538</v>
      </c>
      <c r="CV68" s="1388">
        <f t="shared" si="190"/>
        <v>38.191869309081618</v>
      </c>
      <c r="CW68" s="1388">
        <f t="shared" si="190"/>
        <v>38.139687075890301</v>
      </c>
      <c r="CX68" s="1388">
        <f t="shared" si="190"/>
        <v>38.087576140216228</v>
      </c>
      <c r="CY68" s="1388">
        <f t="shared" si="190"/>
        <v>38.03553640464434</v>
      </c>
      <c r="CZ68" s="1388">
        <f t="shared" si="190"/>
        <v>37.983567771892652</v>
      </c>
    </row>
    <row r="69" spans="1:104" ht="13.8" thickTop="1" x14ac:dyDescent="0.25">
      <c r="D69" s="1083"/>
    </row>
    <row r="70" spans="1:104" ht="13.8" thickBot="1" x14ac:dyDescent="0.3">
      <c r="D70" s="1083"/>
      <c r="E70" s="967"/>
    </row>
    <row r="71" spans="1:104" s="1040" customFormat="1" x14ac:dyDescent="0.25">
      <c r="A71" s="1036" t="s">
        <v>1113</v>
      </c>
      <c r="B71" s="1037"/>
      <c r="C71" s="1038"/>
      <c r="D71" s="1239"/>
      <c r="E71" s="1038"/>
      <c r="F71" s="1037"/>
      <c r="G71" s="1037"/>
      <c r="H71" s="1037"/>
      <c r="I71" s="1037"/>
      <c r="J71" s="1037"/>
      <c r="K71" s="1037"/>
      <c r="L71" s="1037"/>
      <c r="M71" s="1037"/>
      <c r="N71" s="1037"/>
      <c r="O71" s="1037"/>
      <c r="P71" s="1037"/>
      <c r="Q71" s="1037"/>
      <c r="R71" s="1037"/>
      <c r="S71" s="1037"/>
      <c r="T71" s="1037"/>
      <c r="U71" s="1037"/>
      <c r="V71" s="1037"/>
      <c r="W71" s="1037"/>
      <c r="X71" s="1037"/>
      <c r="Y71" s="1037"/>
      <c r="Z71" s="1037"/>
      <c r="AA71" s="1037"/>
      <c r="AB71" s="1037"/>
      <c r="AC71" s="1037"/>
      <c r="AD71" s="1037"/>
      <c r="AE71" s="1037"/>
      <c r="AF71" s="1037"/>
      <c r="AG71" s="1037"/>
      <c r="AH71" s="1037"/>
      <c r="AI71" s="1037"/>
      <c r="AJ71" s="1037"/>
      <c r="AK71" s="1037"/>
      <c r="AL71" s="1037"/>
      <c r="AM71" s="1037"/>
      <c r="AN71" s="1037"/>
      <c r="AO71" s="1037"/>
      <c r="AP71" s="1037"/>
      <c r="AQ71" s="1037"/>
      <c r="AR71" s="1037"/>
      <c r="AS71" s="1037"/>
      <c r="AT71" s="1037"/>
      <c r="AU71" s="1037"/>
      <c r="AV71" s="1037"/>
      <c r="AW71" s="1037"/>
      <c r="AX71" s="1037"/>
      <c r="AY71" s="1037"/>
      <c r="AZ71" s="1037"/>
      <c r="BA71" s="1037"/>
      <c r="BB71" s="1037"/>
      <c r="BC71" s="1037"/>
      <c r="BD71" s="1037"/>
      <c r="BE71" s="1037"/>
      <c r="BF71" s="1037"/>
      <c r="BG71" s="1037"/>
      <c r="BH71" s="1037"/>
      <c r="BI71" s="1037"/>
      <c r="BJ71" s="1037"/>
      <c r="BK71" s="1037"/>
      <c r="BL71" s="1037"/>
      <c r="BM71" s="1037"/>
      <c r="BN71" s="1037"/>
      <c r="BO71" s="1037"/>
      <c r="BP71" s="1037"/>
      <c r="BQ71" s="1037"/>
      <c r="BR71" s="1037"/>
      <c r="BS71" s="1037"/>
      <c r="BT71" s="1037"/>
      <c r="BU71" s="1037"/>
      <c r="BV71" s="1039"/>
    </row>
    <row r="72" spans="1:104" s="1040" customFormat="1" x14ac:dyDescent="0.25">
      <c r="A72" s="1041" t="s">
        <v>1110</v>
      </c>
      <c r="B72" s="1042"/>
      <c r="C72" s="1043"/>
      <c r="D72" s="1240"/>
      <c r="E72" s="1043"/>
      <c r="F72" s="1042"/>
      <c r="G72" s="1042"/>
      <c r="H72" s="1042"/>
      <c r="I72" s="1042"/>
      <c r="J72" s="1042"/>
      <c r="K72" s="1042"/>
      <c r="L72" s="1042"/>
      <c r="M72" s="1042"/>
      <c r="N72" s="1042"/>
      <c r="O72" s="1042"/>
      <c r="P72" s="1042"/>
      <c r="Q72" s="1042"/>
      <c r="R72" s="1042"/>
      <c r="S72" s="1042"/>
      <c r="T72" s="1042"/>
      <c r="U72" s="1042"/>
      <c r="V72" s="1042"/>
      <c r="W72" s="1042"/>
      <c r="X72" s="1042"/>
      <c r="Y72" s="1042"/>
      <c r="Z72" s="1042"/>
      <c r="AA72" s="1042"/>
      <c r="AB72" s="1042"/>
      <c r="AC72" s="1042"/>
      <c r="AD72" s="1042"/>
      <c r="AE72" s="1042"/>
      <c r="AF72" s="1042"/>
      <c r="AG72" s="1042"/>
      <c r="AH72" s="1042"/>
      <c r="AI72" s="1042"/>
      <c r="AJ72" s="1042"/>
      <c r="AK72" s="1042"/>
      <c r="AL72" s="1042"/>
      <c r="AM72" s="1042"/>
      <c r="AN72" s="1042"/>
      <c r="AO72" s="1042"/>
      <c r="AP72" s="1042"/>
      <c r="AQ72" s="1042"/>
      <c r="AR72" s="1042"/>
      <c r="AS72" s="1042"/>
      <c r="AT72" s="1042"/>
      <c r="AU72" s="1042"/>
      <c r="AV72" s="1042"/>
      <c r="AW72" s="1042"/>
      <c r="AX72" s="1042"/>
      <c r="AY72" s="1042"/>
      <c r="AZ72" s="1042"/>
      <c r="BA72" s="1042"/>
      <c r="BB72" s="1042"/>
      <c r="BC72" s="1042"/>
      <c r="BD72" s="1042"/>
      <c r="BE72" s="1042"/>
      <c r="BF72" s="1042"/>
      <c r="BG72" s="1042"/>
      <c r="BH72" s="1042"/>
      <c r="BI72" s="1042"/>
      <c r="BJ72" s="1042"/>
      <c r="BK72" s="1042"/>
      <c r="BL72" s="1042"/>
      <c r="BM72" s="1042"/>
      <c r="BN72" s="1042"/>
      <c r="BO72" s="1042"/>
      <c r="BP72" s="1042"/>
      <c r="BQ72" s="1042"/>
      <c r="BR72" s="1042"/>
      <c r="BS72" s="1042"/>
      <c r="BT72" s="1042"/>
      <c r="BU72" s="1042"/>
      <c r="BV72" s="1044"/>
    </row>
    <row r="73" spans="1:104" s="1040" customFormat="1" x14ac:dyDescent="0.25">
      <c r="A73" s="1045"/>
      <c r="B73" s="1042"/>
      <c r="C73" s="1043"/>
      <c r="D73" s="1240"/>
      <c r="E73" s="1061"/>
      <c r="F73" s="1042"/>
      <c r="G73" s="1042"/>
      <c r="H73" s="1042"/>
      <c r="I73" s="1042"/>
      <c r="J73" s="1042"/>
      <c r="K73" s="1042"/>
      <c r="L73" s="1042"/>
      <c r="M73" s="1042"/>
      <c r="N73" s="1042"/>
      <c r="O73" s="1042"/>
      <c r="P73" s="1042"/>
      <c r="Q73" s="1042"/>
      <c r="R73" s="1042"/>
      <c r="S73" s="1042"/>
      <c r="T73" s="1042"/>
      <c r="U73" s="1042"/>
      <c r="V73" s="1042"/>
      <c r="W73" s="1042"/>
      <c r="X73" s="1042"/>
      <c r="Y73" s="1042"/>
      <c r="Z73" s="1042"/>
      <c r="AA73" s="1042"/>
      <c r="AB73" s="1042"/>
      <c r="AC73" s="1042"/>
      <c r="AD73" s="1042"/>
      <c r="AE73" s="1042"/>
      <c r="AF73" s="1042"/>
      <c r="AG73" s="1042"/>
      <c r="AH73" s="1042"/>
      <c r="AI73" s="1042"/>
      <c r="AJ73" s="1042"/>
      <c r="AK73" s="1042"/>
      <c r="AL73" s="1042"/>
      <c r="AM73" s="1042"/>
      <c r="AN73" s="1042"/>
      <c r="AO73" s="1042"/>
      <c r="AP73" s="1042"/>
      <c r="AQ73" s="1042"/>
      <c r="AR73" s="1042"/>
      <c r="AS73" s="1042"/>
      <c r="AT73" s="1042"/>
      <c r="AU73" s="1042"/>
      <c r="AV73" s="1042"/>
      <c r="AW73" s="1042"/>
      <c r="AX73" s="1042"/>
      <c r="AY73" s="1042"/>
      <c r="AZ73" s="1042"/>
      <c r="BA73" s="1042"/>
      <c r="BB73" s="1042"/>
      <c r="BC73" s="1042"/>
      <c r="BD73" s="1042"/>
      <c r="BE73" s="1042"/>
      <c r="BF73" s="1042"/>
      <c r="BG73" s="1042"/>
      <c r="BH73" s="1042"/>
      <c r="BI73" s="1042"/>
      <c r="BJ73" s="1042"/>
      <c r="BK73" s="1042"/>
      <c r="BL73" s="1042"/>
      <c r="BM73" s="1042"/>
      <c r="BN73" s="1042"/>
      <c r="BO73" s="1042"/>
      <c r="BP73" s="1042"/>
      <c r="BQ73" s="1042"/>
      <c r="BR73" s="1042"/>
      <c r="BS73" s="1042"/>
      <c r="BT73" s="1042"/>
      <c r="BU73" s="1042"/>
      <c r="BV73" s="1044"/>
    </row>
    <row r="74" spans="1:104" s="1040" customFormat="1" x14ac:dyDescent="0.25">
      <c r="A74" s="1045" t="s">
        <v>681</v>
      </c>
      <c r="B74" s="1042"/>
      <c r="C74" s="1043"/>
      <c r="D74" s="1240"/>
      <c r="E74" s="1043"/>
      <c r="F74" s="1042"/>
      <c r="G74" s="1042"/>
      <c r="H74" s="1042"/>
      <c r="I74" s="1042"/>
      <c r="J74" s="1042"/>
      <c r="K74" s="1042"/>
      <c r="L74" s="1042"/>
      <c r="M74" s="1042"/>
      <c r="N74" s="1046">
        <v>11.359373</v>
      </c>
      <c r="O74" s="1046">
        <v>10.802343</v>
      </c>
      <c r="P74" s="1046">
        <v>10.473763999999999</v>
      </c>
      <c r="Q74" s="1046">
        <v>10.501935</v>
      </c>
      <c r="R74" s="1046">
        <v>10.334021999999999</v>
      </c>
      <c r="S74" s="1046">
        <v>10.229792</v>
      </c>
      <c r="T74" s="1046">
        <v>10.748874000000001</v>
      </c>
      <c r="U74" s="1046">
        <v>11.092333999999999</v>
      </c>
      <c r="V74" s="1046">
        <v>11.515472000000001</v>
      </c>
      <c r="W74" s="1046">
        <v>11.774895000000001</v>
      </c>
      <c r="X74" s="1046">
        <v>11.996413</v>
      </c>
      <c r="Y74" s="1046">
        <v>12.209519999999999</v>
      </c>
      <c r="Z74" s="1046">
        <v>12.479982</v>
      </c>
      <c r="AA74" s="1046">
        <v>12.729352</v>
      </c>
      <c r="AB74" s="1046">
        <v>12.853237999999999</v>
      </c>
      <c r="AC74" s="1046">
        <v>13.018173000000001</v>
      </c>
      <c r="AD74" s="1046">
        <v>13.212711000000001</v>
      </c>
      <c r="AE74" s="1046">
        <v>13.366512</v>
      </c>
      <c r="AF74" s="1046">
        <v>13.603230999999999</v>
      </c>
      <c r="AG74" s="1046">
        <v>13.784504</v>
      </c>
      <c r="AH74" s="1046">
        <v>13.991047</v>
      </c>
      <c r="AI74" s="1046">
        <v>14.231726</v>
      </c>
      <c r="AJ74" s="1046">
        <v>14.577776</v>
      </c>
      <c r="AK74" s="1046">
        <v>14.956607999999999</v>
      </c>
      <c r="AL74" s="1046">
        <v>15.347963</v>
      </c>
      <c r="AM74" s="1046">
        <v>15.708157999999999</v>
      </c>
      <c r="AN74" s="1046">
        <v>16.169785000000001</v>
      </c>
      <c r="AO74" s="1046">
        <v>16.471478000000001</v>
      </c>
      <c r="AP74" s="1046">
        <v>16.949921</v>
      </c>
      <c r="AQ74" s="1046">
        <v>17.380462999999999</v>
      </c>
      <c r="AR74" s="1046">
        <v>17.673891000000001</v>
      </c>
      <c r="AS74" s="1042"/>
      <c r="AT74" s="1042"/>
      <c r="AU74" s="1042"/>
      <c r="AV74" s="1042"/>
      <c r="AW74" s="1042"/>
      <c r="AX74" s="1042"/>
      <c r="AY74" s="1042"/>
      <c r="AZ74" s="1042"/>
      <c r="BA74" s="1042"/>
      <c r="BB74" s="1042"/>
      <c r="BC74" s="1042"/>
      <c r="BD74" s="1042"/>
      <c r="BE74" s="1042"/>
      <c r="BF74" s="1042"/>
      <c r="BG74" s="1042"/>
      <c r="BH74" s="1042"/>
      <c r="BI74" s="1042"/>
      <c r="BJ74" s="1042"/>
      <c r="BK74" s="1042"/>
      <c r="BL74" s="1042"/>
      <c r="BM74" s="1042"/>
      <c r="BN74" s="1042"/>
      <c r="BO74" s="1042"/>
      <c r="BP74" s="1042"/>
      <c r="BQ74" s="1042"/>
      <c r="BR74" s="1042"/>
      <c r="BS74" s="1042"/>
      <c r="BT74" s="1042"/>
      <c r="BU74" s="1042"/>
      <c r="BV74" s="1044"/>
    </row>
    <row r="75" spans="1:104" s="1040" customFormat="1" x14ac:dyDescent="0.25">
      <c r="A75" s="1045" t="s">
        <v>1086</v>
      </c>
      <c r="B75" s="1042"/>
      <c r="C75" s="1043"/>
      <c r="D75" s="1240"/>
      <c r="E75" s="1043"/>
      <c r="F75" s="1042"/>
      <c r="G75" s="1042"/>
      <c r="H75" s="1042"/>
      <c r="I75" s="1042"/>
      <c r="J75" s="1042"/>
      <c r="K75" s="1042"/>
      <c r="L75" s="1042"/>
      <c r="M75" s="1042"/>
      <c r="N75" s="1046">
        <v>9.3969749999999994</v>
      </c>
      <c r="O75" s="1046">
        <v>8.8368559999999992</v>
      </c>
      <c r="P75" s="1046">
        <v>8.081448</v>
      </c>
      <c r="Q75" s="1046">
        <v>8.4844790000000003</v>
      </c>
      <c r="R75" s="1046">
        <v>8.3155520000000003</v>
      </c>
      <c r="S75" s="1046">
        <v>8.1773039999999995</v>
      </c>
      <c r="T75" s="1046">
        <v>8.6431299999999993</v>
      </c>
      <c r="U75" s="1046">
        <v>8.9205120000000004</v>
      </c>
      <c r="V75" s="1046">
        <v>9.2811249999999994</v>
      </c>
      <c r="W75" s="1046">
        <v>9.4920469999999995</v>
      </c>
      <c r="X75" s="1046">
        <v>9.6757190000000008</v>
      </c>
      <c r="Y75" s="1046">
        <v>9.8498520000000003</v>
      </c>
      <c r="Z75" s="1046">
        <v>10.083444999999999</v>
      </c>
      <c r="AA75" s="1046">
        <v>10.292596</v>
      </c>
      <c r="AB75" s="1046">
        <v>10.386177</v>
      </c>
      <c r="AC75" s="1046">
        <v>10.522978999999999</v>
      </c>
      <c r="AD75" s="1046">
        <v>10.688981999999999</v>
      </c>
      <c r="AE75" s="1046">
        <v>10.803459999999999</v>
      </c>
      <c r="AF75" s="1046">
        <v>10.994071</v>
      </c>
      <c r="AG75" s="1046">
        <v>11.132752999999999</v>
      </c>
      <c r="AH75" s="1046">
        <v>11.290343</v>
      </c>
      <c r="AI75" s="1046">
        <v>11.483471</v>
      </c>
      <c r="AJ75" s="1046">
        <v>11.774739</v>
      </c>
      <c r="AK75" s="1046">
        <v>12.104623999999999</v>
      </c>
      <c r="AL75" s="1046">
        <v>12.443429</v>
      </c>
      <c r="AM75" s="1046">
        <v>12.746489</v>
      </c>
      <c r="AN75" s="1046">
        <v>13.159888</v>
      </c>
      <c r="AO75" s="1046">
        <v>13.417020000000001</v>
      </c>
      <c r="AP75" s="1046">
        <v>13.853782000000001</v>
      </c>
      <c r="AQ75" s="1046">
        <v>14.239846</v>
      </c>
      <c r="AR75" s="1046">
        <v>14.480893</v>
      </c>
      <c r="AS75" s="1042"/>
      <c r="AT75" s="1042"/>
      <c r="AU75" s="1042"/>
      <c r="AV75" s="1042"/>
      <c r="AW75" s="1042"/>
      <c r="AX75" s="1042"/>
      <c r="AY75" s="1042"/>
      <c r="AZ75" s="1042"/>
      <c r="BA75" s="1042"/>
      <c r="BB75" s="1042"/>
      <c r="BC75" s="1042"/>
      <c r="BD75" s="1042"/>
      <c r="BE75" s="1042"/>
      <c r="BF75" s="1042"/>
      <c r="BG75" s="1042"/>
      <c r="BH75" s="1042"/>
      <c r="BI75" s="1042"/>
      <c r="BJ75" s="1042"/>
      <c r="BK75" s="1042"/>
      <c r="BL75" s="1042"/>
      <c r="BM75" s="1042"/>
      <c r="BN75" s="1042"/>
      <c r="BO75" s="1042"/>
      <c r="BP75" s="1042"/>
      <c r="BQ75" s="1042"/>
      <c r="BR75" s="1042"/>
      <c r="BS75" s="1042"/>
      <c r="BT75" s="1042"/>
      <c r="BU75" s="1042"/>
      <c r="BV75" s="1044"/>
    </row>
    <row r="76" spans="1:104" s="1040" customFormat="1" x14ac:dyDescent="0.25">
      <c r="A76" s="1045" t="s">
        <v>283</v>
      </c>
      <c r="B76" s="1042"/>
      <c r="C76" s="1043"/>
      <c r="D76" s="1240"/>
      <c r="E76" s="1043"/>
      <c r="F76" s="1042"/>
      <c r="G76" s="1042"/>
      <c r="H76" s="1042"/>
      <c r="I76" s="1042"/>
      <c r="J76" s="1042"/>
      <c r="K76" s="1042"/>
      <c r="L76" s="1042"/>
      <c r="M76" s="1042"/>
      <c r="N76" s="1046">
        <v>5.4839570000000002</v>
      </c>
      <c r="O76" s="1046">
        <v>4.8889880000000003</v>
      </c>
      <c r="P76" s="1046">
        <v>3.7668759999999999</v>
      </c>
      <c r="Q76" s="1046">
        <v>4.3500249999999996</v>
      </c>
      <c r="R76" s="1046">
        <v>4.4161510000000002</v>
      </c>
      <c r="S76" s="1046">
        <v>4.4533610000000001</v>
      </c>
      <c r="T76" s="1046">
        <v>4.916512</v>
      </c>
      <c r="U76" s="1046">
        <v>5.1321560000000002</v>
      </c>
      <c r="V76" s="1046">
        <v>5.3872429999999998</v>
      </c>
      <c r="W76" s="1046">
        <v>5.5533659999999996</v>
      </c>
      <c r="X76" s="1046">
        <v>5.6994189999999998</v>
      </c>
      <c r="Y76" s="1046">
        <v>5.84443</v>
      </c>
      <c r="Z76" s="1046">
        <v>6.055364</v>
      </c>
      <c r="AA76" s="1046">
        <v>6.2505249999999997</v>
      </c>
      <c r="AB76" s="1046">
        <v>6.3249610000000001</v>
      </c>
      <c r="AC76" s="1046">
        <v>6.4443630000000001</v>
      </c>
      <c r="AD76" s="1046">
        <v>6.5689469999999996</v>
      </c>
      <c r="AE76" s="1046">
        <v>6.6624569999999999</v>
      </c>
      <c r="AF76" s="1046">
        <v>6.8533949999999999</v>
      </c>
      <c r="AG76" s="1046">
        <v>6.9821</v>
      </c>
      <c r="AH76" s="1046">
        <v>7.1203779999999997</v>
      </c>
      <c r="AI76" s="1046">
        <v>7.3037179999999999</v>
      </c>
      <c r="AJ76" s="1046">
        <v>7.5896039999999996</v>
      </c>
      <c r="AK76" s="1046">
        <v>7.9110909999999999</v>
      </c>
      <c r="AL76" s="1046">
        <v>8.2410040000000002</v>
      </c>
      <c r="AM76" s="1046">
        <v>8.5300290000000007</v>
      </c>
      <c r="AN76" s="1046">
        <v>8.90123</v>
      </c>
      <c r="AO76" s="1046">
        <v>9.1114479999999993</v>
      </c>
      <c r="AP76" s="1046">
        <v>9.4914550000000002</v>
      </c>
      <c r="AQ76" s="1046">
        <v>9.8126739999999995</v>
      </c>
      <c r="AR76" s="1046">
        <v>10.012231</v>
      </c>
      <c r="AS76" s="1042"/>
      <c r="AT76" s="1042"/>
      <c r="AU76" s="1042"/>
      <c r="AV76" s="1042"/>
      <c r="AW76" s="1042"/>
      <c r="AX76" s="1042"/>
      <c r="AY76" s="1042"/>
      <c r="AZ76" s="1042"/>
      <c r="BA76" s="1042"/>
      <c r="BB76" s="1042"/>
      <c r="BC76" s="1042"/>
      <c r="BD76" s="1042"/>
      <c r="BE76" s="1042"/>
      <c r="BF76" s="1042"/>
      <c r="BG76" s="1042"/>
      <c r="BH76" s="1042"/>
      <c r="BI76" s="1042"/>
      <c r="BJ76" s="1042"/>
      <c r="BK76" s="1042"/>
      <c r="BL76" s="1042"/>
      <c r="BM76" s="1042"/>
      <c r="BN76" s="1042"/>
      <c r="BO76" s="1042"/>
      <c r="BP76" s="1042"/>
      <c r="BQ76" s="1042"/>
      <c r="BR76" s="1042"/>
      <c r="BS76" s="1042"/>
      <c r="BT76" s="1042"/>
      <c r="BU76" s="1042"/>
      <c r="BV76" s="1044"/>
    </row>
    <row r="77" spans="1:104" s="1040" customFormat="1" x14ac:dyDescent="0.25">
      <c r="A77" s="1047" t="str">
        <f>'HyARC Physical Property Data'!$A$74</f>
        <v>Electric Utility Natural Gas</v>
      </c>
      <c r="B77" s="1042"/>
      <c r="C77" s="1043"/>
      <c r="D77" s="1240"/>
      <c r="E77" s="1043"/>
      <c r="F77" s="1042"/>
      <c r="G77" s="1042"/>
      <c r="H77" s="1042"/>
      <c r="I77" s="1042"/>
      <c r="J77" s="1042"/>
      <c r="K77" s="1042"/>
      <c r="L77" s="1042"/>
      <c r="M77" s="1042"/>
      <c r="N77" s="1046">
        <v>5.2581660000000001</v>
      </c>
      <c r="O77" s="1046">
        <v>4.7747140000000003</v>
      </c>
      <c r="P77" s="1046">
        <v>3.3280129999999999</v>
      </c>
      <c r="Q77" s="1046">
        <v>3.7262059999999999</v>
      </c>
      <c r="R77" s="1046">
        <v>3.8342619999999998</v>
      </c>
      <c r="S77" s="1046">
        <v>3.9162499999999998</v>
      </c>
      <c r="T77" s="1046">
        <v>4.3469340000000001</v>
      </c>
      <c r="U77" s="1046">
        <v>4.5235139999999996</v>
      </c>
      <c r="V77" s="1046">
        <v>4.7720750000000001</v>
      </c>
      <c r="W77" s="1046">
        <v>4.9304030000000001</v>
      </c>
      <c r="X77" s="1046">
        <v>5.0667330000000002</v>
      </c>
      <c r="Y77" s="1046">
        <v>5.2030240000000001</v>
      </c>
      <c r="Z77" s="1046">
        <v>5.4141339999999998</v>
      </c>
      <c r="AA77" s="1046">
        <v>5.6120320000000001</v>
      </c>
      <c r="AB77" s="1046">
        <v>5.7180549999999997</v>
      </c>
      <c r="AC77" s="1046">
        <v>5.8497880000000002</v>
      </c>
      <c r="AD77" s="1046">
        <v>5.9964360000000001</v>
      </c>
      <c r="AE77" s="1046">
        <v>6.1136410000000003</v>
      </c>
      <c r="AF77" s="1046">
        <v>6.2808900000000003</v>
      </c>
      <c r="AG77" s="1046">
        <v>6.4099190000000004</v>
      </c>
      <c r="AH77" s="1046">
        <v>6.5488220000000004</v>
      </c>
      <c r="AI77" s="1046">
        <v>6.7307620000000004</v>
      </c>
      <c r="AJ77" s="1046">
        <v>7.0166529999999998</v>
      </c>
      <c r="AK77" s="1046">
        <v>7.3227570000000002</v>
      </c>
      <c r="AL77" s="1046">
        <v>7.6342280000000002</v>
      </c>
      <c r="AM77" s="1046">
        <v>7.902755</v>
      </c>
      <c r="AN77" s="1046">
        <v>8.2651950000000003</v>
      </c>
      <c r="AO77" s="1046">
        <v>8.4774010000000004</v>
      </c>
      <c r="AP77" s="1046">
        <v>8.8551400000000005</v>
      </c>
      <c r="AQ77" s="1046">
        <v>9.1715459999999993</v>
      </c>
      <c r="AR77" s="1046">
        <v>9.3359030000000001</v>
      </c>
      <c r="AS77" s="1042"/>
      <c r="AT77" s="1042"/>
      <c r="AU77" s="1042"/>
      <c r="AV77" s="1042"/>
      <c r="AW77" s="1042"/>
      <c r="AX77" s="1042"/>
      <c r="AY77" s="1042"/>
      <c r="AZ77" s="1042"/>
      <c r="BA77" s="1042"/>
      <c r="BB77" s="1042"/>
      <c r="BC77" s="1042"/>
      <c r="BD77" s="1042"/>
      <c r="BE77" s="1042"/>
      <c r="BF77" s="1042"/>
      <c r="BG77" s="1042"/>
      <c r="BH77" s="1042"/>
      <c r="BI77" s="1042"/>
      <c r="BJ77" s="1042"/>
      <c r="BK77" s="1042"/>
      <c r="BL77" s="1042"/>
      <c r="BM77" s="1042"/>
      <c r="BN77" s="1042"/>
      <c r="BO77" s="1042"/>
      <c r="BP77" s="1042"/>
      <c r="BQ77" s="1042"/>
      <c r="BR77" s="1042"/>
      <c r="BS77" s="1042"/>
      <c r="BT77" s="1042"/>
      <c r="BU77" s="1042"/>
      <c r="BV77" s="1044"/>
    </row>
    <row r="78" spans="1:104" s="1040" customFormat="1" x14ac:dyDescent="0.25">
      <c r="A78" s="1047" t="s">
        <v>1082</v>
      </c>
      <c r="B78" s="1042"/>
      <c r="C78" s="1043"/>
      <c r="D78" s="1240"/>
      <c r="E78" s="1043"/>
      <c r="F78" s="1042"/>
      <c r="G78" s="1042"/>
      <c r="H78" s="1042"/>
      <c r="I78" s="1042"/>
      <c r="J78" s="1042"/>
      <c r="K78" s="1042"/>
      <c r="L78" s="1042"/>
      <c r="M78" s="1042"/>
      <c r="N78" s="1046"/>
      <c r="O78" s="1046"/>
      <c r="P78" s="1046"/>
      <c r="Q78" s="1046"/>
      <c r="R78" s="1046"/>
      <c r="S78" s="1046"/>
      <c r="T78" s="1046"/>
      <c r="U78" s="1046"/>
      <c r="V78" s="1046"/>
      <c r="W78" s="1046"/>
      <c r="X78" s="1046"/>
      <c r="Y78" s="1046"/>
      <c r="Z78" s="1046"/>
      <c r="AA78" s="1046"/>
      <c r="AB78" s="1046"/>
      <c r="AC78" s="1046"/>
      <c r="AD78" s="1046"/>
      <c r="AE78" s="1046"/>
      <c r="AF78" s="1046"/>
      <c r="AG78" s="1046"/>
      <c r="AH78" s="1046"/>
      <c r="AI78" s="1046"/>
      <c r="AJ78" s="1046"/>
      <c r="AK78" s="1046"/>
      <c r="AL78" s="1046"/>
      <c r="AM78" s="1046"/>
      <c r="AN78" s="1046"/>
      <c r="AO78" s="1046"/>
      <c r="AP78" s="1046"/>
      <c r="AQ78" s="1046"/>
      <c r="AR78" s="1046"/>
      <c r="AS78" s="1042"/>
      <c r="AT78" s="1042"/>
      <c r="AU78" s="1042"/>
      <c r="AV78" s="1042"/>
      <c r="AW78" s="1042"/>
      <c r="AX78" s="1042"/>
      <c r="AY78" s="1042"/>
      <c r="AZ78" s="1042"/>
      <c r="BA78" s="1042"/>
      <c r="BB78" s="1042"/>
      <c r="BC78" s="1042"/>
      <c r="BD78" s="1042"/>
      <c r="BE78" s="1042"/>
      <c r="BF78" s="1042"/>
      <c r="BG78" s="1042"/>
      <c r="BH78" s="1042"/>
      <c r="BI78" s="1042"/>
      <c r="BJ78" s="1042"/>
      <c r="BK78" s="1042"/>
      <c r="BL78" s="1042"/>
      <c r="BM78" s="1042"/>
      <c r="BN78" s="1042"/>
      <c r="BO78" s="1042"/>
      <c r="BP78" s="1042"/>
      <c r="BQ78" s="1042"/>
      <c r="BR78" s="1042"/>
      <c r="BS78" s="1042"/>
      <c r="BT78" s="1042"/>
      <c r="BU78" s="1042"/>
      <c r="BV78" s="1044"/>
    </row>
    <row r="79" spans="1:104" s="1040" customFormat="1" x14ac:dyDescent="0.25">
      <c r="A79" s="1045" t="s">
        <v>1088</v>
      </c>
      <c r="B79" s="1042"/>
      <c r="C79" s="1043"/>
      <c r="D79" s="1240"/>
      <c r="E79" s="1043"/>
      <c r="F79" s="1042"/>
      <c r="G79" s="1042"/>
      <c r="H79" s="1042"/>
      <c r="I79" s="1042"/>
      <c r="J79" s="1042"/>
      <c r="K79" s="1042"/>
      <c r="L79" s="1042"/>
      <c r="M79" s="1042"/>
      <c r="N79" s="1046">
        <v>2.2979889999999998</v>
      </c>
      <c r="O79" s="1046">
        <v>2.38</v>
      </c>
      <c r="P79" s="1046">
        <v>2.414561</v>
      </c>
      <c r="Q79" s="1046">
        <v>2.3313350000000002</v>
      </c>
      <c r="R79" s="1046">
        <v>2.4666779999999999</v>
      </c>
      <c r="S79" s="1046">
        <v>2.490294</v>
      </c>
      <c r="T79" s="1046">
        <v>2.5700569999999998</v>
      </c>
      <c r="U79" s="1046">
        <v>2.5762320000000001</v>
      </c>
      <c r="V79" s="1046">
        <v>2.594992</v>
      </c>
      <c r="W79" s="1046">
        <v>2.6086049999999998</v>
      </c>
      <c r="X79" s="1046">
        <v>2.6433580000000001</v>
      </c>
      <c r="Y79" s="1046">
        <v>2.6708150000000002</v>
      </c>
      <c r="Z79" s="1046">
        <v>2.7142179999999998</v>
      </c>
      <c r="AA79" s="1046">
        <v>2.74918</v>
      </c>
      <c r="AB79" s="1046">
        <v>2.7884579999999999</v>
      </c>
      <c r="AC79" s="1046">
        <v>2.8318759999999998</v>
      </c>
      <c r="AD79" s="1046">
        <v>2.8692139999999999</v>
      </c>
      <c r="AE79" s="1046">
        <v>2.899435</v>
      </c>
      <c r="AF79" s="1046">
        <v>2.9368029999999998</v>
      </c>
      <c r="AG79" s="1046">
        <v>2.9781219999999999</v>
      </c>
      <c r="AH79" s="1046">
        <v>3.0179510000000001</v>
      </c>
      <c r="AI79" s="1046">
        <v>3.0527350000000002</v>
      </c>
      <c r="AJ79" s="1046">
        <v>3.090319</v>
      </c>
      <c r="AK79" s="1046">
        <v>3.1298509999999999</v>
      </c>
      <c r="AL79" s="1046">
        <v>3.1705510000000001</v>
      </c>
      <c r="AM79" s="1046">
        <v>3.2163840000000001</v>
      </c>
      <c r="AN79" s="1046">
        <v>3.2516949999999998</v>
      </c>
      <c r="AO79" s="1046">
        <v>3.2783180000000001</v>
      </c>
      <c r="AP79" s="1046">
        <v>3.3114089999999998</v>
      </c>
      <c r="AQ79" s="1046">
        <v>3.3562150000000002</v>
      </c>
      <c r="AR79" s="1046">
        <v>3.398895</v>
      </c>
      <c r="AS79" s="1042"/>
      <c r="AT79" s="1042"/>
      <c r="AU79" s="1042"/>
      <c r="AV79" s="1042"/>
      <c r="AW79" s="1042"/>
      <c r="AX79" s="1042"/>
      <c r="AY79" s="1042"/>
      <c r="AZ79" s="1042"/>
      <c r="BA79" s="1042"/>
      <c r="BB79" s="1042"/>
      <c r="BC79" s="1042"/>
      <c r="BD79" s="1042"/>
      <c r="BE79" s="1042"/>
      <c r="BF79" s="1042"/>
      <c r="BG79" s="1042"/>
      <c r="BH79" s="1042"/>
      <c r="BI79" s="1042"/>
      <c r="BJ79" s="1042"/>
      <c r="BK79" s="1042"/>
      <c r="BL79" s="1042"/>
      <c r="BM79" s="1042"/>
      <c r="BN79" s="1042"/>
      <c r="BO79" s="1042"/>
      <c r="BP79" s="1042"/>
      <c r="BQ79" s="1042"/>
      <c r="BR79" s="1042"/>
      <c r="BS79" s="1042"/>
      <c r="BT79" s="1042"/>
      <c r="BU79" s="1042"/>
      <c r="BV79" s="1044"/>
    </row>
    <row r="80" spans="1:104" s="1040" customFormat="1" x14ac:dyDescent="0.25">
      <c r="A80" s="1045" t="s">
        <v>683</v>
      </c>
      <c r="B80" s="1042"/>
      <c r="C80" s="1043"/>
      <c r="D80" s="1240"/>
      <c r="E80" s="1043"/>
      <c r="F80" s="1042"/>
      <c r="G80" s="1042"/>
      <c r="H80" s="1042"/>
      <c r="I80" s="1042"/>
      <c r="J80" s="1042"/>
      <c r="K80" s="1042"/>
      <c r="L80" s="1042"/>
      <c r="M80" s="1042"/>
      <c r="N80" s="1046">
        <v>30.492578999999999</v>
      </c>
      <c r="O80" s="1046">
        <v>29.980651999999999</v>
      </c>
      <c r="P80" s="1046">
        <v>28.501187999999999</v>
      </c>
      <c r="Q80" s="1046">
        <v>27.791989999999998</v>
      </c>
      <c r="R80" s="1046">
        <v>28.177313000000002</v>
      </c>
      <c r="S80" s="1046">
        <v>28.139455999999999</v>
      </c>
      <c r="T80" s="1046">
        <v>28.689319999999999</v>
      </c>
      <c r="U80" s="1046">
        <v>29.024557000000001</v>
      </c>
      <c r="V80" s="1046">
        <v>29.108899999999998</v>
      </c>
      <c r="W80" s="1046">
        <v>28.975003999999998</v>
      </c>
      <c r="X80" s="1046">
        <v>29.041111000000001</v>
      </c>
      <c r="Y80" s="1046">
        <v>29.162209000000001</v>
      </c>
      <c r="Z80" s="1046">
        <v>29.247681</v>
      </c>
      <c r="AA80" s="1046">
        <v>29.196009</v>
      </c>
      <c r="AB80" s="1046">
        <v>29.115604000000001</v>
      </c>
      <c r="AC80" s="1046">
        <v>29.201962000000002</v>
      </c>
      <c r="AD80" s="1046">
        <v>29.178121999999998</v>
      </c>
      <c r="AE80" s="1046">
        <v>29.212776000000002</v>
      </c>
      <c r="AF80" s="1046">
        <v>29.214404999999999</v>
      </c>
      <c r="AG80" s="1046">
        <v>29.344874999999998</v>
      </c>
      <c r="AH80" s="1046">
        <v>29.550170999999999</v>
      </c>
      <c r="AI80" s="1046">
        <v>29.794819</v>
      </c>
      <c r="AJ80" s="1046">
        <v>29.957190000000001</v>
      </c>
      <c r="AK80" s="1046">
        <v>30.275618000000001</v>
      </c>
      <c r="AL80" s="1046">
        <v>30.801399</v>
      </c>
      <c r="AM80" s="1046">
        <v>31.291125999999998</v>
      </c>
      <c r="AN80" s="1046">
        <v>31.806963</v>
      </c>
      <c r="AO80" s="1046">
        <v>32.268535999999997</v>
      </c>
      <c r="AP80" s="1046">
        <v>32.667476999999998</v>
      </c>
      <c r="AQ80" s="1046">
        <v>33.223427000000001</v>
      </c>
      <c r="AR80" s="1046">
        <v>33.577624999999998</v>
      </c>
      <c r="AS80" s="1042"/>
      <c r="AT80" s="1042"/>
      <c r="AU80" s="1042"/>
      <c r="AV80" s="1042"/>
      <c r="AW80" s="1042"/>
      <c r="AX80" s="1042"/>
      <c r="AY80" s="1042"/>
      <c r="AZ80" s="1042"/>
      <c r="BA80" s="1042"/>
      <c r="BB80" s="1042"/>
      <c r="BC80" s="1042"/>
      <c r="BD80" s="1042"/>
      <c r="BE80" s="1042"/>
      <c r="BF80" s="1042"/>
      <c r="BG80" s="1042"/>
      <c r="BH80" s="1042"/>
      <c r="BI80" s="1042"/>
      <c r="BJ80" s="1042"/>
      <c r="BK80" s="1042"/>
      <c r="BL80" s="1042"/>
      <c r="BM80" s="1042"/>
      <c r="BN80" s="1042"/>
      <c r="BO80" s="1042"/>
      <c r="BP80" s="1042"/>
      <c r="BQ80" s="1042"/>
      <c r="BR80" s="1042"/>
      <c r="BS80" s="1042"/>
      <c r="BT80" s="1042"/>
      <c r="BU80" s="1042"/>
      <c r="BV80" s="1044"/>
    </row>
    <row r="81" spans="1:104" s="1040" customFormat="1" x14ac:dyDescent="0.25">
      <c r="A81" s="1045" t="s">
        <v>698</v>
      </c>
      <c r="B81" s="1042"/>
      <c r="C81" s="1043"/>
      <c r="D81" s="1240"/>
      <c r="E81" s="1043"/>
      <c r="F81" s="1042"/>
      <c r="G81" s="1042"/>
      <c r="H81" s="1042"/>
      <c r="I81" s="1042"/>
      <c r="J81" s="1042"/>
      <c r="K81" s="1042"/>
      <c r="L81" s="1042"/>
      <c r="M81" s="1042"/>
      <c r="N81" s="1046">
        <v>20.260445000000001</v>
      </c>
      <c r="O81" s="1046">
        <v>19.975721</v>
      </c>
      <c r="P81" s="1046">
        <v>18.454588000000001</v>
      </c>
      <c r="Q81" s="1046">
        <v>18.157667</v>
      </c>
      <c r="R81" s="1046">
        <v>18.271274999999999</v>
      </c>
      <c r="S81" s="1046">
        <v>18.191776000000001</v>
      </c>
      <c r="T81" s="1046">
        <v>18.703628999999999</v>
      </c>
      <c r="U81" s="1046">
        <v>19.002967999999999</v>
      </c>
      <c r="V81" s="1046">
        <v>19.096264000000001</v>
      </c>
      <c r="W81" s="1046">
        <v>19.050228000000001</v>
      </c>
      <c r="X81" s="1046">
        <v>19.095860999999999</v>
      </c>
      <c r="Y81" s="1046">
        <v>19.252116999999998</v>
      </c>
      <c r="Z81" s="1046">
        <v>19.422526999999999</v>
      </c>
      <c r="AA81" s="1046">
        <v>19.539289</v>
      </c>
      <c r="AB81" s="1046">
        <v>19.565339999999999</v>
      </c>
      <c r="AC81" s="1046">
        <v>19.722131999999998</v>
      </c>
      <c r="AD81" s="1046">
        <v>19.810991000000001</v>
      </c>
      <c r="AE81" s="1046">
        <v>19.943812999999999</v>
      </c>
      <c r="AF81" s="1046">
        <v>20.046423000000001</v>
      </c>
      <c r="AG81" s="1046">
        <v>20.238405</v>
      </c>
      <c r="AH81" s="1046">
        <v>20.421748999999998</v>
      </c>
      <c r="AI81" s="1046">
        <v>20.607520999999998</v>
      </c>
      <c r="AJ81" s="1046">
        <v>20.839410999999998</v>
      </c>
      <c r="AK81" s="1046">
        <v>21.176966</v>
      </c>
      <c r="AL81" s="1046">
        <v>21.628757</v>
      </c>
      <c r="AM81" s="1046">
        <v>22.108962999999999</v>
      </c>
      <c r="AN81" s="1046">
        <v>22.567038</v>
      </c>
      <c r="AO81" s="1046">
        <v>22.990486000000001</v>
      </c>
      <c r="AP81" s="1046">
        <v>23.379736000000001</v>
      </c>
      <c r="AQ81" s="1046">
        <v>23.871493999999998</v>
      </c>
      <c r="AR81" s="1046">
        <v>24.167221000000001</v>
      </c>
      <c r="AS81" s="1042"/>
      <c r="AT81" s="1042"/>
      <c r="AU81" s="1042"/>
      <c r="AV81" s="1042"/>
      <c r="AW81" s="1042"/>
      <c r="AX81" s="1042"/>
      <c r="AY81" s="1042"/>
      <c r="AZ81" s="1042"/>
      <c r="BA81" s="1042"/>
      <c r="BB81" s="1042"/>
      <c r="BC81" s="1042"/>
      <c r="BD81" s="1042"/>
      <c r="BE81" s="1042"/>
      <c r="BF81" s="1042"/>
      <c r="BG81" s="1042"/>
      <c r="BH81" s="1042"/>
      <c r="BI81" s="1042"/>
      <c r="BJ81" s="1042"/>
      <c r="BK81" s="1042"/>
      <c r="BL81" s="1042"/>
      <c r="BM81" s="1042"/>
      <c r="BN81" s="1042"/>
      <c r="BO81" s="1042"/>
      <c r="BP81" s="1042"/>
      <c r="BQ81" s="1042"/>
      <c r="BR81" s="1042"/>
      <c r="BS81" s="1042"/>
      <c r="BT81" s="1042"/>
      <c r="BU81" s="1042"/>
      <c r="BV81" s="1044"/>
    </row>
    <row r="82" spans="1:104" s="1040" customFormat="1" ht="13.8" thickBot="1" x14ac:dyDescent="0.3">
      <c r="A82" s="1049" t="s">
        <v>684</v>
      </c>
      <c r="B82" s="1050"/>
      <c r="C82" s="1051"/>
      <c r="D82" s="1241"/>
      <c r="E82" s="1051"/>
      <c r="F82" s="1050"/>
      <c r="G82" s="1050"/>
      <c r="H82" s="1050"/>
      <c r="I82" s="1050"/>
      <c r="J82" s="1050"/>
      <c r="K82" s="1050"/>
      <c r="L82" s="1050"/>
      <c r="M82" s="1050"/>
      <c r="N82" s="1052">
        <v>34.522823000000002</v>
      </c>
      <c r="O82" s="1052">
        <v>34.335875999999999</v>
      </c>
      <c r="P82" s="1052">
        <v>33.292259000000001</v>
      </c>
      <c r="Q82" s="1052">
        <v>32.561348000000002</v>
      </c>
      <c r="R82" s="1052">
        <v>33.352730000000001</v>
      </c>
      <c r="S82" s="1052">
        <v>33.489016999999997</v>
      </c>
      <c r="T82" s="1052">
        <v>34.046703000000001</v>
      </c>
      <c r="U82" s="1052">
        <v>34.326427000000002</v>
      </c>
      <c r="V82" s="1052">
        <v>34.303291000000002</v>
      </c>
      <c r="W82" s="1052">
        <v>34.076405000000001</v>
      </c>
      <c r="X82" s="1052">
        <v>34.105117999999997</v>
      </c>
      <c r="Y82" s="1052">
        <v>34.184669</v>
      </c>
      <c r="Z82" s="1052">
        <v>34.290134000000002</v>
      </c>
      <c r="AA82" s="1052">
        <v>34.319408000000003</v>
      </c>
      <c r="AB82" s="1052">
        <v>34.416462000000003</v>
      </c>
      <c r="AC82" s="1052">
        <v>34.726405999999997</v>
      </c>
      <c r="AD82" s="1052">
        <v>34.904162999999997</v>
      </c>
      <c r="AE82" s="1052">
        <v>35.063048999999999</v>
      </c>
      <c r="AF82" s="1052">
        <v>35.177726999999997</v>
      </c>
      <c r="AG82" s="1052">
        <v>35.337353</v>
      </c>
      <c r="AH82" s="1052">
        <v>35.506706000000001</v>
      </c>
      <c r="AI82" s="1052">
        <v>35.725586</v>
      </c>
      <c r="AJ82" s="1052">
        <v>35.884253999999999</v>
      </c>
      <c r="AK82" s="1052">
        <v>36.154865000000001</v>
      </c>
      <c r="AL82" s="1052">
        <v>36.608756999999997</v>
      </c>
      <c r="AM82" s="1052">
        <v>37.082008000000002</v>
      </c>
      <c r="AN82" s="1052">
        <v>37.502094</v>
      </c>
      <c r="AO82" s="1052">
        <v>37.842292999999998</v>
      </c>
      <c r="AP82" s="1052">
        <v>38.16151</v>
      </c>
      <c r="AQ82" s="1052">
        <v>38.618450000000003</v>
      </c>
      <c r="AR82" s="1052">
        <v>38.850749999999998</v>
      </c>
      <c r="AS82" s="1050"/>
      <c r="AT82" s="1050"/>
      <c r="AU82" s="1050"/>
      <c r="AV82" s="1050"/>
      <c r="AW82" s="1050"/>
      <c r="AX82" s="1050"/>
      <c r="AY82" s="1050"/>
      <c r="AZ82" s="1050"/>
      <c r="BA82" s="1050"/>
      <c r="BB82" s="1050"/>
      <c r="BC82" s="1050"/>
      <c r="BD82" s="1050"/>
      <c r="BE82" s="1050"/>
      <c r="BF82" s="1050"/>
      <c r="BG82" s="1050"/>
      <c r="BH82" s="1050"/>
      <c r="BI82" s="1050"/>
      <c r="BJ82" s="1050"/>
      <c r="BK82" s="1050"/>
      <c r="BL82" s="1050"/>
      <c r="BM82" s="1050"/>
      <c r="BN82" s="1050"/>
      <c r="BO82" s="1050"/>
      <c r="BP82" s="1050"/>
      <c r="BQ82" s="1050"/>
      <c r="BR82" s="1050"/>
      <c r="BS82" s="1050"/>
      <c r="BT82" s="1050"/>
      <c r="BU82" s="1050"/>
      <c r="BV82" s="1053"/>
    </row>
    <row r="83" spans="1:104" x14ac:dyDescent="0.25">
      <c r="D83" s="1083"/>
      <c r="E83" s="967"/>
    </row>
    <row r="84" spans="1:104" x14ac:dyDescent="0.25">
      <c r="D84" s="1083"/>
    </row>
    <row r="85" spans="1:104" ht="13.8" thickBot="1" x14ac:dyDescent="0.3">
      <c r="D85" s="1083"/>
    </row>
    <row r="86" spans="1:104" ht="13.8" thickTop="1" x14ac:dyDescent="0.25">
      <c r="A86" s="862" t="s">
        <v>1108</v>
      </c>
      <c r="B86" s="863" t="str">
        <f>"Prices are in $(" &amp; ref_year&amp;")/GJ LHV"</f>
        <v>Prices are in $(2016)/GJ LHV</v>
      </c>
      <c r="C86" s="863"/>
      <c r="D86" s="1242"/>
      <c r="E86" s="863"/>
      <c r="F86" s="864"/>
      <c r="G86" s="864"/>
      <c r="H86" s="864"/>
      <c r="I86" s="864"/>
      <c r="J86" s="864"/>
      <c r="K86" s="864"/>
      <c r="L86" s="864"/>
      <c r="M86" s="864"/>
      <c r="N86" s="864"/>
      <c r="O86" s="864"/>
      <c r="P86" s="864"/>
      <c r="Q86" s="864"/>
      <c r="R86" s="864"/>
      <c r="S86" s="864"/>
      <c r="T86" s="864"/>
      <c r="U86" s="864"/>
      <c r="V86" s="864"/>
      <c r="W86" s="864"/>
      <c r="X86" s="864"/>
      <c r="Y86" s="864"/>
      <c r="Z86" s="864"/>
      <c r="AA86" s="864"/>
      <c r="AB86" s="864"/>
      <c r="AC86" s="864"/>
      <c r="AD86" s="864"/>
      <c r="AE86" s="864"/>
      <c r="AF86" s="864"/>
      <c r="AG86" s="864"/>
      <c r="AH86" s="864"/>
      <c r="AI86" s="864"/>
      <c r="AJ86" s="864"/>
      <c r="AK86" s="864"/>
      <c r="AL86" s="864"/>
      <c r="AM86" s="864"/>
      <c r="AN86" s="864"/>
      <c r="AO86" s="864"/>
      <c r="AP86" s="864"/>
      <c r="AQ86" s="864"/>
      <c r="AR86" s="864"/>
      <c r="AS86" s="877" t="s">
        <v>772</v>
      </c>
      <c r="AT86" s="878"/>
      <c r="AU86" s="878"/>
      <c r="AV86" s="878"/>
      <c r="AW86" s="878"/>
      <c r="AX86" s="878"/>
      <c r="AY86" s="878"/>
      <c r="AZ86" s="878"/>
      <c r="BA86" s="878"/>
      <c r="BB86" s="878"/>
      <c r="BC86" s="878"/>
      <c r="BD86" s="878"/>
      <c r="BE86" s="878"/>
      <c r="BF86" s="878"/>
      <c r="BG86" s="878"/>
      <c r="BH86" s="878"/>
      <c r="BI86" s="878"/>
      <c r="BJ86" s="878"/>
      <c r="BK86" s="878"/>
      <c r="BL86" s="878"/>
      <c r="BM86" s="878"/>
      <c r="BN86" s="878"/>
      <c r="BO86" s="878"/>
      <c r="BP86" s="878"/>
      <c r="BQ86" s="878"/>
      <c r="BR86" s="878"/>
      <c r="BS86" s="878"/>
      <c r="BT86" s="878"/>
      <c r="BU86" s="878"/>
      <c r="BV86" s="879"/>
    </row>
    <row r="87" spans="1:104" ht="40.200000000000003" thickBot="1" x14ac:dyDescent="0.3">
      <c r="A87" s="1109" t="s">
        <v>1085</v>
      </c>
      <c r="B87" s="1110" t="s">
        <v>678</v>
      </c>
      <c r="C87" s="1110" t="s">
        <v>679</v>
      </c>
      <c r="D87" s="1243" t="s">
        <v>690</v>
      </c>
      <c r="E87" s="1110" t="s">
        <v>691</v>
      </c>
      <c r="F87" s="1111" t="s">
        <v>680</v>
      </c>
      <c r="G87" s="1111" t="s">
        <v>692</v>
      </c>
      <c r="H87" s="884">
        <v>2004</v>
      </c>
      <c r="I87" s="884">
        <v>2005</v>
      </c>
      <c r="J87" s="884">
        <v>2006</v>
      </c>
      <c r="K87" s="884">
        <v>2007</v>
      </c>
      <c r="L87" s="884">
        <v>2008</v>
      </c>
      <c r="M87" s="884">
        <v>2009</v>
      </c>
      <c r="N87" s="884">
        <v>2010</v>
      </c>
      <c r="O87" s="884">
        <v>2011</v>
      </c>
      <c r="P87" s="884">
        <v>2012</v>
      </c>
      <c r="Q87" s="884">
        <v>2013</v>
      </c>
      <c r="R87" s="884">
        <v>2014</v>
      </c>
      <c r="S87" s="884">
        <v>2015</v>
      </c>
      <c r="T87" s="884">
        <v>2016</v>
      </c>
      <c r="U87" s="884">
        <v>2017</v>
      </c>
      <c r="V87" s="884">
        <v>2018</v>
      </c>
      <c r="W87" s="884">
        <v>2019</v>
      </c>
      <c r="X87" s="884">
        <v>2020</v>
      </c>
      <c r="Y87" s="884">
        <v>2021</v>
      </c>
      <c r="Z87" s="884">
        <v>2022</v>
      </c>
      <c r="AA87" s="884">
        <v>2023</v>
      </c>
      <c r="AB87" s="884">
        <v>2024</v>
      </c>
      <c r="AC87" s="884">
        <v>2025</v>
      </c>
      <c r="AD87" s="884">
        <v>2026</v>
      </c>
      <c r="AE87" s="884">
        <v>2027</v>
      </c>
      <c r="AF87" s="884">
        <v>2028</v>
      </c>
      <c r="AG87" s="884">
        <v>2029</v>
      </c>
      <c r="AH87" s="884">
        <v>2030</v>
      </c>
      <c r="AI87" s="884">
        <v>2031</v>
      </c>
      <c r="AJ87" s="884">
        <v>2032</v>
      </c>
      <c r="AK87" s="884">
        <v>2033</v>
      </c>
      <c r="AL87" s="884">
        <v>2034</v>
      </c>
      <c r="AM87" s="884">
        <v>2035</v>
      </c>
      <c r="AN87" s="884">
        <v>2036</v>
      </c>
      <c r="AO87" s="884">
        <v>2037</v>
      </c>
      <c r="AP87" s="884">
        <v>2038</v>
      </c>
      <c r="AQ87" s="884">
        <v>2039</v>
      </c>
      <c r="AR87" s="884">
        <v>2040</v>
      </c>
      <c r="AS87" s="884">
        <v>2041</v>
      </c>
      <c r="AT87" s="884">
        <v>2042</v>
      </c>
      <c r="AU87" s="884">
        <v>2043</v>
      </c>
      <c r="AV87" s="884">
        <v>2044</v>
      </c>
      <c r="AW87" s="884">
        <v>2045</v>
      </c>
      <c r="AX87" s="884">
        <v>2046</v>
      </c>
      <c r="AY87" s="884">
        <v>2047</v>
      </c>
      <c r="AZ87" s="884">
        <v>2048</v>
      </c>
      <c r="BA87" s="884">
        <v>2049</v>
      </c>
      <c r="BB87" s="884">
        <v>2050</v>
      </c>
      <c r="BC87" s="884">
        <v>2051</v>
      </c>
      <c r="BD87" s="884">
        <v>2052</v>
      </c>
      <c r="BE87" s="884">
        <v>2053</v>
      </c>
      <c r="BF87" s="884">
        <v>2054</v>
      </c>
      <c r="BG87" s="884">
        <v>2055</v>
      </c>
      <c r="BH87" s="884">
        <v>2056</v>
      </c>
      <c r="BI87" s="884">
        <v>2057</v>
      </c>
      <c r="BJ87" s="884">
        <v>2058</v>
      </c>
      <c r="BK87" s="884">
        <v>2059</v>
      </c>
      <c r="BL87" s="884">
        <v>2060</v>
      </c>
      <c r="BM87" s="884">
        <v>2061</v>
      </c>
      <c r="BN87" s="884">
        <v>2062</v>
      </c>
      <c r="BO87" s="884">
        <v>2063</v>
      </c>
      <c r="BP87" s="884">
        <v>2064</v>
      </c>
      <c r="BQ87" s="884">
        <v>2065</v>
      </c>
      <c r="BR87" s="884">
        <v>2066</v>
      </c>
      <c r="BS87" s="884">
        <v>2067</v>
      </c>
      <c r="BT87" s="884">
        <v>2068</v>
      </c>
      <c r="BU87" s="884">
        <v>2069</v>
      </c>
      <c r="BV87" s="885">
        <v>2070</v>
      </c>
      <c r="BW87" s="1389">
        <f t="shared" ref="BW87" si="191">+BV87+1</f>
        <v>2071</v>
      </c>
      <c r="BX87" s="1389">
        <f t="shared" ref="BX87" si="192">+BW87+1</f>
        <v>2072</v>
      </c>
      <c r="BY87" s="1389">
        <f t="shared" ref="BY87" si="193">+BX87+1</f>
        <v>2073</v>
      </c>
      <c r="BZ87" s="1389">
        <f t="shared" ref="BZ87" si="194">+BY87+1</f>
        <v>2074</v>
      </c>
      <c r="CA87" s="1389">
        <f t="shared" ref="CA87" si="195">+BZ87+1</f>
        <v>2075</v>
      </c>
      <c r="CB87" s="1389">
        <f t="shared" ref="CB87" si="196">+CA87+1</f>
        <v>2076</v>
      </c>
      <c r="CC87" s="1389">
        <f t="shared" ref="CC87" si="197">+CB87+1</f>
        <v>2077</v>
      </c>
      <c r="CD87" s="1389">
        <f t="shared" ref="CD87" si="198">+CC87+1</f>
        <v>2078</v>
      </c>
      <c r="CE87" s="1389">
        <f t="shared" ref="CE87" si="199">+CD87+1</f>
        <v>2079</v>
      </c>
      <c r="CF87" s="1389">
        <f t="shared" ref="CF87" si="200">+CE87+1</f>
        <v>2080</v>
      </c>
      <c r="CG87" s="1389">
        <f t="shared" ref="CG87" si="201">+CF87+1</f>
        <v>2081</v>
      </c>
      <c r="CH87" s="1389">
        <f t="shared" ref="CH87" si="202">+CG87+1</f>
        <v>2082</v>
      </c>
      <c r="CI87" s="1389">
        <f t="shared" ref="CI87" si="203">+CH87+1</f>
        <v>2083</v>
      </c>
      <c r="CJ87" s="1389">
        <f t="shared" ref="CJ87" si="204">+CI87+1</f>
        <v>2084</v>
      </c>
      <c r="CK87" s="1389">
        <f t="shared" ref="CK87" si="205">+CJ87+1</f>
        <v>2085</v>
      </c>
      <c r="CL87" s="1389">
        <f t="shared" ref="CL87" si="206">+CK87+1</f>
        <v>2086</v>
      </c>
      <c r="CM87" s="1389">
        <f t="shared" ref="CM87" si="207">+CL87+1</f>
        <v>2087</v>
      </c>
      <c r="CN87" s="1389">
        <f t="shared" ref="CN87" si="208">+CM87+1</f>
        <v>2088</v>
      </c>
      <c r="CO87" s="1389">
        <f t="shared" ref="CO87" si="209">+CN87+1</f>
        <v>2089</v>
      </c>
      <c r="CP87" s="1389">
        <f t="shared" ref="CP87" si="210">+CO87+1</f>
        <v>2090</v>
      </c>
      <c r="CQ87" s="1389">
        <f t="shared" ref="CQ87" si="211">+CP87+1</f>
        <v>2091</v>
      </c>
      <c r="CR87" s="1389">
        <f t="shared" ref="CR87" si="212">+CQ87+1</f>
        <v>2092</v>
      </c>
      <c r="CS87" s="1389">
        <f t="shared" ref="CS87" si="213">+CR87+1</f>
        <v>2093</v>
      </c>
      <c r="CT87" s="1389">
        <f t="shared" ref="CT87" si="214">+CS87+1</f>
        <v>2094</v>
      </c>
      <c r="CU87" s="1389">
        <f t="shared" ref="CU87" si="215">+CT87+1</f>
        <v>2095</v>
      </c>
      <c r="CV87" s="1389">
        <f t="shared" ref="CV87" si="216">+CU87+1</f>
        <v>2096</v>
      </c>
      <c r="CW87" s="1389">
        <f t="shared" ref="CW87" si="217">+CV87+1</f>
        <v>2097</v>
      </c>
      <c r="CX87" s="1389">
        <f t="shared" ref="CX87" si="218">+CW87+1</f>
        <v>2098</v>
      </c>
      <c r="CY87" s="1389">
        <f t="shared" ref="CY87" si="219">+CX87+1</f>
        <v>2099</v>
      </c>
      <c r="CZ87" s="1389">
        <f t="shared" ref="CZ87" si="220">+CY87+1</f>
        <v>2100</v>
      </c>
    </row>
    <row r="88" spans="1:104" ht="13.8" thickBot="1" x14ac:dyDescent="0.3">
      <c r="A88" s="865" t="s">
        <v>1091</v>
      </c>
      <c r="B88" s="866"/>
      <c r="C88" s="866"/>
      <c r="D88" s="1244"/>
      <c r="E88" s="866"/>
      <c r="F88" s="866"/>
      <c r="G88" s="866"/>
      <c r="H88" s="951"/>
      <c r="I88" s="951"/>
      <c r="J88" s="951"/>
      <c r="K88" s="951"/>
      <c r="L88" s="951"/>
      <c r="M88" s="951"/>
      <c r="N88" s="951"/>
      <c r="O88" s="951"/>
      <c r="P88" s="951"/>
      <c r="Q88" s="951"/>
      <c r="R88" s="951"/>
      <c r="S88" s="951"/>
      <c r="T88" s="951"/>
      <c r="U88" s="951"/>
      <c r="V88" s="951"/>
      <c r="W88" s="951"/>
      <c r="X88" s="951"/>
      <c r="Y88" s="951"/>
      <c r="Z88" s="951"/>
      <c r="AA88" s="951"/>
      <c r="AB88" s="951"/>
      <c r="AC88" s="951"/>
      <c r="AD88" s="951"/>
      <c r="AE88" s="951"/>
      <c r="AF88" s="951"/>
      <c r="AG88" s="951"/>
      <c r="AH88" s="951"/>
      <c r="AI88" s="951"/>
      <c r="AJ88" s="951"/>
      <c r="AK88" s="951"/>
      <c r="AL88" s="951"/>
      <c r="AM88" s="951"/>
      <c r="AN88" s="951"/>
      <c r="AO88" s="951"/>
      <c r="AP88" s="951"/>
      <c r="AQ88" s="951"/>
      <c r="AR88" s="951"/>
      <c r="AS88" s="951"/>
      <c r="AT88" s="951"/>
      <c r="AU88" s="951"/>
      <c r="AV88" s="951"/>
      <c r="AW88" s="951"/>
      <c r="AX88" s="951"/>
      <c r="AY88" s="951"/>
      <c r="AZ88" s="951"/>
      <c r="BA88" s="951"/>
      <c r="BC88" s="951"/>
      <c r="BD88" s="951"/>
      <c r="BE88" s="951"/>
      <c r="BF88" s="951"/>
      <c r="BG88" s="951"/>
      <c r="BH88" s="951"/>
      <c r="BI88" s="951"/>
      <c r="BJ88" s="951"/>
      <c r="BK88" s="951"/>
      <c r="BL88" s="951"/>
      <c r="BM88" s="951"/>
      <c r="BN88" s="951"/>
      <c r="BO88" s="951"/>
      <c r="BP88" s="951"/>
      <c r="BR88" s="951"/>
      <c r="BS88" s="951"/>
      <c r="BT88" s="951"/>
      <c r="BU88" s="951"/>
    </row>
    <row r="89" spans="1:104" x14ac:dyDescent="0.25">
      <c r="A89" s="868" t="str">
        <f>'HyARC Physical Property Data'!A73</f>
        <v>Residential Natural Gas</v>
      </c>
      <c r="B89" s="260">
        <v>2012</v>
      </c>
      <c r="C89" s="869">
        <f t="shared" ref="C89:C100" si="221">VLOOKUP(ref_year,DeflatorTable,2,FALSE)/VLOOKUP(B89,DeflatorTable,2,FALSE)</f>
        <v>1.0589185747008452</v>
      </c>
      <c r="D89" s="1245" t="str">
        <f>'HyARC Physical Property Data'!H73</f>
        <v>mmBtu</v>
      </c>
      <c r="E89" s="869" t="s">
        <v>1059</v>
      </c>
      <c r="F89" s="260">
        <f>'HyARC Physical Property Data'!$E$6</f>
        <v>47.141269049911173</v>
      </c>
      <c r="G89" s="260">
        <f>'HyARC Physical Property Data'!$I$6</f>
        <v>52.224661236371581</v>
      </c>
      <c r="H89" s="1055">
        <v>12.595706345448797</v>
      </c>
      <c r="I89" s="1055">
        <v>12.595706345448797</v>
      </c>
      <c r="J89" s="1055">
        <v>12.595706345448797</v>
      </c>
      <c r="K89" s="1055">
        <v>12.595706345448797</v>
      </c>
      <c r="L89" s="1055">
        <v>13.121338604068761</v>
      </c>
      <c r="M89" s="1055">
        <v>11.086947084595193</v>
      </c>
      <c r="N89" s="1055">
        <v>10.600250548835966</v>
      </c>
      <c r="O89" s="951">
        <f t="shared" ref="O89:AR89" si="222">O106*($C89/mmBTU_to_GJ*$G89/$F89)</f>
        <v>12.2087929242581</v>
      </c>
      <c r="P89" s="951">
        <f t="shared" si="222"/>
        <v>11.62926676611875</v>
      </c>
      <c r="Q89" s="951">
        <f t="shared" si="222"/>
        <v>11.549569006878718</v>
      </c>
      <c r="R89" s="951">
        <f t="shared" si="222"/>
        <v>12.451077492669647</v>
      </c>
      <c r="S89" s="951">
        <f t="shared" si="222"/>
        <v>12.228661210695314</v>
      </c>
      <c r="T89" s="951">
        <f t="shared" si="222"/>
        <v>11.880721569489316</v>
      </c>
      <c r="U89" s="951">
        <f t="shared" si="222"/>
        <v>12.243181027367417</v>
      </c>
      <c r="V89" s="951">
        <f t="shared" si="222"/>
        <v>12.738447103720736</v>
      </c>
      <c r="W89" s="951">
        <f t="shared" si="222"/>
        <v>12.928721417497503</v>
      </c>
      <c r="X89" s="951">
        <f t="shared" si="222"/>
        <v>12.889662020940529</v>
      </c>
      <c r="Y89" s="951">
        <f t="shared" si="222"/>
        <v>13.126157788188424</v>
      </c>
      <c r="Z89" s="951">
        <f t="shared" si="222"/>
        <v>13.227924378910403</v>
      </c>
      <c r="AA89" s="951">
        <f t="shared" si="222"/>
        <v>13.406700038666168</v>
      </c>
      <c r="AB89" s="951">
        <f t="shared" si="222"/>
        <v>13.682684414389822</v>
      </c>
      <c r="AC89" s="951">
        <f t="shared" si="222"/>
        <v>13.872072505629625</v>
      </c>
      <c r="AD89" s="951">
        <f t="shared" si="222"/>
        <v>13.98822325537062</v>
      </c>
      <c r="AE89" s="951">
        <f t="shared" si="222"/>
        <v>14.139968571775018</v>
      </c>
      <c r="AF89" s="951">
        <f t="shared" si="222"/>
        <v>14.341810480347306</v>
      </c>
      <c r="AG89" s="951">
        <f t="shared" si="222"/>
        <v>14.660154514221039</v>
      </c>
      <c r="AH89" s="951">
        <f t="shared" si="222"/>
        <v>15.014507871353267</v>
      </c>
      <c r="AI89" s="951">
        <f t="shared" si="222"/>
        <v>15.178056515524123</v>
      </c>
      <c r="AJ89" s="951">
        <f t="shared" si="222"/>
        <v>15.247180761459282</v>
      </c>
      <c r="AK89" s="951">
        <f t="shared" si="222"/>
        <v>15.504403238981952</v>
      </c>
      <c r="AL89" s="951">
        <f t="shared" si="222"/>
        <v>15.944730189731404</v>
      </c>
      <c r="AM89" s="951">
        <f t="shared" si="222"/>
        <v>16.240765211360355</v>
      </c>
      <c r="AN89" s="951">
        <f t="shared" si="222"/>
        <v>16.673418609126639</v>
      </c>
      <c r="AO89" s="951">
        <f t="shared" si="222"/>
        <v>16.84862158003515</v>
      </c>
      <c r="AP89" s="951">
        <f t="shared" si="222"/>
        <v>16.990523932954982</v>
      </c>
      <c r="AQ89" s="951">
        <f t="shared" si="222"/>
        <v>17.36681602365595</v>
      </c>
      <c r="AR89" s="951">
        <f t="shared" si="222"/>
        <v>17.766490156398653</v>
      </c>
      <c r="AS89" s="951">
        <f>($BB89-$AR89)/10+AR89</f>
        <v>17.817297159388684</v>
      </c>
      <c r="AT89" s="951">
        <f t="shared" ref="AT89:BA89" si="223">($BB89-$AR89)/10+AS89</f>
        <v>17.868104162378714</v>
      </c>
      <c r="AU89" s="951">
        <f t="shared" si="223"/>
        <v>17.918911165368744</v>
      </c>
      <c r="AV89" s="951">
        <f t="shared" si="223"/>
        <v>17.969718168358774</v>
      </c>
      <c r="AW89" s="951">
        <f t="shared" si="223"/>
        <v>18.020525171348805</v>
      </c>
      <c r="AX89" s="951">
        <f t="shared" si="223"/>
        <v>18.071332174338835</v>
      </c>
      <c r="AY89" s="951">
        <f t="shared" si="223"/>
        <v>18.122139177328865</v>
      </c>
      <c r="AZ89" s="951">
        <f t="shared" si="223"/>
        <v>18.172946180318895</v>
      </c>
      <c r="BA89" s="951">
        <f t="shared" si="223"/>
        <v>18.223753183308926</v>
      </c>
      <c r="BB89" s="953">
        <f>'AEO Data'!$B$30*AM89</f>
        <v>18.274560186298949</v>
      </c>
      <c r="BC89" s="951">
        <f t="shared" ref="BC89:BP92" si="224">($BQ89-$BB89)/15+BB89</f>
        <v>18.423467349139123</v>
      </c>
      <c r="BD89" s="951">
        <f t="shared" si="224"/>
        <v>18.572374511979298</v>
      </c>
      <c r="BE89" s="951">
        <f t="shared" si="224"/>
        <v>18.721281674819473</v>
      </c>
      <c r="BF89" s="951">
        <f t="shared" si="224"/>
        <v>18.870188837659647</v>
      </c>
      <c r="BG89" s="951">
        <f t="shared" si="224"/>
        <v>19.019096000499822</v>
      </c>
      <c r="BH89" s="951">
        <f t="shared" si="224"/>
        <v>19.168003163339996</v>
      </c>
      <c r="BI89" s="951">
        <f t="shared" si="224"/>
        <v>19.316910326180171</v>
      </c>
      <c r="BJ89" s="951">
        <f t="shared" si="224"/>
        <v>19.465817489020345</v>
      </c>
      <c r="BK89" s="951">
        <f t="shared" si="224"/>
        <v>19.61472465186052</v>
      </c>
      <c r="BL89" s="951">
        <f t="shared" si="224"/>
        <v>19.763631814700695</v>
      </c>
      <c r="BM89" s="951">
        <f t="shared" si="224"/>
        <v>19.912538977540869</v>
      </c>
      <c r="BN89" s="951">
        <f t="shared" si="224"/>
        <v>20.061446140381044</v>
      </c>
      <c r="BO89" s="951">
        <f t="shared" si="224"/>
        <v>20.210353303221218</v>
      </c>
      <c r="BP89" s="951">
        <f t="shared" si="224"/>
        <v>20.359260466061393</v>
      </c>
      <c r="BQ89" s="953">
        <f>'AEO Data'!$C$30*BB89</f>
        <v>20.508167628901592</v>
      </c>
      <c r="BR89" s="951">
        <f t="shared" ref="BR89:BU92" si="225">($BV89-$BQ89)/5+BQ89</f>
        <v>20.62538963666017</v>
      </c>
      <c r="BS89" s="951">
        <f t="shared" si="225"/>
        <v>20.742611644418748</v>
      </c>
      <c r="BT89" s="951">
        <f t="shared" si="225"/>
        <v>20.859833652177326</v>
      </c>
      <c r="BU89" s="951">
        <f t="shared" si="225"/>
        <v>20.977055659935903</v>
      </c>
      <c r="BV89" s="954">
        <f>'AEO Data'!$D$30*BQ89</f>
        <v>21.094277667694488</v>
      </c>
      <c r="BW89" s="1388">
        <f>+BV89*BW$133/BV$133</f>
        <v>21.164316872120814</v>
      </c>
      <c r="BX89" s="1388">
        <f t="shared" ref="BX89:CZ89" si="226">+BW89*BX$133/BW$133</f>
        <v>21.234588627300191</v>
      </c>
      <c r="BY89" s="1388">
        <f t="shared" si="226"/>
        <v>21.305093705369501</v>
      </c>
      <c r="BZ89" s="1388">
        <f t="shared" si="226"/>
        <v>21.375832881029339</v>
      </c>
      <c r="CA89" s="1388">
        <f t="shared" si="226"/>
        <v>21.446806931552544</v>
      </c>
      <c r="CB89" s="1388">
        <f t="shared" si="226"/>
        <v>21.492572878539132</v>
      </c>
      <c r="CC89" s="1388">
        <f t="shared" si="226"/>
        <v>21.538436486772465</v>
      </c>
      <c r="CD89" s="1388">
        <f t="shared" si="226"/>
        <v>21.584397964654634</v>
      </c>
      <c r="CE89" s="1388">
        <f t="shared" si="226"/>
        <v>21.630457521032444</v>
      </c>
      <c r="CF89" s="1388">
        <f t="shared" si="226"/>
        <v>21.676615365198366</v>
      </c>
      <c r="CG89" s="1388">
        <f t="shared" si="226"/>
        <v>21.691602524401322</v>
      </c>
      <c r="CH89" s="1388">
        <f t="shared" si="226"/>
        <v>21.706600045689747</v>
      </c>
      <c r="CI89" s="1388">
        <f t="shared" si="226"/>
        <v>21.721607936227954</v>
      </c>
      <c r="CJ89" s="1388">
        <f t="shared" si="226"/>
        <v>21.736626203185217</v>
      </c>
      <c r="CK89" s="1388">
        <f t="shared" si="226"/>
        <v>21.751654853735772</v>
      </c>
      <c r="CL89" s="1388">
        <f t="shared" si="226"/>
        <v>21.756748899145897</v>
      </c>
      <c r="CM89" s="1388">
        <f t="shared" si="226"/>
        <v>21.76184413753646</v>
      </c>
      <c r="CN89" s="1388">
        <f t="shared" si="226"/>
        <v>21.766940569186843</v>
      </c>
      <c r="CO89" s="1388">
        <f t="shared" si="226"/>
        <v>21.772038194376496</v>
      </c>
      <c r="CP89" s="1388">
        <f t="shared" si="226"/>
        <v>21.777137013384934</v>
      </c>
      <c r="CQ89" s="1388">
        <f t="shared" si="226"/>
        <v>21.784864763140046</v>
      </c>
      <c r="CR89" s="1388">
        <f t="shared" si="226"/>
        <v>21.792595255134241</v>
      </c>
      <c r="CS89" s="1388">
        <f t="shared" si="226"/>
        <v>21.800328490340622</v>
      </c>
      <c r="CT89" s="1388">
        <f t="shared" si="226"/>
        <v>21.808064469732635</v>
      </c>
      <c r="CU89" s="1388">
        <f t="shared" si="226"/>
        <v>21.815803194284069</v>
      </c>
      <c r="CV89" s="1388">
        <f t="shared" si="226"/>
        <v>21.827713124132313</v>
      </c>
      <c r="CW89" s="1388">
        <f t="shared" si="226"/>
        <v>21.839629555984068</v>
      </c>
      <c r="CX89" s="1388">
        <f t="shared" si="226"/>
        <v>21.851552493388983</v>
      </c>
      <c r="CY89" s="1388">
        <f t="shared" si="226"/>
        <v>21.863481939898644</v>
      </c>
      <c r="CZ89" s="1388">
        <f t="shared" si="226"/>
        <v>21.875417899066573</v>
      </c>
    </row>
    <row r="90" spans="1:104" x14ac:dyDescent="0.25">
      <c r="A90" s="868" t="str">
        <f>'HyARC Physical Property Data'!A71</f>
        <v>Commercial Natural Gas</v>
      </c>
      <c r="B90" s="260">
        <v>2012</v>
      </c>
      <c r="C90" s="869">
        <f t="shared" si="221"/>
        <v>1.0589185747008452</v>
      </c>
      <c r="D90" s="1245" t="str">
        <f>'HyARC Physical Property Data'!H71</f>
        <v>mmBtu</v>
      </c>
      <c r="E90" s="869" t="s">
        <v>1059</v>
      </c>
      <c r="F90" s="260">
        <f>'HyARC Physical Property Data'!$E$6</f>
        <v>47.141269049911173</v>
      </c>
      <c r="G90" s="260">
        <f>'HyARC Physical Property Data'!$I$6</f>
        <v>52.224661236371581</v>
      </c>
      <c r="H90" s="1056">
        <v>10.902002401006685</v>
      </c>
      <c r="I90" s="1056">
        <v>10.902002401006685</v>
      </c>
      <c r="J90" s="1056">
        <v>10.902002401006685</v>
      </c>
      <c r="K90" s="1056">
        <v>10.902002401006685</v>
      </c>
      <c r="L90" s="1056">
        <v>11.622313273930342</v>
      </c>
      <c r="M90" s="1056">
        <v>8.8092072972420112</v>
      </c>
      <c r="N90" s="1056">
        <v>8.4393179300649965</v>
      </c>
      <c r="O90" s="260">
        <f t="shared" ref="O90:AR90" si="227">O107*($C90/mmBTU_to_GJ*$G90/$F90)</f>
        <v>9.9639823425462914</v>
      </c>
      <c r="P90" s="260">
        <f t="shared" si="227"/>
        <v>9.0210827052924731</v>
      </c>
      <c r="Q90" s="260">
        <f t="shared" si="227"/>
        <v>9.2425705107067522</v>
      </c>
      <c r="R90" s="260">
        <f t="shared" si="227"/>
        <v>10.103223803959281</v>
      </c>
      <c r="S90" s="260">
        <f t="shared" si="227"/>
        <v>9.9169647343242655</v>
      </c>
      <c r="T90" s="260">
        <f t="shared" si="227"/>
        <v>9.6996011439533945</v>
      </c>
      <c r="U90" s="260">
        <f t="shared" si="227"/>
        <v>10.015602303441456</v>
      </c>
      <c r="V90" s="260">
        <f t="shared" si="227"/>
        <v>10.462516434001412</v>
      </c>
      <c r="W90" s="260">
        <f t="shared" si="227"/>
        <v>10.615177995538126</v>
      </c>
      <c r="X90" s="260">
        <f t="shared" si="227"/>
        <v>10.553246941060452</v>
      </c>
      <c r="Y90" s="260">
        <f t="shared" si="227"/>
        <v>10.769181678282015</v>
      </c>
      <c r="Z90" s="260">
        <f t="shared" si="227"/>
        <v>10.850924309850123</v>
      </c>
      <c r="AA90" s="260">
        <f t="shared" si="227"/>
        <v>11.006898364407682</v>
      </c>
      <c r="AB90" s="260">
        <f t="shared" si="227"/>
        <v>11.260741632030943</v>
      </c>
      <c r="AC90" s="260">
        <f t="shared" si="227"/>
        <v>11.438522098348088</v>
      </c>
      <c r="AD90" s="260">
        <f t="shared" si="227"/>
        <v>11.543080790438088</v>
      </c>
      <c r="AE90" s="260">
        <f t="shared" si="227"/>
        <v>11.671986695413095</v>
      </c>
      <c r="AF90" s="260">
        <f t="shared" si="227"/>
        <v>11.850279769747228</v>
      </c>
      <c r="AG90" s="260">
        <f t="shared" si="227"/>
        <v>12.132482158553312</v>
      </c>
      <c r="AH90" s="260">
        <f t="shared" si="227"/>
        <v>12.445283131766116</v>
      </c>
      <c r="AI90" s="260">
        <f t="shared" si="227"/>
        <v>12.558691817798014</v>
      </c>
      <c r="AJ90" s="260">
        <f t="shared" si="227"/>
        <v>12.5569093651923</v>
      </c>
      <c r="AK90" s="260">
        <f t="shared" si="227"/>
        <v>12.763364745917485</v>
      </c>
      <c r="AL90" s="260">
        <f t="shared" si="227"/>
        <v>13.063076979503446</v>
      </c>
      <c r="AM90" s="260">
        <f t="shared" si="227"/>
        <v>13.291592296126769</v>
      </c>
      <c r="AN90" s="260">
        <f t="shared" si="227"/>
        <v>13.636518558317496</v>
      </c>
      <c r="AO90" s="260">
        <f t="shared" si="227"/>
        <v>13.752890585705739</v>
      </c>
      <c r="AP90" s="260">
        <f t="shared" si="227"/>
        <v>13.853987783746099</v>
      </c>
      <c r="AQ90" s="260">
        <f t="shared" si="227"/>
        <v>14.183892740727496</v>
      </c>
      <c r="AR90" s="260">
        <f t="shared" si="227"/>
        <v>14.541374007516533</v>
      </c>
      <c r="AS90" s="260">
        <f t="shared" ref="AS90:BA90" si="228">($BB90-$AR90)/10+AR90</f>
        <v>14.582843496133675</v>
      </c>
      <c r="AT90" s="260">
        <f t="shared" si="228"/>
        <v>14.624312984750818</v>
      </c>
      <c r="AU90" s="260">
        <f t="shared" si="228"/>
        <v>14.66578247336796</v>
      </c>
      <c r="AV90" s="260">
        <f t="shared" si="228"/>
        <v>14.707251961985103</v>
      </c>
      <c r="AW90" s="260">
        <f t="shared" si="228"/>
        <v>14.748721450602245</v>
      </c>
      <c r="AX90" s="260">
        <f t="shared" si="228"/>
        <v>14.790190939219388</v>
      </c>
      <c r="AY90" s="260">
        <f t="shared" si="228"/>
        <v>14.83166042783653</v>
      </c>
      <c r="AZ90" s="260">
        <f t="shared" si="228"/>
        <v>14.873129916453673</v>
      </c>
      <c r="BA90" s="260">
        <f t="shared" si="228"/>
        <v>14.914599405070815</v>
      </c>
      <c r="BB90" s="931">
        <f>'AEO Data'!$B$30*AM90</f>
        <v>14.956068893687954</v>
      </c>
      <c r="BC90" s="260">
        <f t="shared" si="224"/>
        <v>15.077935891497892</v>
      </c>
      <c r="BD90" s="260">
        <f t="shared" si="224"/>
        <v>15.199802889307831</v>
      </c>
      <c r="BE90" s="260">
        <f t="shared" si="224"/>
        <v>15.321669887117769</v>
      </c>
      <c r="BF90" s="260">
        <f t="shared" si="224"/>
        <v>15.443536884927708</v>
      </c>
      <c r="BG90" s="260">
        <f t="shared" si="224"/>
        <v>15.565403882737646</v>
      </c>
      <c r="BH90" s="260">
        <f t="shared" si="224"/>
        <v>15.687270880547585</v>
      </c>
      <c r="BI90" s="260">
        <f t="shared" si="224"/>
        <v>15.809137878357523</v>
      </c>
      <c r="BJ90" s="260">
        <f t="shared" si="224"/>
        <v>15.931004876167462</v>
      </c>
      <c r="BK90" s="260">
        <f t="shared" si="224"/>
        <v>16.052871873977402</v>
      </c>
      <c r="BL90" s="260">
        <f t="shared" si="224"/>
        <v>16.174738871787341</v>
      </c>
      <c r="BM90" s="260">
        <f t="shared" si="224"/>
        <v>16.296605869597279</v>
      </c>
      <c r="BN90" s="260">
        <f t="shared" si="224"/>
        <v>16.418472867407218</v>
      </c>
      <c r="BO90" s="260">
        <f t="shared" si="224"/>
        <v>16.540339865217156</v>
      </c>
      <c r="BP90" s="260">
        <f t="shared" si="224"/>
        <v>16.662206863027095</v>
      </c>
      <c r="BQ90" s="931">
        <f>'AEO Data'!$C$30*BB90</f>
        <v>16.784073860837033</v>
      </c>
      <c r="BR90" s="260">
        <f t="shared" si="225"/>
        <v>16.880009434991543</v>
      </c>
      <c r="BS90" s="260">
        <f t="shared" si="225"/>
        <v>16.975945009146052</v>
      </c>
      <c r="BT90" s="260">
        <f t="shared" si="225"/>
        <v>17.071880583300562</v>
      </c>
      <c r="BU90" s="260">
        <f t="shared" si="225"/>
        <v>17.167816157455071</v>
      </c>
      <c r="BV90" s="955">
        <f>'AEO Data'!$D$30*BQ90</f>
        <v>17.263751731609581</v>
      </c>
      <c r="BW90" s="1388">
        <f>+BV90*BW$134/BV$134</f>
        <v>17.321072463598775</v>
      </c>
      <c r="BX90" s="1388">
        <f t="shared" ref="BX90:CZ90" si="229">+BW90*BX$134/BW$134</f>
        <v>17.378583517272784</v>
      </c>
      <c r="BY90" s="1388">
        <f t="shared" si="229"/>
        <v>17.436285524555561</v>
      </c>
      <c r="BZ90" s="1388">
        <f t="shared" si="229"/>
        <v>17.494179119469241</v>
      </c>
      <c r="CA90" s="1388">
        <f t="shared" si="229"/>
        <v>17.552264938141089</v>
      </c>
      <c r="CB90" s="1388">
        <f t="shared" si="229"/>
        <v>17.589720211982893</v>
      </c>
      <c r="CC90" s="1388">
        <f t="shared" si="229"/>
        <v>17.627255412691312</v>
      </c>
      <c r="CD90" s="1388">
        <f t="shared" si="229"/>
        <v>17.664870710824552</v>
      </c>
      <c r="CE90" s="1388">
        <f t="shared" si="229"/>
        <v>17.702566277304761</v>
      </c>
      <c r="CF90" s="1388">
        <f t="shared" si="229"/>
        <v>17.740342283418837</v>
      </c>
      <c r="CG90" s="1388">
        <f t="shared" si="229"/>
        <v>17.752607912975723</v>
      </c>
      <c r="CH90" s="1388">
        <f t="shared" si="229"/>
        <v>17.764882022959085</v>
      </c>
      <c r="CI90" s="1388">
        <f t="shared" si="229"/>
        <v>17.77716461923227</v>
      </c>
      <c r="CJ90" s="1388">
        <f t="shared" si="229"/>
        <v>17.789455707662682</v>
      </c>
      <c r="CK90" s="1388">
        <f t="shared" si="229"/>
        <v>17.801755294121772</v>
      </c>
      <c r="CL90" s="1388">
        <f t="shared" si="229"/>
        <v>17.805924307948906</v>
      </c>
      <c r="CM90" s="1388">
        <f t="shared" si="229"/>
        <v>17.810094298122248</v>
      </c>
      <c r="CN90" s="1388">
        <f t="shared" si="229"/>
        <v>17.81426526487045</v>
      </c>
      <c r="CO90" s="1388">
        <f t="shared" si="229"/>
        <v>17.818437208422218</v>
      </c>
      <c r="CP90" s="1388">
        <f t="shared" si="229"/>
        <v>17.822610129006311</v>
      </c>
      <c r="CQ90" s="1388">
        <f t="shared" si="229"/>
        <v>17.828934590801964</v>
      </c>
      <c r="CR90" s="1388">
        <f t="shared" si="229"/>
        <v>17.835261296871419</v>
      </c>
      <c r="CS90" s="1388">
        <f t="shared" si="229"/>
        <v>17.84159024801107</v>
      </c>
      <c r="CT90" s="1388">
        <f t="shared" si="229"/>
        <v>17.847921445017597</v>
      </c>
      <c r="CU90" s="1388">
        <f t="shared" si="229"/>
        <v>17.854254888687954</v>
      </c>
      <c r="CV90" s="1388">
        <f t="shared" si="229"/>
        <v>17.864002085310659</v>
      </c>
      <c r="CW90" s="1388">
        <f t="shared" si="229"/>
        <v>17.873754603233113</v>
      </c>
      <c r="CX90" s="1388">
        <f t="shared" si="229"/>
        <v>17.883512445360374</v>
      </c>
      <c r="CY90" s="1388">
        <f t="shared" si="229"/>
        <v>17.893275614599098</v>
      </c>
      <c r="CZ90" s="1388">
        <f t="shared" si="229"/>
        <v>17.903044113857518</v>
      </c>
    </row>
    <row r="91" spans="1:104" x14ac:dyDescent="0.25">
      <c r="A91" s="868" t="str">
        <f>'HyARC Physical Property Data'!A72</f>
        <v>Industrial Natural Gas</v>
      </c>
      <c r="B91" s="260">
        <v>2012</v>
      </c>
      <c r="C91" s="869">
        <f t="shared" si="221"/>
        <v>1.0589185747008452</v>
      </c>
      <c r="D91" s="1245" t="str">
        <f>'HyARC Physical Property Data'!H72</f>
        <v>mmBtu</v>
      </c>
      <c r="E91" s="869" t="s">
        <v>1059</v>
      </c>
      <c r="F91" s="260">
        <f>'HyARC Physical Property Data'!$E$6</f>
        <v>47.141269049911173</v>
      </c>
      <c r="G91" s="260">
        <f>'HyARC Physical Property Data'!$I$6</f>
        <v>52.224661236371581</v>
      </c>
      <c r="H91" s="1056">
        <v>7.3783194821098821</v>
      </c>
      <c r="I91" s="1056">
        <v>7.3783194821098821</v>
      </c>
      <c r="J91" s="1056">
        <v>7.3783194821098821</v>
      </c>
      <c r="K91" s="1056">
        <v>7.3783194821098821</v>
      </c>
      <c r="L91" s="1056">
        <v>8.8676108815331158</v>
      </c>
      <c r="M91" s="1056">
        <v>4.0882509003775072</v>
      </c>
      <c r="N91" s="1056">
        <v>4.7404242582948717</v>
      </c>
      <c r="O91" s="260">
        <f t="shared" ref="O91:AR91" si="230">O108*($C91/mmBTU_to_GJ*$G91/$F91)</f>
        <v>5.6639494209981782</v>
      </c>
      <c r="P91" s="260">
        <f t="shared" si="230"/>
        <v>4.1936228360778802</v>
      </c>
      <c r="Q91" s="260">
        <f t="shared" si="230"/>
        <v>5.1091841203909469</v>
      </c>
      <c r="R91" s="260">
        <f t="shared" si="230"/>
        <v>5.3368743716159921</v>
      </c>
      <c r="S91" s="260">
        <f t="shared" si="230"/>
        <v>5.4922435264745477</v>
      </c>
      <c r="T91" s="260">
        <f t="shared" si="230"/>
        <v>5.7249186404765142</v>
      </c>
      <c r="U91" s="260">
        <f t="shared" si="230"/>
        <v>6.0332162243860541</v>
      </c>
      <c r="V91" s="260">
        <f t="shared" si="230"/>
        <v>6.5003155465564157</v>
      </c>
      <c r="W91" s="260">
        <f t="shared" si="230"/>
        <v>6.6134284544266668</v>
      </c>
      <c r="X91" s="260">
        <f t="shared" si="230"/>
        <v>6.4407629487996489</v>
      </c>
      <c r="Y91" s="260">
        <f t="shared" si="230"/>
        <v>6.5991877366965674</v>
      </c>
      <c r="Z91" s="260">
        <f t="shared" si="230"/>
        <v>6.6211298061092361</v>
      </c>
      <c r="AA91" s="260">
        <f t="shared" si="230"/>
        <v>6.729798257918957</v>
      </c>
      <c r="AB91" s="260">
        <f t="shared" si="230"/>
        <v>6.9245136919123249</v>
      </c>
      <c r="AC91" s="260">
        <f t="shared" si="230"/>
        <v>7.0285708954650996</v>
      </c>
      <c r="AD91" s="260">
        <f t="shared" si="230"/>
        <v>7.0676625385133827</v>
      </c>
      <c r="AE91" s="260">
        <f t="shared" si="230"/>
        <v>7.1490882649082979</v>
      </c>
      <c r="AF91" s="260">
        <f t="shared" si="230"/>
        <v>7.2626859820961345</v>
      </c>
      <c r="AG91" s="260">
        <f t="shared" si="230"/>
        <v>7.4897713336221727</v>
      </c>
      <c r="AH91" s="260">
        <f t="shared" si="230"/>
        <v>7.7715211596019786</v>
      </c>
      <c r="AI91" s="260">
        <f t="shared" si="230"/>
        <v>7.8991127420692164</v>
      </c>
      <c r="AJ91" s="260">
        <f t="shared" si="230"/>
        <v>8.0328945389194857</v>
      </c>
      <c r="AK91" s="260">
        <f t="shared" si="230"/>
        <v>8.2510220375499461</v>
      </c>
      <c r="AL91" s="260">
        <f t="shared" si="230"/>
        <v>8.4203839457399265</v>
      </c>
      <c r="AM91" s="260">
        <f t="shared" si="230"/>
        <v>8.6260409478182627</v>
      </c>
      <c r="AN91" s="260">
        <f t="shared" si="230"/>
        <v>8.9436310809641917</v>
      </c>
      <c r="AO91" s="260">
        <f t="shared" si="230"/>
        <v>9.0003437635899601</v>
      </c>
      <c r="AP91" s="260">
        <f t="shared" si="230"/>
        <v>9.040412808909247</v>
      </c>
      <c r="AQ91" s="260">
        <f t="shared" si="230"/>
        <v>9.2706004952886456</v>
      </c>
      <c r="AR91" s="260">
        <f t="shared" si="230"/>
        <v>9.5554192976825281</v>
      </c>
      <c r="AS91" s="260">
        <f t="shared" ref="AS91:BA91" si="231">($BB91-$AR91)/10+AR91</f>
        <v>9.5705034586117605</v>
      </c>
      <c r="AT91" s="260">
        <f t="shared" si="231"/>
        <v>9.585587619540993</v>
      </c>
      <c r="AU91" s="260">
        <f t="shared" si="231"/>
        <v>9.6006717804702255</v>
      </c>
      <c r="AV91" s="260">
        <f t="shared" si="231"/>
        <v>9.615755941399458</v>
      </c>
      <c r="AW91" s="260">
        <f t="shared" si="231"/>
        <v>9.6308401023286905</v>
      </c>
      <c r="AX91" s="260">
        <f t="shared" si="231"/>
        <v>9.645924263257923</v>
      </c>
      <c r="AY91" s="260">
        <f t="shared" si="231"/>
        <v>9.6610084241871554</v>
      </c>
      <c r="AZ91" s="260">
        <f t="shared" si="231"/>
        <v>9.6760925851163879</v>
      </c>
      <c r="BA91" s="260">
        <f t="shared" si="231"/>
        <v>9.6911767460456204</v>
      </c>
      <c r="BB91" s="931">
        <f>'AEO Data'!$B$30*AM91</f>
        <v>9.7062609069748458</v>
      </c>
      <c r="BC91" s="260">
        <f t="shared" si="224"/>
        <v>9.7853507323227493</v>
      </c>
      <c r="BD91" s="260">
        <f t="shared" si="224"/>
        <v>9.8644405576706529</v>
      </c>
      <c r="BE91" s="260">
        <f t="shared" si="224"/>
        <v>9.9435303830185564</v>
      </c>
      <c r="BF91" s="260">
        <f t="shared" si="224"/>
        <v>10.02262020836646</v>
      </c>
      <c r="BG91" s="260">
        <f t="shared" si="224"/>
        <v>10.101710033714363</v>
      </c>
      <c r="BH91" s="260">
        <f t="shared" si="224"/>
        <v>10.180799859062267</v>
      </c>
      <c r="BI91" s="260">
        <f t="shared" si="224"/>
        <v>10.259889684410171</v>
      </c>
      <c r="BJ91" s="260">
        <f t="shared" si="224"/>
        <v>10.338979509758074</v>
      </c>
      <c r="BK91" s="260">
        <f t="shared" si="224"/>
        <v>10.418069335105978</v>
      </c>
      <c r="BL91" s="260">
        <f t="shared" si="224"/>
        <v>10.497159160453881</v>
      </c>
      <c r="BM91" s="260">
        <f t="shared" si="224"/>
        <v>10.576248985801785</v>
      </c>
      <c r="BN91" s="260">
        <f t="shared" si="224"/>
        <v>10.655338811149688</v>
      </c>
      <c r="BO91" s="260">
        <f t="shared" si="224"/>
        <v>10.734428636497592</v>
      </c>
      <c r="BP91" s="260">
        <f t="shared" si="224"/>
        <v>10.813518461845495</v>
      </c>
      <c r="BQ91" s="931">
        <f>'AEO Data'!$C$30*BB91</f>
        <v>10.892608287193402</v>
      </c>
      <c r="BR91" s="260">
        <f t="shared" si="225"/>
        <v>10.954869013566299</v>
      </c>
      <c r="BS91" s="260">
        <f t="shared" si="225"/>
        <v>11.017129739939195</v>
      </c>
      <c r="BT91" s="260">
        <f t="shared" si="225"/>
        <v>11.079390466312091</v>
      </c>
      <c r="BU91" s="260">
        <f t="shared" si="225"/>
        <v>11.141651192684987</v>
      </c>
      <c r="BV91" s="955">
        <f>'AEO Data'!$D$30*BQ91</f>
        <v>11.203911919057887</v>
      </c>
      <c r="BW91" s="1388">
        <f>+BV91*BW$135/BV$135</f>
        <v>11.241112201031763</v>
      </c>
      <c r="BX91" s="1388">
        <f t="shared" ref="BX91:CZ91" si="232">+BW91*BX$135/BW$135</f>
        <v>11.278435998880177</v>
      </c>
      <c r="BY91" s="1388">
        <f t="shared" si="232"/>
        <v>11.315883722712151</v>
      </c>
      <c r="BZ91" s="1388">
        <f t="shared" si="232"/>
        <v>11.35345578399839</v>
      </c>
      <c r="CA91" s="1388">
        <f t="shared" si="232"/>
        <v>11.391152595575804</v>
      </c>
      <c r="CB91" s="1388">
        <f t="shared" si="232"/>
        <v>11.415460497794959</v>
      </c>
      <c r="CC91" s="1388">
        <f t="shared" si="232"/>
        <v>11.439820271333133</v>
      </c>
      <c r="CD91" s="1388">
        <f t="shared" si="232"/>
        <v>11.464232026880003</v>
      </c>
      <c r="CE91" s="1388">
        <f t="shared" si="232"/>
        <v>11.488695875361442</v>
      </c>
      <c r="CF91" s="1388">
        <f t="shared" si="232"/>
        <v>11.513211927940032</v>
      </c>
      <c r="CG91" s="1388">
        <f t="shared" si="232"/>
        <v>11.521172134697148</v>
      </c>
      <c r="CH91" s="1388">
        <f t="shared" si="232"/>
        <v>11.529137845121877</v>
      </c>
      <c r="CI91" s="1388">
        <f t="shared" si="232"/>
        <v>11.537109063019443</v>
      </c>
      <c r="CJ91" s="1388">
        <f t="shared" si="232"/>
        <v>11.545085792197696</v>
      </c>
      <c r="CK91" s="1388">
        <f t="shared" si="232"/>
        <v>11.553068036467128</v>
      </c>
      <c r="CL91" s="1388">
        <f t="shared" si="232"/>
        <v>11.55577366294014</v>
      </c>
      <c r="CM91" s="1388">
        <f t="shared" si="232"/>
        <v>11.558479923046971</v>
      </c>
      <c r="CN91" s="1388">
        <f t="shared" si="232"/>
        <v>11.56118681693601</v>
      </c>
      <c r="CO91" s="1388">
        <f t="shared" si="232"/>
        <v>11.563894344755685</v>
      </c>
      <c r="CP91" s="1388">
        <f t="shared" si="232"/>
        <v>11.566602506654455</v>
      </c>
      <c r="CQ91" s="1388">
        <f t="shared" si="232"/>
        <v>11.570706986028089</v>
      </c>
      <c r="CR91" s="1388">
        <f t="shared" si="232"/>
        <v>11.574812921901238</v>
      </c>
      <c r="CS91" s="1388">
        <f t="shared" si="232"/>
        <v>11.578920314790748</v>
      </c>
      <c r="CT91" s="1388">
        <f t="shared" si="232"/>
        <v>11.583029165213651</v>
      </c>
      <c r="CU91" s="1388">
        <f t="shared" si="232"/>
        <v>11.587139473687161</v>
      </c>
      <c r="CV91" s="1388">
        <f t="shared" si="232"/>
        <v>11.593465255829788</v>
      </c>
      <c r="CW91" s="1388">
        <f t="shared" si="232"/>
        <v>11.599794491414899</v>
      </c>
      <c r="CX91" s="1388">
        <f t="shared" si="232"/>
        <v>11.606127182327835</v>
      </c>
      <c r="CY91" s="1388">
        <f t="shared" si="232"/>
        <v>11.612463330454966</v>
      </c>
      <c r="CZ91" s="1388">
        <f t="shared" si="232"/>
        <v>11.618802937683697</v>
      </c>
    </row>
    <row r="92" spans="1:104" x14ac:dyDescent="0.25">
      <c r="A92" s="868" t="str">
        <f>'HyARC Physical Property Data'!A74</f>
        <v>Electric Utility Natural Gas</v>
      </c>
      <c r="B92" s="260">
        <v>2012</v>
      </c>
      <c r="C92" s="869">
        <f t="shared" si="221"/>
        <v>1.0589185747008452</v>
      </c>
      <c r="D92" s="1245" t="str">
        <f>'HyARC Physical Property Data'!H74</f>
        <v>mmBtu</v>
      </c>
      <c r="E92" s="869" t="s">
        <v>1059</v>
      </c>
      <c r="F92" s="260">
        <f>'HyARC Physical Property Data'!$E$6</f>
        <v>47.141269049911173</v>
      </c>
      <c r="G92" s="260">
        <f>'HyARC Physical Property Data'!$I$6</f>
        <v>52.224661236371581</v>
      </c>
      <c r="H92" s="1056">
        <v>7.0668336992239764</v>
      </c>
      <c r="I92" s="1056">
        <v>7.0668336992239764</v>
      </c>
      <c r="J92" s="1056">
        <v>7.0668336992239764</v>
      </c>
      <c r="K92" s="1056">
        <v>7.0668336992239764</v>
      </c>
      <c r="L92" s="1056">
        <v>8.8481430201027482</v>
      </c>
      <c r="M92" s="1056">
        <v>4.0298473160863999</v>
      </c>
      <c r="N92" s="1056">
        <v>4.7209563968645023</v>
      </c>
      <c r="O92" s="260">
        <f t="shared" ref="O92:AR92" si="233">O109*($C92/mmBTU_to_GJ*$G92/$F92)</f>
        <v>5.428419936541526</v>
      </c>
      <c r="P92" s="260">
        <f t="shared" si="233"/>
        <v>3.8227359244888057</v>
      </c>
      <c r="Q92" s="260">
        <f t="shared" si="233"/>
        <v>4.804318007935696</v>
      </c>
      <c r="R92" s="260">
        <f t="shared" si="233"/>
        <v>4.9697558517179701</v>
      </c>
      <c r="S92" s="260">
        <f t="shared" si="233"/>
        <v>4.9242593883272674</v>
      </c>
      <c r="T92" s="260">
        <f t="shared" si="233"/>
        <v>4.9757470274132745</v>
      </c>
      <c r="U92" s="260">
        <f t="shared" si="233"/>
        <v>5.2156664824796266</v>
      </c>
      <c r="V92" s="260">
        <f t="shared" si="233"/>
        <v>5.6287951857333169</v>
      </c>
      <c r="W92" s="260">
        <f t="shared" si="233"/>
        <v>5.7592455864471468</v>
      </c>
      <c r="X92" s="260">
        <f t="shared" si="233"/>
        <v>5.6424810414233342</v>
      </c>
      <c r="Y92" s="260">
        <f t="shared" si="233"/>
        <v>5.8292060172603444</v>
      </c>
      <c r="Z92" s="260">
        <f t="shared" si="233"/>
        <v>5.8870328717581808</v>
      </c>
      <c r="AA92" s="260">
        <f t="shared" si="233"/>
        <v>6.0268258593673236</v>
      </c>
      <c r="AB92" s="260">
        <f t="shared" si="233"/>
        <v>6.2516128144267338</v>
      </c>
      <c r="AC92" s="260">
        <f t="shared" si="233"/>
        <v>6.4022817651902537</v>
      </c>
      <c r="AD92" s="260">
        <f t="shared" si="233"/>
        <v>6.4648666450778842</v>
      </c>
      <c r="AE92" s="260">
        <f t="shared" si="233"/>
        <v>6.5662751885515531</v>
      </c>
      <c r="AF92" s="260">
        <f t="shared" si="233"/>
        <v>6.7024543452383245</v>
      </c>
      <c r="AG92" s="260">
        <f t="shared" si="233"/>
        <v>6.9426740262582278</v>
      </c>
      <c r="AH92" s="260">
        <f t="shared" si="233"/>
        <v>7.2203541226454542</v>
      </c>
      <c r="AI92" s="260">
        <f t="shared" si="233"/>
        <v>7.3578387062561834</v>
      </c>
      <c r="AJ92" s="260">
        <f t="shared" si="233"/>
        <v>7.4795914499008447</v>
      </c>
      <c r="AK92" s="260">
        <f t="shared" si="233"/>
        <v>7.7064221653403528</v>
      </c>
      <c r="AL92" s="260">
        <f t="shared" si="233"/>
        <v>7.8847308069461519</v>
      </c>
      <c r="AM92" s="260">
        <f t="shared" si="233"/>
        <v>8.102560303519013</v>
      </c>
      <c r="AN92" s="260">
        <f t="shared" si="233"/>
        <v>8.418335737567924</v>
      </c>
      <c r="AO92" s="260">
        <f t="shared" si="233"/>
        <v>8.4846512029154173</v>
      </c>
      <c r="AP92" s="260">
        <f t="shared" si="233"/>
        <v>8.5378634733123793</v>
      </c>
      <c r="AQ92" s="260">
        <f t="shared" si="233"/>
        <v>8.7815535439657371</v>
      </c>
      <c r="AR92" s="260">
        <f t="shared" si="233"/>
        <v>9.0721244532400576</v>
      </c>
      <c r="AS92" s="260">
        <f t="shared" ref="AS92:BA92" si="234">($BB92-$AR92)/10+AR92</f>
        <v>9.0766346022812474</v>
      </c>
      <c r="AT92" s="260">
        <f t="shared" si="234"/>
        <v>9.0811447513224373</v>
      </c>
      <c r="AU92" s="260">
        <f t="shared" si="234"/>
        <v>9.0856549003636271</v>
      </c>
      <c r="AV92" s="260">
        <f t="shared" si="234"/>
        <v>9.090165049404817</v>
      </c>
      <c r="AW92" s="260">
        <f t="shared" si="234"/>
        <v>9.0946751984460068</v>
      </c>
      <c r="AX92" s="260">
        <f t="shared" si="234"/>
        <v>9.0991853474871967</v>
      </c>
      <c r="AY92" s="260">
        <f t="shared" si="234"/>
        <v>9.1036954965283865</v>
      </c>
      <c r="AZ92" s="260">
        <f t="shared" si="234"/>
        <v>9.1082056455695763</v>
      </c>
      <c r="BA92" s="260">
        <f t="shared" si="234"/>
        <v>9.1127157946107662</v>
      </c>
      <c r="BB92" s="931">
        <f>'AEO Data'!$B$30*AM92</f>
        <v>9.1172259436519631</v>
      </c>
      <c r="BC92" s="260">
        <f t="shared" si="224"/>
        <v>9.1915161172266959</v>
      </c>
      <c r="BD92" s="260">
        <f t="shared" si="224"/>
        <v>9.2658062908014287</v>
      </c>
      <c r="BE92" s="260">
        <f t="shared" si="224"/>
        <v>9.3400964643761615</v>
      </c>
      <c r="BF92" s="260">
        <f t="shared" si="224"/>
        <v>9.4143866379508943</v>
      </c>
      <c r="BG92" s="260">
        <f t="shared" si="224"/>
        <v>9.488676811525627</v>
      </c>
      <c r="BH92" s="260">
        <f t="shared" si="224"/>
        <v>9.5629669851003598</v>
      </c>
      <c r="BI92" s="260">
        <f t="shared" si="224"/>
        <v>9.6372571586750926</v>
      </c>
      <c r="BJ92" s="260">
        <f t="shared" si="224"/>
        <v>9.7115473322498254</v>
      </c>
      <c r="BK92" s="260">
        <f t="shared" si="224"/>
        <v>9.7858375058245581</v>
      </c>
      <c r="BL92" s="260">
        <f t="shared" si="224"/>
        <v>9.8601276793992909</v>
      </c>
      <c r="BM92" s="260">
        <f t="shared" si="224"/>
        <v>9.9344178529740237</v>
      </c>
      <c r="BN92" s="260">
        <f t="shared" si="224"/>
        <v>10.008708026548756</v>
      </c>
      <c r="BO92" s="260">
        <f t="shared" si="224"/>
        <v>10.082998200123489</v>
      </c>
      <c r="BP92" s="260">
        <f t="shared" si="224"/>
        <v>10.157288373698222</v>
      </c>
      <c r="BQ92" s="931">
        <f>'AEO Data'!$C$30*BB92</f>
        <v>10.231578547272965</v>
      </c>
      <c r="BR92" s="260">
        <f t="shared" si="225"/>
        <v>10.2900609139843</v>
      </c>
      <c r="BS92" s="260">
        <f t="shared" si="225"/>
        <v>10.348543280695635</v>
      </c>
      <c r="BT92" s="260">
        <f t="shared" si="225"/>
        <v>10.40702564740697</v>
      </c>
      <c r="BU92" s="260">
        <f t="shared" si="225"/>
        <v>10.465508014118305</v>
      </c>
      <c r="BV92" s="955">
        <f>'AEO Data'!$D$30*BQ92</f>
        <v>10.523990380829638</v>
      </c>
      <c r="BW92" s="1388">
        <f>+BV92*BW$136/BV$136</f>
        <v>10.558933123372203</v>
      </c>
      <c r="BX92" s="1388">
        <f t="shared" ref="BX92:CZ92" si="235">+BW92*BX$136/BW$136</f>
        <v>10.593991886094585</v>
      </c>
      <c r="BY92" s="1388">
        <f t="shared" si="235"/>
        <v>10.6291670542179</v>
      </c>
      <c r="BZ92" s="1388">
        <f t="shared" si="235"/>
        <v>10.664459014242302</v>
      </c>
      <c r="CA92" s="1388">
        <f t="shared" si="235"/>
        <v>10.699868153951249</v>
      </c>
      <c r="CB92" s="1388">
        <f t="shared" si="235"/>
        <v>10.722700904777984</v>
      </c>
      <c r="CC92" s="1388">
        <f t="shared" si="235"/>
        <v>10.745582379056525</v>
      </c>
      <c r="CD92" s="1388">
        <f t="shared" si="235"/>
        <v>10.768512680759219</v>
      </c>
      <c r="CE92" s="1388">
        <f t="shared" si="235"/>
        <v>10.791491914080288</v>
      </c>
      <c r="CF92" s="1388">
        <f t="shared" si="235"/>
        <v>10.814520183436294</v>
      </c>
      <c r="CG92" s="1388">
        <f t="shared" si="235"/>
        <v>10.82199731641864</v>
      </c>
      <c r="CH92" s="1388">
        <f t="shared" si="235"/>
        <v>10.829479619072567</v>
      </c>
      <c r="CI92" s="1388">
        <f t="shared" si="235"/>
        <v>10.836967094972369</v>
      </c>
      <c r="CJ92" s="1388">
        <f t="shared" si="235"/>
        <v>10.84445974769482</v>
      </c>
      <c r="CK92" s="1388">
        <f t="shared" si="235"/>
        <v>10.851957580819162</v>
      </c>
      <c r="CL92" s="1388">
        <f t="shared" si="235"/>
        <v>10.854499013417151</v>
      </c>
      <c r="CM92" s="1388">
        <f t="shared" si="235"/>
        <v>10.857041041196203</v>
      </c>
      <c r="CN92" s="1388">
        <f t="shared" si="235"/>
        <v>10.859583664295704</v>
      </c>
      <c r="CO92" s="1388">
        <f t="shared" si="235"/>
        <v>10.862126882855071</v>
      </c>
      <c r="CP92" s="1388">
        <f t="shared" si="235"/>
        <v>10.864670697013759</v>
      </c>
      <c r="CQ92" s="1388">
        <f t="shared" si="235"/>
        <v>10.868526091607942</v>
      </c>
      <c r="CR92" s="1388">
        <f t="shared" si="235"/>
        <v>10.872382854312388</v>
      </c>
      <c r="CS92" s="1388">
        <f t="shared" si="235"/>
        <v>10.876240985612579</v>
      </c>
      <c r="CT92" s="1388">
        <f t="shared" si="235"/>
        <v>10.88010048599417</v>
      </c>
      <c r="CU92" s="1388">
        <f t="shared" si="235"/>
        <v>10.883961355942985</v>
      </c>
      <c r="CV92" s="1388">
        <f t="shared" si="235"/>
        <v>10.889903251140053</v>
      </c>
      <c r="CW92" s="1388">
        <f t="shared" si="235"/>
        <v>10.895848390203703</v>
      </c>
      <c r="CX92" s="1388">
        <f t="shared" si="235"/>
        <v>10.901796774904867</v>
      </c>
      <c r="CY92" s="1388">
        <f t="shared" si="235"/>
        <v>10.907748407015436</v>
      </c>
      <c r="CZ92" s="1388">
        <f t="shared" si="235"/>
        <v>10.913703288308273</v>
      </c>
    </row>
    <row r="93" spans="1:104" x14ac:dyDescent="0.25">
      <c r="A93" s="868" t="str">
        <f>'HyARC Physical Property Data'!A75</f>
        <v>Bio Methane</v>
      </c>
      <c r="B93" s="260">
        <v>2007</v>
      </c>
      <c r="C93" s="869">
        <f t="shared" si="221"/>
        <v>1.1446359956438654</v>
      </c>
      <c r="D93" s="1245" t="str">
        <f>'HyARC Physical Property Data'!H75</f>
        <v>mmBtu</v>
      </c>
      <c r="E93" s="869" t="s">
        <v>1059</v>
      </c>
      <c r="F93" s="260">
        <f>'HyARC Physical Property Data'!$E$6</f>
        <v>47.141269049911173</v>
      </c>
      <c r="G93" s="260">
        <f>'HyARC Physical Property Data'!$I$6</f>
        <v>52.224661236371581</v>
      </c>
      <c r="H93" s="1056">
        <v>12.42654028436019</v>
      </c>
      <c r="I93" s="1056">
        <v>12.42654028436019</v>
      </c>
      <c r="J93" s="1056">
        <v>12.42654028436019</v>
      </c>
      <c r="K93" s="1056">
        <v>12.42654028436019</v>
      </c>
      <c r="L93" s="1056">
        <v>12.42654028436019</v>
      </c>
      <c r="M93" s="1056">
        <v>12.42654028436019</v>
      </c>
      <c r="N93" s="1056">
        <v>12.42654028436019</v>
      </c>
      <c r="O93" s="260">
        <f t="shared" ref="O93:AM93" si="236">13.11*($C$93/mmBTU_to_GJ)</f>
        <v>14.223865310797228</v>
      </c>
      <c r="P93" s="260">
        <f t="shared" si="236"/>
        <v>14.223865310797228</v>
      </c>
      <c r="Q93" s="260">
        <f t="shared" si="236"/>
        <v>14.223865310797228</v>
      </c>
      <c r="R93" s="260">
        <f t="shared" si="236"/>
        <v>14.223865310797228</v>
      </c>
      <c r="S93" s="260">
        <f t="shared" si="236"/>
        <v>14.223865310797228</v>
      </c>
      <c r="T93" s="260">
        <f t="shared" si="236"/>
        <v>14.223865310797228</v>
      </c>
      <c r="U93" s="260">
        <f t="shared" si="236"/>
        <v>14.223865310797228</v>
      </c>
      <c r="V93" s="260">
        <f t="shared" si="236"/>
        <v>14.223865310797228</v>
      </c>
      <c r="W93" s="260">
        <f t="shared" si="236"/>
        <v>14.223865310797228</v>
      </c>
      <c r="X93" s="260">
        <f t="shared" si="236"/>
        <v>14.223865310797228</v>
      </c>
      <c r="Y93" s="260">
        <f t="shared" si="236"/>
        <v>14.223865310797228</v>
      </c>
      <c r="Z93" s="260">
        <f t="shared" si="236"/>
        <v>14.223865310797228</v>
      </c>
      <c r="AA93" s="260">
        <f t="shared" si="236"/>
        <v>14.223865310797228</v>
      </c>
      <c r="AB93" s="260">
        <f t="shared" si="236"/>
        <v>14.223865310797228</v>
      </c>
      <c r="AC93" s="260">
        <f t="shared" si="236"/>
        <v>14.223865310797228</v>
      </c>
      <c r="AD93" s="260">
        <f t="shared" si="236"/>
        <v>14.223865310797228</v>
      </c>
      <c r="AE93" s="260">
        <f t="shared" si="236"/>
        <v>14.223865310797228</v>
      </c>
      <c r="AF93" s="260">
        <f t="shared" si="236"/>
        <v>14.223865310797228</v>
      </c>
      <c r="AG93" s="260">
        <f t="shared" si="236"/>
        <v>14.223865310797228</v>
      </c>
      <c r="AH93" s="260">
        <f t="shared" si="236"/>
        <v>14.223865310797228</v>
      </c>
      <c r="AI93" s="260">
        <f t="shared" si="236"/>
        <v>14.223865310797228</v>
      </c>
      <c r="AJ93" s="260">
        <f t="shared" si="236"/>
        <v>14.223865310797228</v>
      </c>
      <c r="AK93" s="260">
        <f t="shared" si="236"/>
        <v>14.223865310797228</v>
      </c>
      <c r="AL93" s="260">
        <f t="shared" si="236"/>
        <v>14.223865310797228</v>
      </c>
      <c r="AM93" s="260">
        <f t="shared" si="236"/>
        <v>14.223865310797228</v>
      </c>
      <c r="AN93" s="260">
        <f t="shared" ref="AN93:BV93" si="237">13.11*($C$93/mmBTU_to_GJ)</f>
        <v>14.223865310797228</v>
      </c>
      <c r="AO93" s="260">
        <f t="shared" si="237"/>
        <v>14.223865310797228</v>
      </c>
      <c r="AP93" s="260">
        <f t="shared" si="237"/>
        <v>14.223865310797228</v>
      </c>
      <c r="AQ93" s="260">
        <f t="shared" si="237"/>
        <v>14.223865310797228</v>
      </c>
      <c r="AR93" s="260">
        <f t="shared" si="237"/>
        <v>14.223865310797228</v>
      </c>
      <c r="AS93" s="260">
        <f t="shared" si="237"/>
        <v>14.223865310797228</v>
      </c>
      <c r="AT93" s="260">
        <f t="shared" si="237"/>
        <v>14.223865310797228</v>
      </c>
      <c r="AU93" s="260">
        <f t="shared" si="237"/>
        <v>14.223865310797228</v>
      </c>
      <c r="AV93" s="260">
        <f t="shared" si="237"/>
        <v>14.223865310797228</v>
      </c>
      <c r="AW93" s="260">
        <f t="shared" si="237"/>
        <v>14.223865310797228</v>
      </c>
      <c r="AX93" s="260">
        <f t="shared" si="237"/>
        <v>14.223865310797228</v>
      </c>
      <c r="AY93" s="260">
        <f t="shared" si="237"/>
        <v>14.223865310797228</v>
      </c>
      <c r="AZ93" s="260">
        <f t="shared" si="237"/>
        <v>14.223865310797228</v>
      </c>
      <c r="BA93" s="260">
        <f t="shared" si="237"/>
        <v>14.223865310797228</v>
      </c>
      <c r="BB93" s="260">
        <f t="shared" si="237"/>
        <v>14.223865310797228</v>
      </c>
      <c r="BC93" s="260">
        <f t="shared" si="237"/>
        <v>14.223865310797228</v>
      </c>
      <c r="BD93" s="260">
        <f t="shared" si="237"/>
        <v>14.223865310797228</v>
      </c>
      <c r="BE93" s="260">
        <f t="shared" si="237"/>
        <v>14.223865310797228</v>
      </c>
      <c r="BF93" s="260">
        <f t="shared" si="237"/>
        <v>14.223865310797228</v>
      </c>
      <c r="BG93" s="260">
        <f t="shared" si="237"/>
        <v>14.223865310797228</v>
      </c>
      <c r="BH93" s="260">
        <f t="shared" si="237"/>
        <v>14.223865310797228</v>
      </c>
      <c r="BI93" s="260">
        <f t="shared" si="237"/>
        <v>14.223865310797228</v>
      </c>
      <c r="BJ93" s="260">
        <f t="shared" si="237"/>
        <v>14.223865310797228</v>
      </c>
      <c r="BK93" s="260">
        <f t="shared" si="237"/>
        <v>14.223865310797228</v>
      </c>
      <c r="BL93" s="260">
        <f t="shared" si="237"/>
        <v>14.223865310797228</v>
      </c>
      <c r="BM93" s="260">
        <f t="shared" si="237"/>
        <v>14.223865310797228</v>
      </c>
      <c r="BN93" s="260">
        <f t="shared" si="237"/>
        <v>14.223865310797228</v>
      </c>
      <c r="BO93" s="260">
        <f t="shared" si="237"/>
        <v>14.223865310797228</v>
      </c>
      <c r="BP93" s="260">
        <f t="shared" si="237"/>
        <v>14.223865310797228</v>
      </c>
      <c r="BQ93" s="260">
        <f t="shared" si="237"/>
        <v>14.223865310797228</v>
      </c>
      <c r="BR93" s="260">
        <f t="shared" si="237"/>
        <v>14.223865310797228</v>
      </c>
      <c r="BS93" s="260">
        <f t="shared" si="237"/>
        <v>14.223865310797228</v>
      </c>
      <c r="BT93" s="260">
        <f t="shared" si="237"/>
        <v>14.223865310797228</v>
      </c>
      <c r="BU93" s="260">
        <f t="shared" si="237"/>
        <v>14.223865310797228</v>
      </c>
      <c r="BV93" s="871">
        <f t="shared" si="237"/>
        <v>14.223865310797228</v>
      </c>
      <c r="BW93" s="1388">
        <f>+BV93*BW$136/BV$136</f>
        <v>14.271092726019944</v>
      </c>
      <c r="BX93" s="1388">
        <f t="shared" ref="BX93:CZ93" si="238">+BW93*BX$136/BW$136</f>
        <v>14.318476950147966</v>
      </c>
      <c r="BY93" s="1388">
        <f t="shared" si="238"/>
        <v>14.366018503832969</v>
      </c>
      <c r="BZ93" s="1388">
        <f t="shared" si="238"/>
        <v>14.413717909455341</v>
      </c>
      <c r="CA93" s="1388">
        <f t="shared" si="238"/>
        <v>14.461575691129934</v>
      </c>
      <c r="CB93" s="1388">
        <f t="shared" si="238"/>
        <v>14.49243565590395</v>
      </c>
      <c r="CC93" s="1388">
        <f t="shared" si="238"/>
        <v>14.523361473628309</v>
      </c>
      <c r="CD93" s="1388">
        <f t="shared" si="238"/>
        <v>14.554353284828478</v>
      </c>
      <c r="CE93" s="1388">
        <f t="shared" si="238"/>
        <v>14.585411230329802</v>
      </c>
      <c r="CF93" s="1388">
        <f t="shared" si="238"/>
        <v>14.616535451258134</v>
      </c>
      <c r="CG93" s="1388">
        <f t="shared" si="238"/>
        <v>14.626641288360148</v>
      </c>
      <c r="CH93" s="1388">
        <f t="shared" si="238"/>
        <v>14.636754112613382</v>
      </c>
      <c r="CI93" s="1388">
        <f t="shared" si="238"/>
        <v>14.646873928848736</v>
      </c>
      <c r="CJ93" s="1388">
        <f t="shared" si="238"/>
        <v>14.657000741900452</v>
      </c>
      <c r="CK93" s="1388">
        <f t="shared" si="238"/>
        <v>14.667134556606111</v>
      </c>
      <c r="CL93" s="1388">
        <f t="shared" si="238"/>
        <v>14.670569469948116</v>
      </c>
      <c r="CM93" s="1388">
        <f t="shared" si="238"/>
        <v>14.674005187716483</v>
      </c>
      <c r="CN93" s="1388">
        <f t="shared" si="238"/>
        <v>14.6774417100996</v>
      </c>
      <c r="CO93" s="1388">
        <f t="shared" si="238"/>
        <v>14.6808790372859</v>
      </c>
      <c r="CP93" s="1388">
        <f t="shared" si="238"/>
        <v>14.684317169463862</v>
      </c>
      <c r="CQ93" s="1388">
        <f t="shared" si="238"/>
        <v>14.689527988881515</v>
      </c>
      <c r="CR93" s="1388">
        <f t="shared" si="238"/>
        <v>14.69474065739019</v>
      </c>
      <c r="CS93" s="1388">
        <f t="shared" si="238"/>
        <v>14.699955175646044</v>
      </c>
      <c r="CT93" s="1388">
        <f t="shared" si="238"/>
        <v>14.705171544305472</v>
      </c>
      <c r="CU93" s="1388">
        <f t="shared" si="238"/>
        <v>14.710389764025104</v>
      </c>
      <c r="CV93" s="1388">
        <f t="shared" si="238"/>
        <v>14.718420626266095</v>
      </c>
      <c r="CW93" s="1388">
        <f t="shared" si="238"/>
        <v>14.726455872806168</v>
      </c>
      <c r="CX93" s="1388">
        <f t="shared" si="238"/>
        <v>14.734495506038849</v>
      </c>
      <c r="CY93" s="1388">
        <f t="shared" si="238"/>
        <v>14.74253952835897</v>
      </c>
      <c r="CZ93" s="1388">
        <f t="shared" si="238"/>
        <v>14.750587942162673</v>
      </c>
    </row>
    <row r="94" spans="1:104" x14ac:dyDescent="0.25">
      <c r="A94" s="956" t="str">
        <f>'HyARC Physical Property Data'!A85</f>
        <v>Woody Biomass</v>
      </c>
      <c r="B94" s="260">
        <v>2005</v>
      </c>
      <c r="C94" s="869">
        <f t="shared" si="221"/>
        <v>1.2112501494873942</v>
      </c>
      <c r="D94" s="1247" t="str">
        <f>+'HyARC Physical Property Data'!$H$85</f>
        <v>kg</v>
      </c>
      <c r="E94" s="869" t="s">
        <v>1059</v>
      </c>
      <c r="F94" s="260">
        <f>'HyARC Physical Property Data'!$E$45</f>
        <v>19.551069237418005</v>
      </c>
      <c r="G94" s="260">
        <f>'HyARC Physical Property Data'!$I$45</f>
        <v>20.588656379262464</v>
      </c>
      <c r="H94" s="1056">
        <v>1.3438238843289665</v>
      </c>
      <c r="I94" s="1056">
        <v>1.3438238843289665</v>
      </c>
      <c r="J94" s="1056">
        <v>1.3438238843289665</v>
      </c>
      <c r="K94" s="1056">
        <v>1.3438238843289665</v>
      </c>
      <c r="L94" s="1056">
        <v>1.3438238843289665</v>
      </c>
      <c r="M94" s="1056">
        <v>1.3438238843289665</v>
      </c>
      <c r="N94" s="1056">
        <v>1.3438238843289665</v>
      </c>
      <c r="O94" s="260">
        <f>1.27*($C$94)</f>
        <v>1.5382876898489906</v>
      </c>
      <c r="P94" s="260">
        <f>1.28*($C$94)</f>
        <v>1.5504001913438645</v>
      </c>
      <c r="Q94" s="260">
        <f>1.32*($C$94)</f>
        <v>1.5988501973233604</v>
      </c>
      <c r="R94" s="260">
        <f>1.32*($C$94)</f>
        <v>1.5988501973233604</v>
      </c>
      <c r="S94" s="260">
        <f>1.34*($C$94)</f>
        <v>1.6230752003131084</v>
      </c>
      <c r="T94" s="260">
        <f>1.34*($C$94)</f>
        <v>1.6230752003131084</v>
      </c>
      <c r="U94" s="260">
        <f>1.36*($C$94)</f>
        <v>1.6473002033028561</v>
      </c>
      <c r="V94" s="260">
        <f>1.36*($C$94)</f>
        <v>1.6473002033028561</v>
      </c>
      <c r="W94" s="260">
        <f>1.38*($C$94)</f>
        <v>1.6715252062926038</v>
      </c>
      <c r="X94" s="260">
        <f>1.4*($C$94)</f>
        <v>1.6957502092823518</v>
      </c>
      <c r="Y94" s="260">
        <f>1.46*($C$94)</f>
        <v>1.7684252182515954</v>
      </c>
      <c r="Z94" s="260">
        <f>1.48*($C$94)</f>
        <v>1.7926502212413433</v>
      </c>
      <c r="AA94" s="260">
        <f>1.48*($C$94)</f>
        <v>1.7926502212413433</v>
      </c>
      <c r="AB94" s="260">
        <f>1.51*($C$94)</f>
        <v>1.8289877257259652</v>
      </c>
      <c r="AC94" s="260">
        <f>1.52*($C$94)</f>
        <v>1.8411002272208392</v>
      </c>
      <c r="AD94" s="260">
        <f>1.62*($C$94)</f>
        <v>1.9622252421695787</v>
      </c>
      <c r="AE94" s="260">
        <f>1.72*($C$94)</f>
        <v>2.083350257118318</v>
      </c>
      <c r="AF94" s="260">
        <f>1.82*($C$94)</f>
        <v>2.2044752720670573</v>
      </c>
      <c r="AG94" s="260">
        <f>1.91*($C$94)</f>
        <v>2.3134877855209228</v>
      </c>
      <c r="AH94" s="260">
        <f>2.01*($C$94)</f>
        <v>2.4346128004696621</v>
      </c>
      <c r="AI94" s="260">
        <f>2.11*($C$94)</f>
        <v>2.5557378154184014</v>
      </c>
      <c r="AJ94" s="260">
        <f>2.2*($C$94)</f>
        <v>2.6647503288722674</v>
      </c>
      <c r="AK94" s="260">
        <f>2.3*($C$94)</f>
        <v>2.7858753438210062</v>
      </c>
      <c r="AL94" s="260">
        <f>2.4*($C$94)</f>
        <v>2.9070003587697459</v>
      </c>
      <c r="AM94" s="260">
        <f>2.5*($C$94)</f>
        <v>3.0281253737184857</v>
      </c>
      <c r="AN94" s="260">
        <f>2.57*($C$94)</f>
        <v>3.1129128841826028</v>
      </c>
      <c r="AO94" s="260">
        <f>2.64*($C$94)</f>
        <v>3.1977003946467208</v>
      </c>
      <c r="AP94" s="260">
        <f>2.71*($C$94)</f>
        <v>3.282487905110838</v>
      </c>
      <c r="AQ94" s="260">
        <f>2.78*($C$94)</f>
        <v>3.3672754155749556</v>
      </c>
      <c r="AR94" s="260">
        <f>2.85*($C$94)</f>
        <v>3.4520629260390736</v>
      </c>
      <c r="AS94" s="260">
        <f>2.92*($C$94)</f>
        <v>3.5368504365031908</v>
      </c>
      <c r="AT94" s="260">
        <f>2.99*($C$94)</f>
        <v>3.6216379469673088</v>
      </c>
      <c r="AU94" s="260">
        <f>3.07*($C$94)</f>
        <v>3.7185379589263001</v>
      </c>
      <c r="AV94" s="260">
        <f>3.14*($C$94)</f>
        <v>3.8033254693904177</v>
      </c>
      <c r="AW94" s="260">
        <f>3.21*($C$94)</f>
        <v>3.8881129798545353</v>
      </c>
      <c r="AX94" s="260">
        <f>3.28*($C$94)</f>
        <v>3.9729004903186529</v>
      </c>
      <c r="AY94" s="260">
        <f>3.35*($C$94)</f>
        <v>4.0576880007827709</v>
      </c>
      <c r="AZ94" s="260">
        <f>3.42*($C$94)</f>
        <v>4.1424755112468876</v>
      </c>
      <c r="BA94" s="260">
        <f>3.49*($C$94)</f>
        <v>4.2272630217110061</v>
      </c>
      <c r="BB94" s="260">
        <f>3.56*($C$94)</f>
        <v>4.3120505321751237</v>
      </c>
      <c r="BC94" s="260">
        <f>3.64*($C$94)</f>
        <v>4.4089505441341146</v>
      </c>
      <c r="BD94" s="260">
        <f>3.71*($C$94)</f>
        <v>4.4937380545982322</v>
      </c>
      <c r="BE94" s="260">
        <f>3.78*($C$94)</f>
        <v>4.5785255650623498</v>
      </c>
      <c r="BF94" s="260">
        <f>3.85*($C$94)</f>
        <v>4.6633130755264673</v>
      </c>
      <c r="BG94" s="260">
        <f>3.92*($C$94)</f>
        <v>4.7481005859905849</v>
      </c>
      <c r="BH94" s="260">
        <f>3.99*($C$94)</f>
        <v>4.8328880964547034</v>
      </c>
      <c r="BI94" s="260">
        <f>4.06*($C$94)</f>
        <v>4.9176756069188201</v>
      </c>
      <c r="BJ94" s="260">
        <f>4.14*($C$94)</f>
        <v>5.0145756188778119</v>
      </c>
      <c r="BK94" s="260">
        <f>4.21*($C$94)</f>
        <v>5.0993631293419295</v>
      </c>
      <c r="BL94" s="260">
        <f>4.28*($C$94)</f>
        <v>5.1841506398060471</v>
      </c>
      <c r="BM94" s="260">
        <f>4.35*($C$94)</f>
        <v>5.2689381502701647</v>
      </c>
      <c r="BN94" s="260">
        <f>4.42*($C$94)</f>
        <v>5.3537256607342822</v>
      </c>
      <c r="BO94" s="260">
        <f>4.49*($C$94)</f>
        <v>5.4385131711983998</v>
      </c>
      <c r="BP94" s="260">
        <f>4.56*($C$94)</f>
        <v>5.5233006816625174</v>
      </c>
      <c r="BQ94" s="260">
        <f>4.63*($C$94)</f>
        <v>5.608088192126635</v>
      </c>
      <c r="BR94" s="260">
        <f>4.71*($C$94)</f>
        <v>5.7049882040856268</v>
      </c>
      <c r="BS94" s="260">
        <f>4.78*($C$94)</f>
        <v>5.7897757145497444</v>
      </c>
      <c r="BT94" s="260">
        <f>4.85*($C$94)</f>
        <v>5.8745632250138611</v>
      </c>
      <c r="BU94" s="260">
        <f>4.92*($C$94)</f>
        <v>5.9593507354779796</v>
      </c>
      <c r="BV94" s="871">
        <f>4.99*($C$94)</f>
        <v>6.0441382459420971</v>
      </c>
      <c r="BW94" s="1388">
        <f>+BV94*BW$137/BV$137</f>
        <v>6.0586659764672328</v>
      </c>
      <c r="BX94" s="1388">
        <f t="shared" ref="BX94:CZ94" si="239">+BW94*BX$137/BW$137</f>
        <v>6.0732286259412112</v>
      </c>
      <c r="BY94" s="1388">
        <f t="shared" si="239"/>
        <v>6.0878262782954495</v>
      </c>
      <c r="BZ94" s="1388">
        <f t="shared" si="239"/>
        <v>6.1024590176630999</v>
      </c>
      <c r="CA94" s="1388">
        <f t="shared" si="239"/>
        <v>6.1171269283795393</v>
      </c>
      <c r="CB94" s="1388">
        <f t="shared" si="239"/>
        <v>6.1299667153690152</v>
      </c>
      <c r="CC94" s="1388">
        <f t="shared" si="239"/>
        <v>6.1428334529403346</v>
      </c>
      <c r="CD94" s="1388">
        <f t="shared" si="239"/>
        <v>6.155727197662495</v>
      </c>
      <c r="CE94" s="1388">
        <f t="shared" si="239"/>
        <v>6.1686480062232301</v>
      </c>
      <c r="CF94" s="1388">
        <f t="shared" si="239"/>
        <v>6.18159593542926</v>
      </c>
      <c r="CG94" s="1388">
        <f t="shared" si="239"/>
        <v>6.197524392005751</v>
      </c>
      <c r="CH94" s="1388">
        <f t="shared" si="239"/>
        <v>6.2134938923080965</v>
      </c>
      <c r="CI94" s="1388">
        <f t="shared" si="239"/>
        <v>6.229504542095909</v>
      </c>
      <c r="CJ94" s="1388">
        <f t="shared" si="239"/>
        <v>6.245556447401321</v>
      </c>
      <c r="CK94" s="1388">
        <f t="shared" si="239"/>
        <v>6.2616497145296828</v>
      </c>
      <c r="CL94" s="1388">
        <f t="shared" si="239"/>
        <v>6.2750522655841658</v>
      </c>
      <c r="CM94" s="1388">
        <f t="shared" si="239"/>
        <v>6.2884835037072264</v>
      </c>
      <c r="CN94" s="1388">
        <f t="shared" si="239"/>
        <v>6.3019434903011975</v>
      </c>
      <c r="CO94" s="1388">
        <f t="shared" si="239"/>
        <v>6.3154322868998385</v>
      </c>
      <c r="CP94" s="1388">
        <f t="shared" si="239"/>
        <v>6.3289499551686168</v>
      </c>
      <c r="CQ94" s="1388">
        <f t="shared" si="239"/>
        <v>6.3413225489579119</v>
      </c>
      <c r="CR94" s="1388">
        <f t="shared" si="239"/>
        <v>6.3537193301840116</v>
      </c>
      <c r="CS94" s="1388">
        <f t="shared" si="239"/>
        <v>6.3661403461314299</v>
      </c>
      <c r="CT94" s="1388">
        <f t="shared" si="239"/>
        <v>6.3785856441771198</v>
      </c>
      <c r="CU94" s="1388">
        <f t="shared" si="239"/>
        <v>6.3910552717906537</v>
      </c>
      <c r="CV94" s="1388">
        <f t="shared" si="239"/>
        <v>6.4057772391562917</v>
      </c>
      <c r="CW94" s="1388">
        <f t="shared" si="239"/>
        <v>6.4205331189689208</v>
      </c>
      <c r="CX94" s="1388">
        <f t="shared" si="239"/>
        <v>6.4353229893467718</v>
      </c>
      <c r="CY94" s="1388">
        <f t="shared" si="239"/>
        <v>6.4501469285880244</v>
      </c>
      <c r="CZ94" s="1388">
        <f t="shared" si="239"/>
        <v>6.4650050151712186</v>
      </c>
    </row>
    <row r="95" spans="1:104" x14ac:dyDescent="0.25">
      <c r="A95" s="903" t="str">
        <f>'HyARC Physical Property Data'!A80</f>
        <v>Metallurgical Coal</v>
      </c>
      <c r="B95" s="260">
        <v>2012</v>
      </c>
      <c r="C95" s="869">
        <f t="shared" si="221"/>
        <v>1.0589185747008452</v>
      </c>
      <c r="D95" s="1246" t="str">
        <f>+'HyARC Physical Property Data'!H80</f>
        <v>kg</v>
      </c>
      <c r="E95" s="895" t="s">
        <v>1053</v>
      </c>
      <c r="F95" s="260">
        <f>'HyARC Physical Property Data'!$E$44</f>
        <v>28.610197070281195</v>
      </c>
      <c r="G95" s="260">
        <f>'HyARC Physical Property Data'!$I$44</f>
        <v>29.865267156269461</v>
      </c>
      <c r="H95" s="1057">
        <v>3.3844321322674711</v>
      </c>
      <c r="I95" s="1057">
        <v>3.3844321322674711</v>
      </c>
      <c r="J95" s="1057">
        <v>3.3844321322674711</v>
      </c>
      <c r="K95" s="1057">
        <v>3.3844321322674711</v>
      </c>
      <c r="L95" s="1057">
        <v>4.1181843560652975</v>
      </c>
      <c r="M95" s="1057">
        <v>4.3291381204071717</v>
      </c>
      <c r="N95" s="1057">
        <v>4.4025133427869543</v>
      </c>
      <c r="O95" s="957">
        <f t="shared" ref="O95:AR95" si="240">O111*($C95/mmBTU_to_GJ*$G95/$F95)</f>
        <v>7.4754647098413036</v>
      </c>
      <c r="P95" s="957">
        <f t="shared" si="240"/>
        <v>7.5961523788362539</v>
      </c>
      <c r="Q95" s="957">
        <f t="shared" si="240"/>
        <v>7.7888515723825718</v>
      </c>
      <c r="R95" s="957">
        <f t="shared" si="240"/>
        <v>7.8710115565120651</v>
      </c>
      <c r="S95" s="957">
        <f t="shared" si="240"/>
        <v>8.1298664269345355</v>
      </c>
      <c r="T95" s="957">
        <f t="shared" si="240"/>
        <v>8.3275528874219908</v>
      </c>
      <c r="U95" s="957">
        <f t="shared" si="240"/>
        <v>8.4326459175194799</v>
      </c>
      <c r="V95" s="957">
        <f t="shared" si="240"/>
        <v>8.5820072281905144</v>
      </c>
      <c r="W95" s="957">
        <f t="shared" si="240"/>
        <v>8.6973241555173413</v>
      </c>
      <c r="X95" s="957">
        <f t="shared" si="240"/>
        <v>8.8306675382480098</v>
      </c>
      <c r="Y95" s="957">
        <f t="shared" si="240"/>
        <v>8.9332721736007059</v>
      </c>
      <c r="Z95" s="957">
        <f t="shared" si="240"/>
        <v>9.0455694993887992</v>
      </c>
      <c r="AA95" s="957">
        <f t="shared" si="240"/>
        <v>9.1556508441725821</v>
      </c>
      <c r="AB95" s="957">
        <f t="shared" si="240"/>
        <v>9.2678109153452777</v>
      </c>
      <c r="AC95" s="957">
        <f t="shared" si="240"/>
        <v>9.379158984022304</v>
      </c>
      <c r="AD95" s="957">
        <f t="shared" si="240"/>
        <v>9.4759674931736608</v>
      </c>
      <c r="AE95" s="957">
        <f t="shared" si="240"/>
        <v>9.5858141430425672</v>
      </c>
      <c r="AF95" s="957">
        <f t="shared" si="240"/>
        <v>9.7090321165885385</v>
      </c>
      <c r="AG95" s="957">
        <f t="shared" si="240"/>
        <v>9.8280622527471682</v>
      </c>
      <c r="AH95" s="957">
        <f t="shared" si="240"/>
        <v>9.9673233001172399</v>
      </c>
      <c r="AI95" s="957">
        <f t="shared" si="240"/>
        <v>10.050780392749491</v>
      </c>
      <c r="AJ95" s="957">
        <f t="shared" si="240"/>
        <v>10.135476967900939</v>
      </c>
      <c r="AK95" s="957">
        <f t="shared" si="240"/>
        <v>10.225183860386949</v>
      </c>
      <c r="AL95" s="957">
        <f t="shared" si="240"/>
        <v>10.307087146953293</v>
      </c>
      <c r="AM95" s="957">
        <f t="shared" si="240"/>
        <v>10.409246490614819</v>
      </c>
      <c r="AN95" s="260">
        <f t="shared" si="240"/>
        <v>10.490880506676149</v>
      </c>
      <c r="AO95" s="260">
        <f t="shared" si="240"/>
        <v>10.58291758438844</v>
      </c>
      <c r="AP95" s="260">
        <f t="shared" si="240"/>
        <v>10.589678683878184</v>
      </c>
      <c r="AQ95" s="260">
        <f t="shared" si="240"/>
        <v>10.619779354456332</v>
      </c>
      <c r="AR95" s="260">
        <f t="shared" si="240"/>
        <v>10.683904501220734</v>
      </c>
      <c r="AS95" s="260">
        <f>($BB95-$AR95)/10+AR95</f>
        <v>10.706641272001209</v>
      </c>
      <c r="AT95" s="260">
        <f t="shared" ref="AT95:BA95" si="241">($BB95-$AR95)/10+AS95</f>
        <v>10.729378042781683</v>
      </c>
      <c r="AU95" s="260">
        <f t="shared" si="241"/>
        <v>10.752114813562157</v>
      </c>
      <c r="AV95" s="260">
        <f t="shared" si="241"/>
        <v>10.774851584342631</v>
      </c>
      <c r="AW95" s="260">
        <f t="shared" si="241"/>
        <v>10.797588355123105</v>
      </c>
      <c r="AX95" s="260">
        <f t="shared" si="241"/>
        <v>10.82032512590358</v>
      </c>
      <c r="AY95" s="260">
        <f t="shared" si="241"/>
        <v>10.843061896684054</v>
      </c>
      <c r="AZ95" s="260">
        <f t="shared" si="241"/>
        <v>10.865798667464528</v>
      </c>
      <c r="BA95" s="260">
        <f t="shared" si="241"/>
        <v>10.888535438245002</v>
      </c>
      <c r="BB95" s="931">
        <f>('AEO Data'!$B$28*AM95)</f>
        <v>10.911272209025483</v>
      </c>
      <c r="BC95" s="260">
        <f t="shared" ref="BC95:BP95" si="242">($BQ95-$BB95)/15+BB95</f>
        <v>10.949564626152206</v>
      </c>
      <c r="BD95" s="260">
        <f t="shared" si="242"/>
        <v>10.987857043278929</v>
      </c>
      <c r="BE95" s="260">
        <f t="shared" si="242"/>
        <v>11.026149460405652</v>
      </c>
      <c r="BF95" s="260">
        <f t="shared" si="242"/>
        <v>11.064441877532374</v>
      </c>
      <c r="BG95" s="260">
        <f t="shared" si="242"/>
        <v>11.102734294659097</v>
      </c>
      <c r="BH95" s="260">
        <f t="shared" si="242"/>
        <v>11.14102671178582</v>
      </c>
      <c r="BI95" s="260">
        <f t="shared" si="242"/>
        <v>11.179319128912542</v>
      </c>
      <c r="BJ95" s="260">
        <f t="shared" si="242"/>
        <v>11.217611546039265</v>
      </c>
      <c r="BK95" s="260">
        <f t="shared" si="242"/>
        <v>11.255903963165988</v>
      </c>
      <c r="BL95" s="260">
        <f t="shared" si="242"/>
        <v>11.294196380292711</v>
      </c>
      <c r="BM95" s="260">
        <f t="shared" si="242"/>
        <v>11.332488797419433</v>
      </c>
      <c r="BN95" s="260">
        <f t="shared" si="242"/>
        <v>11.370781214546156</v>
      </c>
      <c r="BO95" s="260">
        <f t="shared" si="242"/>
        <v>11.409073631672879</v>
      </c>
      <c r="BP95" s="260">
        <f t="shared" si="242"/>
        <v>11.447366048799601</v>
      </c>
      <c r="BQ95" s="931">
        <f>('AEO Data'!$C$28*BB95)</f>
        <v>11.485658465926328</v>
      </c>
      <c r="BR95" s="260">
        <f t="shared" ref="BR95:BU100" si="243">($BV95-$BQ95)/5+BQ95</f>
        <v>11.522480349055732</v>
      </c>
      <c r="BS95" s="260">
        <f t="shared" si="243"/>
        <v>11.559302232185136</v>
      </c>
      <c r="BT95" s="260">
        <f t="shared" si="243"/>
        <v>11.59612411531454</v>
      </c>
      <c r="BU95" s="260">
        <f t="shared" si="243"/>
        <v>11.632945998443944</v>
      </c>
      <c r="BV95" s="955">
        <f>('AEO Data'!$D$28*BQ95)</f>
        <v>11.669767881573351</v>
      </c>
      <c r="BW95" s="1388">
        <f t="shared" ref="BW95:CZ95" si="244">+BV95*BW$138/BV$138</f>
        <v>11.709222844508201</v>
      </c>
      <c r="BX95" s="1388">
        <f t="shared" si="244"/>
        <v>11.748811202906952</v>
      </c>
      <c r="BY95" s="1388">
        <f t="shared" si="244"/>
        <v>11.788533407773697</v>
      </c>
      <c r="BZ95" s="1388">
        <f t="shared" si="244"/>
        <v>11.828389911637355</v>
      </c>
      <c r="CA95" s="1388">
        <f t="shared" si="244"/>
        <v>11.868381168556825</v>
      </c>
      <c r="CB95" s="1388">
        <f t="shared" si="244"/>
        <v>11.902362207175498</v>
      </c>
      <c r="CC95" s="1388">
        <f t="shared" si="244"/>
        <v>11.936440538842751</v>
      </c>
      <c r="CD95" s="1388">
        <f t="shared" si="244"/>
        <v>11.970616442123857</v>
      </c>
      <c r="CE95" s="1388">
        <f t="shared" si="244"/>
        <v>12.004890196381666</v>
      </c>
      <c r="CF95" s="1388">
        <f t="shared" si="244"/>
        <v>12.039262081778887</v>
      </c>
      <c r="CG95" s="1388">
        <f t="shared" si="244"/>
        <v>12.065505052077379</v>
      </c>
      <c r="CH95" s="1388">
        <f t="shared" si="244"/>
        <v>12.091805226337826</v>
      </c>
      <c r="CI95" s="1388">
        <f t="shared" si="244"/>
        <v>12.118162729252409</v>
      </c>
      <c r="CJ95" s="1388">
        <f t="shared" si="244"/>
        <v>12.144577685785119</v>
      </c>
      <c r="CK95" s="1388">
        <f t="shared" si="244"/>
        <v>12.171050221172331</v>
      </c>
      <c r="CL95" s="1388">
        <f t="shared" si="244"/>
        <v>12.188996392854733</v>
      </c>
      <c r="CM95" s="1388">
        <f t="shared" si="244"/>
        <v>12.206969026105547</v>
      </c>
      <c r="CN95" s="1388">
        <f t="shared" si="244"/>
        <v>12.224968159942263</v>
      </c>
      <c r="CO95" s="1388">
        <f t="shared" si="244"/>
        <v>12.242993833439904</v>
      </c>
      <c r="CP95" s="1388">
        <f t="shared" si="244"/>
        <v>12.261046085731108</v>
      </c>
      <c r="CQ95" s="1388">
        <f t="shared" si="244"/>
        <v>12.267091502720543</v>
      </c>
      <c r="CR95" s="1388">
        <f t="shared" si="244"/>
        <v>12.273139900456183</v>
      </c>
      <c r="CS95" s="1388">
        <f t="shared" si="244"/>
        <v>12.27919128040771</v>
      </c>
      <c r="CT95" s="1388">
        <f t="shared" si="244"/>
        <v>12.285245644045531</v>
      </c>
      <c r="CU95" s="1388">
        <f t="shared" si="244"/>
        <v>12.291302992840782</v>
      </c>
      <c r="CV95" s="1388">
        <f t="shared" si="244"/>
        <v>12.282597276301862</v>
      </c>
      <c r="CW95" s="1388">
        <f t="shared" si="244"/>
        <v>12.273897725870841</v>
      </c>
      <c r="CX95" s="1388">
        <f t="shared" si="244"/>
        <v>12.26520433718037</v>
      </c>
      <c r="CY95" s="1388">
        <f t="shared" si="244"/>
        <v>12.256517105866193</v>
      </c>
      <c r="CZ95" s="1388">
        <f t="shared" si="244"/>
        <v>12.247836027567152</v>
      </c>
    </row>
    <row r="96" spans="1:104" x14ac:dyDescent="0.25">
      <c r="A96" s="903" t="str">
        <f>'HyARC Physical Property Data'!A81</f>
        <v>Other Industrial Coal</v>
      </c>
      <c r="B96" s="260">
        <v>2012</v>
      </c>
      <c r="C96" s="869">
        <f t="shared" si="221"/>
        <v>1.0589185747008452</v>
      </c>
      <c r="D96" s="1246" t="str">
        <f>+'HyARC Physical Property Data'!H81</f>
        <v>kg</v>
      </c>
      <c r="E96" s="895" t="s">
        <v>1053</v>
      </c>
      <c r="F96" s="260">
        <f>'HyARC Physical Property Data'!$E$42</f>
        <v>22.7322030001394</v>
      </c>
      <c r="G96" s="260">
        <f>'HyARC Physical Property Data'!$I$42</f>
        <v>23.967615189707661</v>
      </c>
      <c r="H96" s="1057">
        <v>1.7045706620386931</v>
      </c>
      <c r="I96" s="1057">
        <v>1.7045706620386931</v>
      </c>
      <c r="J96" s="1057">
        <v>1.7045706620386931</v>
      </c>
      <c r="K96" s="1057">
        <v>1.7045706620386931</v>
      </c>
      <c r="L96" s="1057">
        <v>1.9454339077615519</v>
      </c>
      <c r="M96" s="1057">
        <v>2.0288096466656182</v>
      </c>
      <c r="N96" s="1057">
        <v>1.8805861108361666</v>
      </c>
      <c r="O96" s="957">
        <f t="shared" ref="O96:AR96" si="245">O112*($C96/mmBTU_to_GJ*$G96/$F96)</f>
        <v>3.5000719734406505</v>
      </c>
      <c r="P96" s="957">
        <f t="shared" si="245"/>
        <v>3.4283630486034649</v>
      </c>
      <c r="Q96" s="957">
        <f t="shared" si="245"/>
        <v>3.5082354103172322</v>
      </c>
      <c r="R96" s="957">
        <f t="shared" si="245"/>
        <v>3.4729360065765973</v>
      </c>
      <c r="S96" s="957">
        <f t="shared" si="245"/>
        <v>3.5728444520840283</v>
      </c>
      <c r="T96" s="957">
        <f t="shared" si="245"/>
        <v>3.6374683095257363</v>
      </c>
      <c r="U96" s="957">
        <f t="shared" si="245"/>
        <v>3.6626327333639828</v>
      </c>
      <c r="V96" s="957">
        <f t="shared" si="245"/>
        <v>3.7258057129267965</v>
      </c>
      <c r="W96" s="957">
        <f t="shared" si="245"/>
        <v>3.7685626924606996</v>
      </c>
      <c r="X96" s="957">
        <f t="shared" si="245"/>
        <v>3.8026038220962977</v>
      </c>
      <c r="Y96" s="957">
        <f t="shared" si="245"/>
        <v>3.8249701999011396</v>
      </c>
      <c r="Z96" s="957">
        <f t="shared" si="245"/>
        <v>3.8516352399554865</v>
      </c>
      <c r="AA96" s="957">
        <f t="shared" si="245"/>
        <v>3.8787257015323093</v>
      </c>
      <c r="AB96" s="957">
        <f t="shared" si="245"/>
        <v>3.9124059636575477</v>
      </c>
      <c r="AC96" s="957">
        <f t="shared" si="245"/>
        <v>3.9446681540411968</v>
      </c>
      <c r="AD96" s="957">
        <f t="shared" si="245"/>
        <v>3.9749376361491651</v>
      </c>
      <c r="AE96" s="957">
        <f t="shared" si="245"/>
        <v>4.0052642644317942</v>
      </c>
      <c r="AF96" s="957">
        <f t="shared" si="245"/>
        <v>4.0387455732082129</v>
      </c>
      <c r="AG96" s="957">
        <f t="shared" si="245"/>
        <v>4.0690235214161303</v>
      </c>
      <c r="AH96" s="957">
        <f t="shared" si="245"/>
        <v>4.1108047829308205</v>
      </c>
      <c r="AI96" s="957">
        <f t="shared" si="245"/>
        <v>4.1436733577233733</v>
      </c>
      <c r="AJ96" s="957">
        <f t="shared" si="245"/>
        <v>4.1746317687147547</v>
      </c>
      <c r="AK96" s="957">
        <f t="shared" si="245"/>
        <v>4.2078082978929805</v>
      </c>
      <c r="AL96" s="957">
        <f t="shared" si="245"/>
        <v>4.2335251347529512</v>
      </c>
      <c r="AM96" s="957">
        <f t="shared" si="245"/>
        <v>4.2641893487710778</v>
      </c>
      <c r="AN96" s="260">
        <f t="shared" si="245"/>
        <v>4.2965838219664425</v>
      </c>
      <c r="AO96" s="260">
        <f t="shared" si="245"/>
        <v>4.3287105547508951</v>
      </c>
      <c r="AP96" s="260">
        <f t="shared" si="245"/>
        <v>4.3570423582328557</v>
      </c>
      <c r="AQ96" s="260">
        <f t="shared" si="245"/>
        <v>4.3910559730436169</v>
      </c>
      <c r="AR96" s="260">
        <f t="shared" si="245"/>
        <v>4.4340140224513274</v>
      </c>
      <c r="AS96" s="260">
        <f t="shared" ref="AS96:BA96" si="246">($BB96-$AR96)/10+AR96</f>
        <v>4.4375972389028373</v>
      </c>
      <c r="AT96" s="260">
        <f t="shared" si="246"/>
        <v>4.4411804553543472</v>
      </c>
      <c r="AU96" s="260">
        <f t="shared" si="246"/>
        <v>4.4447636718058572</v>
      </c>
      <c r="AV96" s="260">
        <f t="shared" si="246"/>
        <v>4.4483468882573671</v>
      </c>
      <c r="AW96" s="260">
        <f t="shared" si="246"/>
        <v>4.4519301047088771</v>
      </c>
      <c r="AX96" s="260">
        <f t="shared" si="246"/>
        <v>4.455513321160387</v>
      </c>
      <c r="AY96" s="260">
        <f t="shared" si="246"/>
        <v>4.4590965376118969</v>
      </c>
      <c r="AZ96" s="260">
        <f t="shared" si="246"/>
        <v>4.4626797540634069</v>
      </c>
      <c r="BA96" s="260">
        <f t="shared" si="246"/>
        <v>4.4662629705149168</v>
      </c>
      <c r="BB96" s="931">
        <f>('AEO Data'!$B$28*AM96)</f>
        <v>4.4698461869664294</v>
      </c>
      <c r="BC96" s="260">
        <f t="shared" ref="BC96:BP96" si="247">($BQ96-$BB96)/15+BB96</f>
        <v>4.4855328283960176</v>
      </c>
      <c r="BD96" s="260">
        <f t="shared" si="247"/>
        <v>4.5012194698256058</v>
      </c>
      <c r="BE96" s="260">
        <f t="shared" si="247"/>
        <v>4.516906111255194</v>
      </c>
      <c r="BF96" s="260">
        <f t="shared" si="247"/>
        <v>4.5325927526847822</v>
      </c>
      <c r="BG96" s="260">
        <f t="shared" si="247"/>
        <v>4.5482793941143704</v>
      </c>
      <c r="BH96" s="260">
        <f t="shared" si="247"/>
        <v>4.5639660355439586</v>
      </c>
      <c r="BI96" s="260">
        <f t="shared" si="247"/>
        <v>4.5796526769735468</v>
      </c>
      <c r="BJ96" s="260">
        <f t="shared" si="247"/>
        <v>4.595339318403135</v>
      </c>
      <c r="BK96" s="260">
        <f t="shared" si="247"/>
        <v>4.6110259598327232</v>
      </c>
      <c r="BL96" s="260">
        <f t="shared" si="247"/>
        <v>4.6267126012623114</v>
      </c>
      <c r="BM96" s="260">
        <f t="shared" si="247"/>
        <v>4.6423992426918996</v>
      </c>
      <c r="BN96" s="260">
        <f t="shared" si="247"/>
        <v>4.6580858841214878</v>
      </c>
      <c r="BO96" s="260">
        <f t="shared" si="247"/>
        <v>4.673772525551076</v>
      </c>
      <c r="BP96" s="260">
        <f t="shared" si="247"/>
        <v>4.6894591669806642</v>
      </c>
      <c r="BQ96" s="931">
        <f>('AEO Data'!$C$28*BB96)</f>
        <v>4.705145808410248</v>
      </c>
      <c r="BR96" s="260">
        <f t="shared" si="243"/>
        <v>4.7202300397216757</v>
      </c>
      <c r="BS96" s="260">
        <f t="shared" si="243"/>
        <v>4.7353142710331033</v>
      </c>
      <c r="BT96" s="260">
        <f t="shared" si="243"/>
        <v>4.750398502344531</v>
      </c>
      <c r="BU96" s="260">
        <f t="shared" si="243"/>
        <v>4.7654827336559586</v>
      </c>
      <c r="BV96" s="955">
        <f>('AEO Data'!$D$28*BQ96)</f>
        <v>4.7805669649673872</v>
      </c>
      <c r="BW96" s="1388">
        <f t="shared" ref="BW96:CZ96" si="248">+BV96*BW$138/BV$138</f>
        <v>4.7967298479248255</v>
      </c>
      <c r="BX96" s="1388">
        <f t="shared" si="248"/>
        <v>4.8129473768661839</v>
      </c>
      <c r="BY96" s="1388">
        <f t="shared" si="248"/>
        <v>4.8292197365470884</v>
      </c>
      <c r="BZ96" s="1388">
        <f t="shared" si="248"/>
        <v>4.8455471123478153</v>
      </c>
      <c r="CA96" s="1388">
        <f t="shared" si="248"/>
        <v>4.8619296902754039</v>
      </c>
      <c r="CB96" s="1388">
        <f t="shared" si="248"/>
        <v>4.8758501583004978</v>
      </c>
      <c r="CC96" s="1388">
        <f t="shared" si="248"/>
        <v>4.8898104828110576</v>
      </c>
      <c r="CD96" s="1388">
        <f t="shared" si="248"/>
        <v>4.9038107779224589</v>
      </c>
      <c r="CE96" s="1388">
        <f t="shared" si="248"/>
        <v>4.9178511580768074</v>
      </c>
      <c r="CF96" s="1388">
        <f t="shared" si="248"/>
        <v>4.9319317380438736</v>
      </c>
      <c r="CG96" s="1388">
        <f t="shared" si="248"/>
        <v>4.9426822755134054</v>
      </c>
      <c r="CH96" s="1388">
        <f t="shared" si="248"/>
        <v>4.9534562468141461</v>
      </c>
      <c r="CI96" s="1388">
        <f t="shared" si="248"/>
        <v>4.9642537030267464</v>
      </c>
      <c r="CJ96" s="1388">
        <f t="shared" si="248"/>
        <v>4.9750746953432019</v>
      </c>
      <c r="CK96" s="1388">
        <f t="shared" si="248"/>
        <v>4.9859192750670944</v>
      </c>
      <c r="CL96" s="1388">
        <f t="shared" si="248"/>
        <v>4.993270995886494</v>
      </c>
      <c r="CM96" s="1388">
        <f t="shared" si="248"/>
        <v>5.0006335567929519</v>
      </c>
      <c r="CN96" s="1388">
        <f t="shared" si="248"/>
        <v>5.0080069737701391</v>
      </c>
      <c r="CO96" s="1388">
        <f t="shared" si="248"/>
        <v>5.015391262825295</v>
      </c>
      <c r="CP96" s="1388">
        <f t="shared" si="248"/>
        <v>5.0227864399892601</v>
      </c>
      <c r="CQ96" s="1388">
        <f t="shared" si="248"/>
        <v>5.0252629691749675</v>
      </c>
      <c r="CR96" s="1388">
        <f t="shared" si="248"/>
        <v>5.0277407194352479</v>
      </c>
      <c r="CS96" s="1388">
        <f t="shared" si="248"/>
        <v>5.0302196913721628</v>
      </c>
      <c r="CT96" s="1388">
        <f t="shared" si="248"/>
        <v>5.0326998855880705</v>
      </c>
      <c r="CU96" s="1388">
        <f t="shared" si="248"/>
        <v>5.0351813026856274</v>
      </c>
      <c r="CV96" s="1388">
        <f t="shared" si="248"/>
        <v>5.0316149711771789</v>
      </c>
      <c r="CW96" s="1388">
        <f t="shared" si="248"/>
        <v>5.0280511656394289</v>
      </c>
      <c r="CX96" s="1388">
        <f t="shared" si="248"/>
        <v>5.024489884283275</v>
      </c>
      <c r="CY96" s="1388">
        <f t="shared" si="248"/>
        <v>5.0209311253208835</v>
      </c>
      <c r="CZ96" s="1388">
        <f t="shared" si="248"/>
        <v>5.0173748869656869</v>
      </c>
    </row>
    <row r="97" spans="1:104" x14ac:dyDescent="0.25">
      <c r="A97" s="903" t="str">
        <f>'HyARC Physical Property Data'!A79</f>
        <v>Electric Utility Steam Coal</v>
      </c>
      <c r="B97" s="260">
        <v>2012</v>
      </c>
      <c r="C97" s="869">
        <f t="shared" si="221"/>
        <v>1.0589185747008452</v>
      </c>
      <c r="D97" s="1247" t="str">
        <f>+'HyARC Physical Property Data'!$H$79</f>
        <v>kg</v>
      </c>
      <c r="E97" s="895" t="s">
        <v>1053</v>
      </c>
      <c r="F97" s="260">
        <f>'HyARC Physical Property Data'!$E$42</f>
        <v>22.7322030001394</v>
      </c>
      <c r="G97" s="260">
        <f>'HyARC Physical Property Data'!$I$42</f>
        <v>23.967615189707661</v>
      </c>
      <c r="H97" s="1056">
        <v>1.6675147780813302</v>
      </c>
      <c r="I97" s="1056">
        <v>1.6675147780813302</v>
      </c>
      <c r="J97" s="1056">
        <v>1.6675147780813302</v>
      </c>
      <c r="K97" s="1056">
        <v>1.6675147780813302</v>
      </c>
      <c r="L97" s="1056">
        <v>1.899114052814848</v>
      </c>
      <c r="M97" s="1056">
        <v>1.9917537627082553</v>
      </c>
      <c r="N97" s="1056">
        <v>1.8435302268788039</v>
      </c>
      <c r="O97" s="260">
        <f t="shared" ref="O97:AR97" si="249">O113*($C97/mmBTU_to_GJ*$G97/$F97)</f>
        <v>2.563508608233021</v>
      </c>
      <c r="P97" s="260">
        <f t="shared" si="249"/>
        <v>2.5292473599987289</v>
      </c>
      <c r="Q97" s="260">
        <f t="shared" si="249"/>
        <v>2.512156420725097</v>
      </c>
      <c r="R97" s="260">
        <f t="shared" si="249"/>
        <v>2.4655759388013712</v>
      </c>
      <c r="S97" s="260">
        <f t="shared" si="249"/>
        <v>2.5439953061112566</v>
      </c>
      <c r="T97" s="260">
        <f t="shared" si="249"/>
        <v>2.5633361114465441</v>
      </c>
      <c r="U97" s="260">
        <f t="shared" si="249"/>
        <v>2.6312374078313132</v>
      </c>
      <c r="V97" s="260">
        <f t="shared" si="249"/>
        <v>2.6989005951549947</v>
      </c>
      <c r="W97" s="260">
        <f t="shared" si="249"/>
        <v>2.7399495390240283</v>
      </c>
      <c r="X97" s="260">
        <f t="shared" si="249"/>
        <v>2.7634874134094223</v>
      </c>
      <c r="Y97" s="260">
        <f t="shared" si="249"/>
        <v>2.7969877709107278</v>
      </c>
      <c r="Z97" s="260">
        <f t="shared" si="249"/>
        <v>2.8315834300930369</v>
      </c>
      <c r="AA97" s="260">
        <f t="shared" si="249"/>
        <v>2.8599236996749471</v>
      </c>
      <c r="AB97" s="260">
        <f t="shared" si="249"/>
        <v>2.8986106016579902</v>
      </c>
      <c r="AC97" s="260">
        <f t="shared" si="249"/>
        <v>2.9354709425768672</v>
      </c>
      <c r="AD97" s="260">
        <f t="shared" si="249"/>
        <v>2.9708190263922138</v>
      </c>
      <c r="AE97" s="260">
        <f t="shared" si="249"/>
        <v>3.0020991491816877</v>
      </c>
      <c r="AF97" s="260">
        <f t="shared" si="249"/>
        <v>3.0319082871048861</v>
      </c>
      <c r="AG97" s="260">
        <f t="shared" si="249"/>
        <v>3.0598453586766876</v>
      </c>
      <c r="AH97" s="260">
        <f t="shared" si="249"/>
        <v>3.0960559264244187</v>
      </c>
      <c r="AI97" s="260">
        <f t="shared" si="249"/>
        <v>3.1212584477124392</v>
      </c>
      <c r="AJ97" s="260">
        <f t="shared" si="249"/>
        <v>3.1476800873932294</v>
      </c>
      <c r="AK97" s="260">
        <f t="shared" si="249"/>
        <v>3.1754446621785544</v>
      </c>
      <c r="AL97" s="260">
        <f t="shared" si="249"/>
        <v>3.2007075044287174</v>
      </c>
      <c r="AM97" s="260">
        <f t="shared" si="249"/>
        <v>3.2277789172806535</v>
      </c>
      <c r="AN97" s="260">
        <f t="shared" si="249"/>
        <v>3.2553731118044889</v>
      </c>
      <c r="AO97" s="260">
        <f t="shared" si="249"/>
        <v>3.279584041135891</v>
      </c>
      <c r="AP97" s="260">
        <f t="shared" si="249"/>
        <v>3.3026478139240969</v>
      </c>
      <c r="AQ97" s="260">
        <f t="shared" si="249"/>
        <v>3.3375450779171172</v>
      </c>
      <c r="AR97" s="260">
        <f t="shared" si="249"/>
        <v>3.3755134196669223</v>
      </c>
      <c r="AS97" s="260">
        <f t="shared" ref="AS97:BA97" si="250">($BB97-$AR97)/10+AR97</f>
        <v>3.3763071676042595</v>
      </c>
      <c r="AT97" s="260">
        <f t="shared" si="250"/>
        <v>3.3771009155415967</v>
      </c>
      <c r="AU97" s="260">
        <f t="shared" si="250"/>
        <v>3.377894663478934</v>
      </c>
      <c r="AV97" s="260">
        <f t="shared" si="250"/>
        <v>3.3786884114162712</v>
      </c>
      <c r="AW97" s="260">
        <f t="shared" si="250"/>
        <v>3.3794821593536084</v>
      </c>
      <c r="AX97" s="260">
        <f t="shared" si="250"/>
        <v>3.3802759072909456</v>
      </c>
      <c r="AY97" s="260">
        <f t="shared" si="250"/>
        <v>3.3810696552282828</v>
      </c>
      <c r="AZ97" s="260">
        <f t="shared" si="250"/>
        <v>3.3818634031656201</v>
      </c>
      <c r="BA97" s="260">
        <f t="shared" si="250"/>
        <v>3.3826571511029573</v>
      </c>
      <c r="BB97" s="931">
        <f>('AEO Data'!$B$28*AM97)</f>
        <v>3.3834508990402963</v>
      </c>
      <c r="BC97" s="260">
        <f t="shared" ref="BC97:BP97" si="251">($BQ97-$BB97)/15+BB97</f>
        <v>3.3953249051755909</v>
      </c>
      <c r="BD97" s="260">
        <f t="shared" si="251"/>
        <v>3.4071989113108856</v>
      </c>
      <c r="BE97" s="260">
        <f t="shared" si="251"/>
        <v>3.4190729174461802</v>
      </c>
      <c r="BF97" s="260">
        <f t="shared" si="251"/>
        <v>3.4309469235814749</v>
      </c>
      <c r="BG97" s="260">
        <f t="shared" si="251"/>
        <v>3.4428209297167696</v>
      </c>
      <c r="BH97" s="260">
        <f t="shared" si="251"/>
        <v>3.4546949358520642</v>
      </c>
      <c r="BI97" s="260">
        <f t="shared" si="251"/>
        <v>3.4665689419873589</v>
      </c>
      <c r="BJ97" s="260">
        <f t="shared" si="251"/>
        <v>3.4784429481226535</v>
      </c>
      <c r="BK97" s="260">
        <f t="shared" si="251"/>
        <v>3.4903169542579482</v>
      </c>
      <c r="BL97" s="260">
        <f t="shared" si="251"/>
        <v>3.5021909603932428</v>
      </c>
      <c r="BM97" s="260">
        <f t="shared" si="251"/>
        <v>3.5140649665285375</v>
      </c>
      <c r="BN97" s="260">
        <f t="shared" si="251"/>
        <v>3.5259389726638322</v>
      </c>
      <c r="BO97" s="260">
        <f t="shared" si="251"/>
        <v>3.5378129787991268</v>
      </c>
      <c r="BP97" s="260">
        <f t="shared" si="251"/>
        <v>3.5496869849344215</v>
      </c>
      <c r="BQ97" s="931">
        <f>('AEO Data'!$C$28*BB97)</f>
        <v>3.5615609910697135</v>
      </c>
      <c r="BR97" s="260">
        <f t="shared" si="243"/>
        <v>3.5729790027545003</v>
      </c>
      <c r="BS97" s="260">
        <f t="shared" si="243"/>
        <v>3.5843970144392872</v>
      </c>
      <c r="BT97" s="260">
        <f t="shared" si="243"/>
        <v>3.595815026124074</v>
      </c>
      <c r="BU97" s="260">
        <f t="shared" si="243"/>
        <v>3.6072330378088608</v>
      </c>
      <c r="BV97" s="955">
        <f>('AEO Data'!$D$28*BQ97)</f>
        <v>3.6186510494936472</v>
      </c>
      <c r="BW97" s="1388">
        <f t="shared" ref="BW97:CZ97" si="252">+BV97*BW$138/BV$138</f>
        <v>3.6308855467416481</v>
      </c>
      <c r="BX97" s="1388">
        <f t="shared" si="252"/>
        <v>3.6431614082772978</v>
      </c>
      <c r="BY97" s="1388">
        <f t="shared" si="252"/>
        <v>3.6554787739514016</v>
      </c>
      <c r="BZ97" s="1388">
        <f t="shared" si="252"/>
        <v>3.6678377840875944</v>
      </c>
      <c r="CA97" s="1388">
        <f t="shared" si="252"/>
        <v>3.6802385794839378</v>
      </c>
      <c r="CB97" s="1388">
        <f t="shared" si="252"/>
        <v>3.6907756803336049</v>
      </c>
      <c r="CC97" s="1388">
        <f t="shared" si="252"/>
        <v>3.701342950557327</v>
      </c>
      <c r="CD97" s="1388">
        <f t="shared" si="252"/>
        <v>3.7119404765347586</v>
      </c>
      <c r="CE97" s="1388">
        <f t="shared" si="252"/>
        <v>3.7225683448928724</v>
      </c>
      <c r="CF97" s="1388">
        <f t="shared" si="252"/>
        <v>3.7332266425066685</v>
      </c>
      <c r="CG97" s="1388">
        <f t="shared" si="252"/>
        <v>3.7413642638352314</v>
      </c>
      <c r="CH97" s="1388">
        <f t="shared" si="252"/>
        <v>3.7495196234066683</v>
      </c>
      <c r="CI97" s="1388">
        <f t="shared" si="252"/>
        <v>3.7576927598864862</v>
      </c>
      <c r="CJ97" s="1388">
        <f t="shared" si="252"/>
        <v>3.7658837120244759</v>
      </c>
      <c r="CK97" s="1388">
        <f t="shared" si="252"/>
        <v>3.7740925186548933</v>
      </c>
      <c r="CL97" s="1388">
        <f t="shared" si="252"/>
        <v>3.7796574050906777</v>
      </c>
      <c r="CM97" s="1388">
        <f t="shared" si="252"/>
        <v>3.785230496932368</v>
      </c>
      <c r="CN97" s="1388">
        <f t="shared" si="252"/>
        <v>3.7908118062788079</v>
      </c>
      <c r="CO97" s="1388">
        <f t="shared" si="252"/>
        <v>3.7964013452466796</v>
      </c>
      <c r="CP97" s="1388">
        <f t="shared" si="252"/>
        <v>3.8019991259705304</v>
      </c>
      <c r="CQ97" s="1388">
        <f t="shared" si="252"/>
        <v>3.803873735196305</v>
      </c>
      <c r="CR97" s="1388">
        <f t="shared" si="252"/>
        <v>3.8057492687147039</v>
      </c>
      <c r="CS97" s="1388">
        <f t="shared" si="252"/>
        <v>3.807625726981458</v>
      </c>
      <c r="CT97" s="1388">
        <f t="shared" si="252"/>
        <v>3.8095031104525217</v>
      </c>
      <c r="CU97" s="1388">
        <f t="shared" si="252"/>
        <v>3.8113814195840758</v>
      </c>
      <c r="CV97" s="1388">
        <f t="shared" si="252"/>
        <v>3.808681884288271</v>
      </c>
      <c r="CW97" s="1388">
        <f t="shared" si="252"/>
        <v>3.8059842610264538</v>
      </c>
      <c r="CX97" s="1388">
        <f t="shared" si="252"/>
        <v>3.8032885484443635</v>
      </c>
      <c r="CY97" s="1388">
        <f t="shared" si="252"/>
        <v>3.8005947451886986</v>
      </c>
      <c r="CZ97" s="1388">
        <f t="shared" si="252"/>
        <v>3.7979028499071168</v>
      </c>
    </row>
    <row r="98" spans="1:104" x14ac:dyDescent="0.25">
      <c r="A98" s="872" t="str">
        <f>'HyARC Physical Property Data'!A76</f>
        <v>Commercial Electricity</v>
      </c>
      <c r="B98" s="260">
        <v>2012</v>
      </c>
      <c r="C98" s="869">
        <f t="shared" si="221"/>
        <v>1.0589185747008452</v>
      </c>
      <c r="D98" s="1235" t="str">
        <f>'HyARC Physical Property Data'!$H$76</f>
        <v>kWh</v>
      </c>
      <c r="E98" s="869" t="s">
        <v>1072</v>
      </c>
      <c r="F98" s="873"/>
      <c r="G98" s="869"/>
      <c r="H98" s="1056">
        <v>26.706046857142852</v>
      </c>
      <c r="I98" s="1056">
        <v>26.706046857142852</v>
      </c>
      <c r="J98" s="1056">
        <v>26.706046857142852</v>
      </c>
      <c r="K98" s="1056">
        <v>26.706046857142852</v>
      </c>
      <c r="L98" s="1056">
        <v>28.244819428571425</v>
      </c>
      <c r="M98" s="1056">
        <v>26.82655314285714</v>
      </c>
      <c r="N98" s="1056">
        <v>25.371207999999996</v>
      </c>
      <c r="O98" s="260">
        <f>O114*($C98)</f>
        <v>32.330007136570579</v>
      </c>
      <c r="P98" s="260">
        <f t="shared" ref="P98:AR98" si="253">P114*($C98)</f>
        <v>31.294588082879496</v>
      </c>
      <c r="Q98" s="260">
        <f t="shared" si="253"/>
        <v>31.198589701652843</v>
      </c>
      <c r="R98" s="260">
        <f t="shared" si="253"/>
        <v>31.36496487027269</v>
      </c>
      <c r="S98" s="260">
        <f t="shared" si="253"/>
        <v>31.759086951346323</v>
      </c>
      <c r="T98" s="260">
        <f t="shared" si="253"/>
        <v>31.913488927642028</v>
      </c>
      <c r="U98" s="260">
        <f t="shared" si="253"/>
        <v>32.158172183779577</v>
      </c>
      <c r="V98" s="260">
        <f t="shared" si="253"/>
        <v>32.533567289859626</v>
      </c>
      <c r="W98" s="260">
        <f t="shared" si="253"/>
        <v>32.841645883227365</v>
      </c>
      <c r="X98" s="260">
        <f t="shared" si="253"/>
        <v>32.614198644730223</v>
      </c>
      <c r="Y98" s="260">
        <f t="shared" si="253"/>
        <v>32.436733421877534</v>
      </c>
      <c r="Z98" s="260">
        <f t="shared" si="253"/>
        <v>32.079793148717371</v>
      </c>
      <c r="AA98" s="260">
        <f t="shared" si="253"/>
        <v>31.936446282341542</v>
      </c>
      <c r="AB98" s="260">
        <f t="shared" si="253"/>
        <v>32.294334287626057</v>
      </c>
      <c r="AC98" s="260">
        <f t="shared" si="253"/>
        <v>32.349416055126277</v>
      </c>
      <c r="AD98" s="260">
        <f t="shared" si="253"/>
        <v>32.432684117247874</v>
      </c>
      <c r="AE98" s="260">
        <f t="shared" si="253"/>
        <v>32.648171929362348</v>
      </c>
      <c r="AF98" s="260">
        <f t="shared" si="253"/>
        <v>32.727937088838836</v>
      </c>
      <c r="AG98" s="260">
        <f t="shared" si="253"/>
        <v>32.843544524231802</v>
      </c>
      <c r="AH98" s="260">
        <f t="shared" si="253"/>
        <v>33.101402845275778</v>
      </c>
      <c r="AI98" s="260">
        <f t="shared" si="253"/>
        <v>33.362655000351673</v>
      </c>
      <c r="AJ98" s="260">
        <f t="shared" si="253"/>
        <v>33.40757114953476</v>
      </c>
      <c r="AK98" s="260">
        <f t="shared" si="253"/>
        <v>33.395441237261558</v>
      </c>
      <c r="AL98" s="260">
        <f t="shared" si="253"/>
        <v>33.59644198435555</v>
      </c>
      <c r="AM98" s="260">
        <f t="shared" si="253"/>
        <v>33.868319328409996</v>
      </c>
      <c r="AN98" s="260">
        <f t="shared" si="253"/>
        <v>34.152252460437403</v>
      </c>
      <c r="AO98" s="260">
        <f t="shared" si="253"/>
        <v>34.36864670685182</v>
      </c>
      <c r="AP98" s="260">
        <f t="shared" si="253"/>
        <v>34.442402503416886</v>
      </c>
      <c r="AQ98" s="260">
        <f t="shared" si="253"/>
        <v>34.677078979023513</v>
      </c>
      <c r="AR98" s="260">
        <f t="shared" si="253"/>
        <v>34.95210131124481</v>
      </c>
      <c r="AS98" s="260">
        <f t="shared" ref="AS98:BA98" si="254">($BB98-$AR98)/10+AR98</f>
        <v>34.759294585447087</v>
      </c>
      <c r="AT98" s="260">
        <f t="shared" si="254"/>
        <v>34.566487859649364</v>
      </c>
      <c r="AU98" s="260">
        <f t="shared" si="254"/>
        <v>34.37368113385164</v>
      </c>
      <c r="AV98" s="260">
        <f t="shared" si="254"/>
        <v>34.180874408053917</v>
      </c>
      <c r="AW98" s="260">
        <f t="shared" si="254"/>
        <v>33.988067682256194</v>
      </c>
      <c r="AX98" s="260">
        <f t="shared" si="254"/>
        <v>33.795260956458471</v>
      </c>
      <c r="AY98" s="260">
        <f t="shared" si="254"/>
        <v>33.602454230660747</v>
      </c>
      <c r="AZ98" s="260">
        <f t="shared" si="254"/>
        <v>33.409647504863024</v>
      </c>
      <c r="BA98" s="260">
        <f t="shared" si="254"/>
        <v>33.216840779065301</v>
      </c>
      <c r="BB98" s="931">
        <f>'AEO Data'!$B$33*AM98</f>
        <v>33.024034053267563</v>
      </c>
      <c r="BC98" s="260">
        <f t="shared" ref="BC98:BP98" si="255">($BQ98-$BB98)/15+BB98</f>
        <v>33.043274641864315</v>
      </c>
      <c r="BD98" s="260">
        <f t="shared" si="255"/>
        <v>33.062515230461067</v>
      </c>
      <c r="BE98" s="260">
        <f t="shared" si="255"/>
        <v>33.081755819057818</v>
      </c>
      <c r="BF98" s="260">
        <f t="shared" si="255"/>
        <v>33.10099640765457</v>
      </c>
      <c r="BG98" s="260">
        <f t="shared" si="255"/>
        <v>33.120236996251322</v>
      </c>
      <c r="BH98" s="260">
        <f t="shared" si="255"/>
        <v>33.139477584848073</v>
      </c>
      <c r="BI98" s="260">
        <f t="shared" si="255"/>
        <v>33.158718173444825</v>
      </c>
      <c r="BJ98" s="260">
        <f t="shared" si="255"/>
        <v>33.177958762041577</v>
      </c>
      <c r="BK98" s="260">
        <f t="shared" si="255"/>
        <v>33.197199350638328</v>
      </c>
      <c r="BL98" s="260">
        <f t="shared" si="255"/>
        <v>33.21643993923508</v>
      </c>
      <c r="BM98" s="260">
        <f t="shared" si="255"/>
        <v>33.235680527831832</v>
      </c>
      <c r="BN98" s="260">
        <f t="shared" si="255"/>
        <v>33.254921116428584</v>
      </c>
      <c r="BO98" s="260">
        <f t="shared" si="255"/>
        <v>33.274161705025335</v>
      </c>
      <c r="BP98" s="260">
        <f t="shared" si="255"/>
        <v>33.293402293622087</v>
      </c>
      <c r="BQ98" s="931">
        <f>'AEO Data'!$C$33*BB98</f>
        <v>33.312642882218888</v>
      </c>
      <c r="BR98" s="260">
        <f t="shared" si="243"/>
        <v>33.29021180684974</v>
      </c>
      <c r="BS98" s="260">
        <f t="shared" si="243"/>
        <v>33.267780731480592</v>
      </c>
      <c r="BT98" s="260">
        <f t="shared" si="243"/>
        <v>33.245349656111443</v>
      </c>
      <c r="BU98" s="260">
        <f t="shared" si="243"/>
        <v>33.222918580742295</v>
      </c>
      <c r="BV98" s="955">
        <f>'AEO Data'!$D$33*BQ98</f>
        <v>33.200487505373161</v>
      </c>
      <c r="BW98" s="1388">
        <f>+BV98*BW$139/BV$139</f>
        <v>33.185869205539639</v>
      </c>
      <c r="BX98" s="1388">
        <f t="shared" ref="BX98:CZ98" si="256">+BW98*BX$139/BW$139</f>
        <v>33.171257342198651</v>
      </c>
      <c r="BY98" s="1388">
        <f t="shared" si="256"/>
        <v>33.156651912516189</v>
      </c>
      <c r="BZ98" s="1388">
        <f t="shared" si="256"/>
        <v>33.142052913659484</v>
      </c>
      <c r="CA98" s="1388">
        <f t="shared" si="256"/>
        <v>33.127460342797029</v>
      </c>
      <c r="CB98" s="1388">
        <f t="shared" si="256"/>
        <v>33.100925764400195</v>
      </c>
      <c r="CC98" s="1388">
        <f t="shared" si="256"/>
        <v>33.074412439786272</v>
      </c>
      <c r="CD98" s="1388">
        <f t="shared" si="256"/>
        <v>33.047920351931317</v>
      </c>
      <c r="CE98" s="1388">
        <f t="shared" si="256"/>
        <v>33.021449483825023</v>
      </c>
      <c r="CF98" s="1388">
        <f t="shared" si="256"/>
        <v>32.994999818470696</v>
      </c>
      <c r="CG98" s="1388">
        <f t="shared" si="256"/>
        <v>32.958563922192354</v>
      </c>
      <c r="CH98" s="1388">
        <f t="shared" si="256"/>
        <v>32.922168261541977</v>
      </c>
      <c r="CI98" s="1388">
        <f t="shared" si="256"/>
        <v>32.885812792087954</v>
      </c>
      <c r="CJ98" s="1388">
        <f t="shared" si="256"/>
        <v>32.849497469447741</v>
      </c>
      <c r="CK98" s="1388">
        <f t="shared" si="256"/>
        <v>32.81322224928779</v>
      </c>
      <c r="CL98" s="1388">
        <f t="shared" si="256"/>
        <v>32.773673393987664</v>
      </c>
      <c r="CM98" s="1388">
        <f t="shared" si="256"/>
        <v>32.734172205812207</v>
      </c>
      <c r="CN98" s="1388">
        <f t="shared" si="256"/>
        <v>32.694718627309562</v>
      </c>
      <c r="CO98" s="1388">
        <f t="shared" si="256"/>
        <v>32.65531260109713</v>
      </c>
      <c r="CP98" s="1388">
        <f t="shared" si="256"/>
        <v>32.615954069861473</v>
      </c>
      <c r="CQ98" s="1388">
        <f t="shared" si="256"/>
        <v>32.57036661325251</v>
      </c>
      <c r="CR98" s="1388">
        <f t="shared" si="256"/>
        <v>32.524842874423982</v>
      </c>
      <c r="CS98" s="1388">
        <f t="shared" si="256"/>
        <v>32.479382764317279</v>
      </c>
      <c r="CT98" s="1388">
        <f t="shared" si="256"/>
        <v>32.433986193998265</v>
      </c>
      <c r="CU98" s="1388">
        <f t="shared" si="256"/>
        <v>32.388653074657114</v>
      </c>
      <c r="CV98" s="1388">
        <f t="shared" si="256"/>
        <v>32.344399879459552</v>
      </c>
      <c r="CW98" s="1388">
        <f t="shared" si="256"/>
        <v>32.300207148193003</v>
      </c>
      <c r="CX98" s="1388">
        <f t="shared" si="256"/>
        <v>32.256074798244526</v>
      </c>
      <c r="CY98" s="1388">
        <f t="shared" si="256"/>
        <v>32.212002747114042</v>
      </c>
      <c r="CZ98" s="1388">
        <f t="shared" si="256"/>
        <v>32.167990912414197</v>
      </c>
    </row>
    <row r="99" spans="1:104" x14ac:dyDescent="0.25">
      <c r="A99" s="872" t="str">
        <f>'HyARC Physical Property Data'!A77</f>
        <v>Industrial Electricity</v>
      </c>
      <c r="B99" s="260">
        <v>2012</v>
      </c>
      <c r="C99" s="869">
        <f t="shared" si="221"/>
        <v>1.0589185747008452</v>
      </c>
      <c r="D99" s="1235" t="str">
        <f>'HyARC Physical Property Data'!$H$77</f>
        <v>kWh</v>
      </c>
      <c r="E99" s="869" t="s">
        <v>1072</v>
      </c>
      <c r="F99" s="880"/>
      <c r="G99" s="222"/>
      <c r="H99" s="1056">
        <v>17.630996571428568</v>
      </c>
      <c r="I99" s="1056">
        <v>17.630996571428568</v>
      </c>
      <c r="J99" s="1056">
        <v>17.630996571428568</v>
      </c>
      <c r="K99" s="1056">
        <v>17.630996571428568</v>
      </c>
      <c r="L99" s="1056">
        <v>18.734092571428569</v>
      </c>
      <c r="M99" s="1056">
        <v>18.576507428571425</v>
      </c>
      <c r="N99" s="1056">
        <v>17.751502857142853</v>
      </c>
      <c r="O99" s="260">
        <f t="shared" ref="O99:AR99" si="257">O115*($C99)</f>
        <v>21.546913279081487</v>
      </c>
      <c r="P99" s="260">
        <f t="shared" si="257"/>
        <v>20.644255082774947</v>
      </c>
      <c r="Q99" s="260">
        <f t="shared" si="257"/>
        <v>21.265150930132211</v>
      </c>
      <c r="R99" s="260">
        <f t="shared" si="257"/>
        <v>21.043453619495697</v>
      </c>
      <c r="S99" s="260">
        <f t="shared" si="257"/>
        <v>21.290934538507603</v>
      </c>
      <c r="T99" s="260">
        <f t="shared" si="257"/>
        <v>21.295208333875095</v>
      </c>
      <c r="U99" s="260">
        <f t="shared" si="257"/>
        <v>21.481681777042766</v>
      </c>
      <c r="V99" s="260">
        <f t="shared" si="257"/>
        <v>21.805181401613872</v>
      </c>
      <c r="W99" s="260">
        <f t="shared" si="257"/>
        <v>22.088499301949383</v>
      </c>
      <c r="X99" s="260">
        <f t="shared" si="257"/>
        <v>21.993341702071042</v>
      </c>
      <c r="Y99" s="260">
        <f t="shared" si="257"/>
        <v>21.973911605143858</v>
      </c>
      <c r="Z99" s="260">
        <f t="shared" si="257"/>
        <v>21.871052490471715</v>
      </c>
      <c r="AA99" s="260">
        <f t="shared" si="257"/>
        <v>21.880460982007932</v>
      </c>
      <c r="AB99" s="260">
        <f t="shared" si="257"/>
        <v>22.180329779666014</v>
      </c>
      <c r="AC99" s="260">
        <f t="shared" si="257"/>
        <v>22.321195599821319</v>
      </c>
      <c r="AD99" s="260">
        <f t="shared" si="257"/>
        <v>22.488160586087275</v>
      </c>
      <c r="AE99" s="260">
        <f t="shared" si="257"/>
        <v>22.726148300076993</v>
      </c>
      <c r="AF99" s="260">
        <f t="shared" si="257"/>
        <v>22.858293925769633</v>
      </c>
      <c r="AG99" s="260">
        <f t="shared" si="257"/>
        <v>23.018536896923386</v>
      </c>
      <c r="AH99" s="260">
        <f t="shared" si="257"/>
        <v>23.283823531768892</v>
      </c>
      <c r="AI99" s="260">
        <f t="shared" si="257"/>
        <v>23.547517553078045</v>
      </c>
      <c r="AJ99" s="260">
        <f t="shared" si="257"/>
        <v>23.658798247174783</v>
      </c>
      <c r="AK99" s="260">
        <f t="shared" si="257"/>
        <v>23.759156196173482</v>
      </c>
      <c r="AL99" s="260">
        <f t="shared" si="257"/>
        <v>23.989354505127697</v>
      </c>
      <c r="AM99" s="260">
        <f t="shared" si="257"/>
        <v>24.26178778143386</v>
      </c>
      <c r="AN99" s="260">
        <f t="shared" si="257"/>
        <v>24.557527855569184</v>
      </c>
      <c r="AO99" s="260">
        <f t="shared" si="257"/>
        <v>24.788558474523114</v>
      </c>
      <c r="AP99" s="260">
        <f t="shared" si="257"/>
        <v>24.907507856937837</v>
      </c>
      <c r="AQ99" s="260">
        <f t="shared" si="257"/>
        <v>25.164130420005137</v>
      </c>
      <c r="AR99" s="260">
        <f t="shared" si="257"/>
        <v>25.469928102762971</v>
      </c>
      <c r="AS99" s="260">
        <f t="shared" ref="AS99:BA99" si="258">($BB99-$AR99)/10+AR99</f>
        <v>25.288633153422833</v>
      </c>
      <c r="AT99" s="260">
        <f t="shared" si="258"/>
        <v>25.107338204082694</v>
      </c>
      <c r="AU99" s="260">
        <f t="shared" si="258"/>
        <v>24.926043254742556</v>
      </c>
      <c r="AV99" s="260">
        <f t="shared" si="258"/>
        <v>24.744748305402418</v>
      </c>
      <c r="AW99" s="260">
        <f t="shared" si="258"/>
        <v>24.563453356062279</v>
      </c>
      <c r="AX99" s="260">
        <f t="shared" si="258"/>
        <v>24.382158406722141</v>
      </c>
      <c r="AY99" s="260">
        <f t="shared" si="258"/>
        <v>24.200863457382003</v>
      </c>
      <c r="AZ99" s="260">
        <f t="shared" si="258"/>
        <v>24.019568508041864</v>
      </c>
      <c r="BA99" s="260">
        <f t="shared" si="258"/>
        <v>23.838273558701726</v>
      </c>
      <c r="BB99" s="931">
        <f>'AEO Data'!$B$33*AM99</f>
        <v>23.65697860936158</v>
      </c>
      <c r="BC99" s="260">
        <f t="shared" ref="BC99:BP99" si="259">($BQ99-$BB99)/15+BB99</f>
        <v>23.670761728411506</v>
      </c>
      <c r="BD99" s="260">
        <f t="shared" si="259"/>
        <v>23.684544847461432</v>
      </c>
      <c r="BE99" s="260">
        <f t="shared" si="259"/>
        <v>23.698327966511357</v>
      </c>
      <c r="BF99" s="260">
        <f t="shared" si="259"/>
        <v>23.712111085561283</v>
      </c>
      <c r="BG99" s="260">
        <f t="shared" si="259"/>
        <v>23.725894204611208</v>
      </c>
      <c r="BH99" s="260">
        <f t="shared" si="259"/>
        <v>23.739677323661134</v>
      </c>
      <c r="BI99" s="260">
        <f t="shared" si="259"/>
        <v>23.753460442711059</v>
      </c>
      <c r="BJ99" s="260">
        <f t="shared" si="259"/>
        <v>23.767243561760985</v>
      </c>
      <c r="BK99" s="260">
        <f t="shared" si="259"/>
        <v>23.781026680810911</v>
      </c>
      <c r="BL99" s="260">
        <f t="shared" si="259"/>
        <v>23.794809799860836</v>
      </c>
      <c r="BM99" s="260">
        <f t="shared" si="259"/>
        <v>23.808592918910762</v>
      </c>
      <c r="BN99" s="260">
        <f t="shared" si="259"/>
        <v>23.822376037960687</v>
      </c>
      <c r="BO99" s="260">
        <f t="shared" si="259"/>
        <v>23.836159157010613</v>
      </c>
      <c r="BP99" s="260">
        <f t="shared" si="259"/>
        <v>23.849942276060538</v>
      </c>
      <c r="BQ99" s="931">
        <f>'AEO Data'!$C$33*BB99</f>
        <v>23.863725395110453</v>
      </c>
      <c r="BR99" s="260">
        <f t="shared" si="243"/>
        <v>23.847656750397427</v>
      </c>
      <c r="BS99" s="260">
        <f t="shared" si="243"/>
        <v>23.8315881056844</v>
      </c>
      <c r="BT99" s="260">
        <f t="shared" si="243"/>
        <v>23.815519460971373</v>
      </c>
      <c r="BU99" s="260">
        <f t="shared" si="243"/>
        <v>23.799450816258346</v>
      </c>
      <c r="BV99" s="955">
        <f>'AEO Data'!$D$33*BQ99</f>
        <v>23.783382171545323</v>
      </c>
      <c r="BW99" s="1388">
        <f>+BV99*BW$140/BV$140</f>
        <v>23.79056855003947</v>
      </c>
      <c r="BX99" s="1388">
        <f t="shared" ref="BX99:CZ99" si="260">+BW99*BX$140/BW$140</f>
        <v>23.797757099967246</v>
      </c>
      <c r="BY99" s="1388">
        <f t="shared" si="260"/>
        <v>23.804947821984772</v>
      </c>
      <c r="BZ99" s="1388">
        <f t="shared" si="260"/>
        <v>23.812140716748367</v>
      </c>
      <c r="CA99" s="1388">
        <f t="shared" si="260"/>
        <v>23.819335784914539</v>
      </c>
      <c r="CB99" s="1388">
        <f t="shared" si="260"/>
        <v>23.816642001078176</v>
      </c>
      <c r="CC99" s="1388">
        <f t="shared" si="260"/>
        <v>23.813948521888062</v>
      </c>
      <c r="CD99" s="1388">
        <f t="shared" si="260"/>
        <v>23.811255347309746</v>
      </c>
      <c r="CE99" s="1388">
        <f t="shared" si="260"/>
        <v>23.808562477308776</v>
      </c>
      <c r="CF99" s="1388">
        <f t="shared" si="260"/>
        <v>23.805869911850717</v>
      </c>
      <c r="CG99" s="1388">
        <f t="shared" si="260"/>
        <v>23.795071358532098</v>
      </c>
      <c r="CH99" s="1388">
        <f t="shared" si="260"/>
        <v>23.784277703532847</v>
      </c>
      <c r="CI99" s="1388">
        <f t="shared" si="260"/>
        <v>23.773488944631048</v>
      </c>
      <c r="CJ99" s="1388">
        <f t="shared" si="260"/>
        <v>23.762705079605791</v>
      </c>
      <c r="CK99" s="1388">
        <f t="shared" si="260"/>
        <v>23.751926106237168</v>
      </c>
      <c r="CL99" s="1388">
        <f t="shared" si="260"/>
        <v>23.738702519984074</v>
      </c>
      <c r="CM99" s="1388">
        <f t="shared" si="260"/>
        <v>23.725486295796383</v>
      </c>
      <c r="CN99" s="1388">
        <f t="shared" si="260"/>
        <v>23.712277429575355</v>
      </c>
      <c r="CO99" s="1388">
        <f t="shared" si="260"/>
        <v>23.699075917224537</v>
      </c>
      <c r="CP99" s="1388">
        <f t="shared" si="260"/>
        <v>23.685881754649749</v>
      </c>
      <c r="CQ99" s="1388">
        <f t="shared" si="260"/>
        <v>23.667805095398695</v>
      </c>
      <c r="CR99" s="1388">
        <f t="shared" si="260"/>
        <v>23.649742231944352</v>
      </c>
      <c r="CS99" s="1388">
        <f t="shared" si="260"/>
        <v>23.631693153758011</v>
      </c>
      <c r="CT99" s="1388">
        <f t="shared" si="260"/>
        <v>23.613657850318987</v>
      </c>
      <c r="CU99" s="1388">
        <f t="shared" si="260"/>
        <v>23.595636311114628</v>
      </c>
      <c r="CV99" s="1388">
        <f t="shared" si="260"/>
        <v>23.578692647144699</v>
      </c>
      <c r="CW99" s="1388">
        <f t="shared" si="260"/>
        <v>23.561761150159583</v>
      </c>
      <c r="CX99" s="1388">
        <f t="shared" si="260"/>
        <v>23.544841811422359</v>
      </c>
      <c r="CY99" s="1388">
        <f t="shared" si="260"/>
        <v>23.527934622202373</v>
      </c>
      <c r="CZ99" s="1388">
        <f t="shared" si="260"/>
        <v>23.511039573775246</v>
      </c>
    </row>
    <row r="100" spans="1:104" ht="13.8" thickBot="1" x14ac:dyDescent="0.3">
      <c r="A100" s="874" t="str">
        <f>'HyARC Physical Property Data'!A78</f>
        <v>Residential Electricity</v>
      </c>
      <c r="B100" s="875">
        <v>2012</v>
      </c>
      <c r="C100" s="876">
        <f t="shared" si="221"/>
        <v>1.0589185747008452</v>
      </c>
      <c r="D100" s="1236" t="str">
        <f>'HyARC Physical Property Data'!$H$78</f>
        <v>kWh</v>
      </c>
      <c r="E100" s="876" t="s">
        <v>1072</v>
      </c>
      <c r="F100" s="881"/>
      <c r="G100" s="568"/>
      <c r="H100" s="1058">
        <v>29.496230857142855</v>
      </c>
      <c r="I100" s="1058">
        <v>29.496230857142855</v>
      </c>
      <c r="J100" s="1058">
        <v>29.496230857142855</v>
      </c>
      <c r="K100" s="1058">
        <v>29.496230857142855</v>
      </c>
      <c r="L100" s="1058">
        <v>30.858878857142852</v>
      </c>
      <c r="M100" s="1058">
        <v>29.96898628571428</v>
      </c>
      <c r="N100" s="1058">
        <v>28.680495999999998</v>
      </c>
      <c r="O100" s="875">
        <f t="shared" ref="O100:AR100" si="261">O116*($C100)</f>
        <v>37.012259165882554</v>
      </c>
      <c r="P100" s="875">
        <f t="shared" si="261"/>
        <v>36.883387716422881</v>
      </c>
      <c r="Q100" s="875">
        <f t="shared" si="261"/>
        <v>36.020153058652454</v>
      </c>
      <c r="R100" s="875">
        <f t="shared" si="261"/>
        <v>36.437036594489285</v>
      </c>
      <c r="S100" s="875">
        <f t="shared" si="261"/>
        <v>37.000471284308979</v>
      </c>
      <c r="T100" s="875">
        <f t="shared" si="261"/>
        <v>37.234901031887702</v>
      </c>
      <c r="U100" s="875">
        <f t="shared" si="261"/>
        <v>37.611895105015549</v>
      </c>
      <c r="V100" s="875">
        <f t="shared" si="261"/>
        <v>38.029256213129564</v>
      </c>
      <c r="W100" s="875">
        <f t="shared" si="261"/>
        <v>38.30980398247366</v>
      </c>
      <c r="X100" s="875">
        <f t="shared" si="261"/>
        <v>38.276616415423959</v>
      </c>
      <c r="Y100" s="875">
        <f t="shared" si="261"/>
        <v>38.186511974984086</v>
      </c>
      <c r="Z100" s="875">
        <f t="shared" si="261"/>
        <v>37.913659366922346</v>
      </c>
      <c r="AA100" s="875">
        <f t="shared" si="261"/>
        <v>37.798756112381561</v>
      </c>
      <c r="AB100" s="875">
        <f t="shared" si="261"/>
        <v>38.164246094113849</v>
      </c>
      <c r="AC100" s="875">
        <f t="shared" si="261"/>
        <v>38.270815659471751</v>
      </c>
      <c r="AD100" s="875">
        <f t="shared" si="261"/>
        <v>38.382554865311334</v>
      </c>
      <c r="AE100" s="875">
        <f t="shared" si="261"/>
        <v>38.619545078003675</v>
      </c>
      <c r="AF100" s="875">
        <f t="shared" si="261"/>
        <v>38.734851780521424</v>
      </c>
      <c r="AG100" s="875">
        <f t="shared" si="261"/>
        <v>38.88910974389097</v>
      </c>
      <c r="AH100" s="875">
        <f t="shared" si="261"/>
        <v>39.160747772347534</v>
      </c>
      <c r="AI100" s="875">
        <f t="shared" si="261"/>
        <v>39.451321382756888</v>
      </c>
      <c r="AJ100" s="875">
        <f t="shared" si="261"/>
        <v>39.535438697575401</v>
      </c>
      <c r="AK100" s="875">
        <f t="shared" si="261"/>
        <v>39.570735630425908</v>
      </c>
      <c r="AL100" s="875">
        <f t="shared" si="261"/>
        <v>39.780803897275057</v>
      </c>
      <c r="AM100" s="875">
        <f t="shared" si="261"/>
        <v>40.046078884016239</v>
      </c>
      <c r="AN100" s="875">
        <f t="shared" si="261"/>
        <v>40.326008244912707</v>
      </c>
      <c r="AO100" s="875">
        <f t="shared" si="261"/>
        <v>40.555429307633098</v>
      </c>
      <c r="AP100" s="875">
        <f t="shared" si="261"/>
        <v>40.630021649872177</v>
      </c>
      <c r="AQ100" s="875">
        <f t="shared" si="261"/>
        <v>40.855427293357288</v>
      </c>
      <c r="AR100" s="875">
        <f t="shared" si="261"/>
        <v>41.122689870263187</v>
      </c>
      <c r="AS100" s="875">
        <f t="shared" ref="AS100:BA100" si="262">($BB100-$AR100)/10+AR100</f>
        <v>40.915200036704469</v>
      </c>
      <c r="AT100" s="875">
        <f t="shared" si="262"/>
        <v>40.707710203145751</v>
      </c>
      <c r="AU100" s="875">
        <f t="shared" si="262"/>
        <v>40.500220369587034</v>
      </c>
      <c r="AV100" s="875">
        <f t="shared" si="262"/>
        <v>40.292730536028316</v>
      </c>
      <c r="AW100" s="875">
        <f t="shared" si="262"/>
        <v>40.085240702469598</v>
      </c>
      <c r="AX100" s="875">
        <f t="shared" si="262"/>
        <v>39.87775086891088</v>
      </c>
      <c r="AY100" s="875">
        <f t="shared" si="262"/>
        <v>39.670261035352162</v>
      </c>
      <c r="AZ100" s="875">
        <f t="shared" si="262"/>
        <v>39.462771201793444</v>
      </c>
      <c r="BA100" s="875">
        <f t="shared" si="262"/>
        <v>39.255281368234726</v>
      </c>
      <c r="BB100" s="960">
        <f>'AEO Data'!$B$33*AM100</f>
        <v>39.047791534675994</v>
      </c>
      <c r="BC100" s="875">
        <f t="shared" ref="BC100:BP100" si="263">($BQ100-$BB100)/15+BB100</f>
        <v>39.070541707817128</v>
      </c>
      <c r="BD100" s="875">
        <f t="shared" si="263"/>
        <v>39.093291880958262</v>
      </c>
      <c r="BE100" s="875">
        <f t="shared" si="263"/>
        <v>39.116042054099395</v>
      </c>
      <c r="BF100" s="875">
        <f t="shared" si="263"/>
        <v>39.138792227240529</v>
      </c>
      <c r="BG100" s="875">
        <f t="shared" si="263"/>
        <v>39.161542400381663</v>
      </c>
      <c r="BH100" s="875">
        <f t="shared" si="263"/>
        <v>39.184292573522796</v>
      </c>
      <c r="BI100" s="875">
        <f t="shared" si="263"/>
        <v>39.20704274666393</v>
      </c>
      <c r="BJ100" s="875">
        <f t="shared" si="263"/>
        <v>39.229792919805064</v>
      </c>
      <c r="BK100" s="875">
        <f t="shared" si="263"/>
        <v>39.252543092946198</v>
      </c>
      <c r="BL100" s="875">
        <f t="shared" si="263"/>
        <v>39.275293266087331</v>
      </c>
      <c r="BM100" s="875">
        <f t="shared" si="263"/>
        <v>39.298043439228465</v>
      </c>
      <c r="BN100" s="875">
        <f t="shared" si="263"/>
        <v>39.320793612369599</v>
      </c>
      <c r="BO100" s="875">
        <f t="shared" si="263"/>
        <v>39.343543785510732</v>
      </c>
      <c r="BP100" s="875">
        <f t="shared" si="263"/>
        <v>39.366293958651866</v>
      </c>
      <c r="BQ100" s="960">
        <f>'AEO Data'!$C$33*BB100</f>
        <v>39.389044131793007</v>
      </c>
      <c r="BR100" s="875">
        <f t="shared" si="243"/>
        <v>39.362521510313748</v>
      </c>
      <c r="BS100" s="875">
        <f t="shared" si="243"/>
        <v>39.335998888834489</v>
      </c>
      <c r="BT100" s="875">
        <f t="shared" si="243"/>
        <v>39.30947626735523</v>
      </c>
      <c r="BU100" s="875">
        <f t="shared" si="243"/>
        <v>39.28295364587597</v>
      </c>
      <c r="BV100" s="961">
        <f>'AEO Data'!$D$33*BQ100</f>
        <v>39.256431024396711</v>
      </c>
      <c r="BW100" s="1388">
        <f>+BV100*BW$141/BV$141</f>
        <v>39.239146269797381</v>
      </c>
      <c r="BX100" s="1388">
        <f t="shared" ref="BX100:CZ100" si="264">+BW100*BX$141/BW$141</f>
        <v>39.221869125740675</v>
      </c>
      <c r="BY100" s="1388">
        <f t="shared" si="264"/>
        <v>39.204599588875645</v>
      </c>
      <c r="BZ100" s="1388">
        <f t="shared" si="264"/>
        <v>39.187337655852808</v>
      </c>
      <c r="CA100" s="1388">
        <f t="shared" si="264"/>
        <v>39.170083323324171</v>
      </c>
      <c r="CB100" s="1388">
        <f t="shared" si="264"/>
        <v>39.138708698285058</v>
      </c>
      <c r="CC100" s="1388">
        <f t="shared" si="264"/>
        <v>39.107359203830633</v>
      </c>
      <c r="CD100" s="1388">
        <f t="shared" si="264"/>
        <v>39.076034819831698</v>
      </c>
      <c r="CE100" s="1388">
        <f t="shared" si="264"/>
        <v>39.044735526175167</v>
      </c>
      <c r="CF100" s="1388">
        <f t="shared" si="264"/>
        <v>39.013461302764064</v>
      </c>
      <c r="CG100" s="1388">
        <f t="shared" si="264"/>
        <v>38.970379307391816</v>
      </c>
      <c r="CH100" s="1388">
        <f t="shared" si="264"/>
        <v>38.927344886837673</v>
      </c>
      <c r="CI100" s="1388">
        <f t="shared" si="264"/>
        <v>38.884357988565462</v>
      </c>
      <c r="CJ100" s="1388">
        <f t="shared" si="264"/>
        <v>38.841418560097019</v>
      </c>
      <c r="CK100" s="1388">
        <f t="shared" si="264"/>
        <v>38.798526549012138</v>
      </c>
      <c r="CL100" s="1388">
        <f t="shared" si="264"/>
        <v>38.751763774521798</v>
      </c>
      <c r="CM100" s="1388">
        <f t="shared" si="264"/>
        <v>38.70505736189034</v>
      </c>
      <c r="CN100" s="1388">
        <f t="shared" si="264"/>
        <v>38.658407243186389</v>
      </c>
      <c r="CO100" s="1388">
        <f t="shared" si="264"/>
        <v>38.61181335056046</v>
      </c>
      <c r="CP100" s="1388">
        <f t="shared" si="264"/>
        <v>38.565275616244847</v>
      </c>
      <c r="CQ100" s="1388">
        <f t="shared" si="264"/>
        <v>38.511372767810535</v>
      </c>
      <c r="CR100" s="1388">
        <f t="shared" si="264"/>
        <v>38.457545259614896</v>
      </c>
      <c r="CS100" s="1388">
        <f t="shared" si="264"/>
        <v>38.403792986354553</v>
      </c>
      <c r="CT100" s="1388">
        <f t="shared" si="264"/>
        <v>38.350115842873322</v>
      </c>
      <c r="CU100" s="1388">
        <f t="shared" si="264"/>
        <v>38.296513724162004</v>
      </c>
      <c r="CV100" s="1388">
        <f t="shared" si="264"/>
        <v>38.244188513437287</v>
      </c>
      <c r="CW100" s="1388">
        <f t="shared" si="264"/>
        <v>38.191934795582569</v>
      </c>
      <c r="CX100" s="1388">
        <f t="shared" si="264"/>
        <v>38.139752472915873</v>
      </c>
      <c r="CY100" s="1388">
        <f t="shared" si="264"/>
        <v>38.087641447888679</v>
      </c>
      <c r="CZ100" s="1388">
        <f t="shared" si="264"/>
        <v>38.035601623085753</v>
      </c>
    </row>
    <row r="101" spans="1:104" ht="13.8" thickTop="1" x14ac:dyDescent="0.25">
      <c r="D101" s="1083"/>
    </row>
    <row r="102" spans="1:104" ht="13.8" thickBot="1" x14ac:dyDescent="0.3">
      <c r="D102" s="1083"/>
    </row>
    <row r="103" spans="1:104" s="1040" customFormat="1" x14ac:dyDescent="0.25">
      <c r="A103" s="1036" t="s">
        <v>1160</v>
      </c>
      <c r="B103" s="1037"/>
      <c r="C103" s="1038"/>
      <c r="D103" s="1239"/>
      <c r="E103" s="1038"/>
      <c r="F103" s="1037"/>
      <c r="G103" s="1037"/>
      <c r="H103" s="1037"/>
      <c r="I103" s="1037"/>
      <c r="J103" s="1037"/>
      <c r="K103" s="1037"/>
      <c r="L103" s="1037"/>
      <c r="M103" s="1037"/>
      <c r="N103" s="1037"/>
      <c r="O103" s="1037"/>
      <c r="P103" s="1037"/>
      <c r="Q103" s="1037"/>
      <c r="R103" s="1037"/>
      <c r="S103" s="1037"/>
      <c r="T103" s="1037"/>
      <c r="U103" s="1037"/>
      <c r="V103" s="1037"/>
      <c r="W103" s="1037"/>
      <c r="X103" s="1037"/>
      <c r="Y103" s="1037"/>
      <c r="Z103" s="1037"/>
      <c r="AA103" s="1037"/>
      <c r="AB103" s="1037"/>
      <c r="AC103" s="1037"/>
      <c r="AD103" s="1037"/>
      <c r="AE103" s="1037"/>
      <c r="AF103" s="1037"/>
      <c r="AG103" s="1037"/>
      <c r="AH103" s="1037"/>
      <c r="AI103" s="1037"/>
      <c r="AJ103" s="1037"/>
      <c r="AK103" s="1037"/>
      <c r="AL103" s="1037"/>
      <c r="AM103" s="1037"/>
      <c r="AN103" s="1037"/>
      <c r="AO103" s="1037"/>
      <c r="AP103" s="1037"/>
      <c r="AQ103" s="1037"/>
      <c r="AR103" s="1037"/>
      <c r="AS103" s="1037"/>
      <c r="AT103" s="1037"/>
      <c r="AU103" s="1037"/>
      <c r="AV103" s="1037"/>
      <c r="AW103" s="1037"/>
      <c r="AX103" s="1037"/>
      <c r="AY103" s="1037"/>
      <c r="AZ103" s="1037"/>
      <c r="BA103" s="1037"/>
      <c r="BB103" s="1037"/>
      <c r="BC103" s="1037"/>
      <c r="BD103" s="1037"/>
      <c r="BE103" s="1037"/>
      <c r="BF103" s="1037"/>
      <c r="BG103" s="1037"/>
      <c r="BH103" s="1037"/>
      <c r="BI103" s="1037"/>
      <c r="BJ103" s="1037"/>
      <c r="BK103" s="1037"/>
      <c r="BL103" s="1037"/>
      <c r="BM103" s="1037"/>
      <c r="BN103" s="1037"/>
      <c r="BO103" s="1037"/>
      <c r="BP103" s="1037"/>
      <c r="BQ103" s="1037"/>
      <c r="BR103" s="1037"/>
      <c r="BS103" s="1037"/>
      <c r="BT103" s="1037"/>
      <c r="BU103" s="1037"/>
      <c r="BV103" s="1039"/>
    </row>
    <row r="104" spans="1:104" s="1040" customFormat="1" x14ac:dyDescent="0.25">
      <c r="A104" s="1041" t="s">
        <v>1114</v>
      </c>
      <c r="B104" s="1042"/>
      <c r="C104" s="1043"/>
      <c r="D104" s="1240"/>
      <c r="E104" s="1043"/>
      <c r="F104" s="1042"/>
      <c r="G104" s="1042"/>
      <c r="H104" s="1042"/>
      <c r="I104" s="1042"/>
      <c r="J104" s="1042"/>
      <c r="K104" s="1042"/>
      <c r="L104" s="1042"/>
      <c r="M104" s="1042"/>
      <c r="N104" s="1042"/>
      <c r="O104" s="1042"/>
      <c r="P104" s="1042"/>
      <c r="Q104" s="1042"/>
      <c r="R104" s="1042"/>
      <c r="S104" s="1042"/>
      <c r="T104" s="1042"/>
      <c r="U104" s="1042"/>
      <c r="V104" s="1042"/>
      <c r="W104" s="1042"/>
      <c r="X104" s="1042"/>
      <c r="Y104" s="1042"/>
      <c r="Z104" s="1042"/>
      <c r="AA104" s="1042"/>
      <c r="AB104" s="1042"/>
      <c r="AC104" s="1042"/>
      <c r="AD104" s="1042"/>
      <c r="AE104" s="1042"/>
      <c r="AF104" s="1042"/>
      <c r="AG104" s="1042"/>
      <c r="AH104" s="1042"/>
      <c r="AI104" s="1042"/>
      <c r="AJ104" s="1042"/>
      <c r="AK104" s="1042"/>
      <c r="AL104" s="1042"/>
      <c r="AM104" s="1042"/>
      <c r="AN104" s="1042"/>
      <c r="AO104" s="1042"/>
      <c r="AP104" s="1042"/>
      <c r="AQ104" s="1042"/>
      <c r="AR104" s="1042"/>
      <c r="AS104" s="1042"/>
      <c r="AT104" s="1042"/>
      <c r="AU104" s="1042"/>
      <c r="AV104" s="1042"/>
      <c r="AW104" s="1042"/>
      <c r="AX104" s="1042"/>
      <c r="AY104" s="1042"/>
      <c r="AZ104" s="1042"/>
      <c r="BA104" s="1042"/>
      <c r="BB104" s="1042"/>
      <c r="BC104" s="1042"/>
      <c r="BD104" s="1042"/>
      <c r="BE104" s="1042"/>
      <c r="BF104" s="1042"/>
      <c r="BG104" s="1042"/>
      <c r="BH104" s="1042"/>
      <c r="BI104" s="1042"/>
      <c r="BJ104" s="1042"/>
      <c r="BK104" s="1042"/>
      <c r="BL104" s="1042"/>
      <c r="BM104" s="1042"/>
      <c r="BN104" s="1042"/>
      <c r="BO104" s="1042"/>
      <c r="BP104" s="1042"/>
      <c r="BQ104" s="1042"/>
      <c r="BR104" s="1042"/>
      <c r="BS104" s="1042"/>
      <c r="BT104" s="1042"/>
      <c r="BU104" s="1042"/>
      <c r="BV104" s="1044"/>
    </row>
    <row r="105" spans="1:104" s="1040" customFormat="1" x14ac:dyDescent="0.25">
      <c r="A105" s="1045"/>
      <c r="B105" s="1042"/>
      <c r="C105" s="1043"/>
      <c r="D105" s="1240"/>
      <c r="E105" s="1043"/>
      <c r="F105" s="1042"/>
      <c r="G105" s="1042"/>
      <c r="H105" s="1042"/>
      <c r="I105" s="1042"/>
      <c r="J105" s="1042"/>
      <c r="K105" s="1042"/>
      <c r="L105" s="1042"/>
      <c r="M105" s="1042"/>
      <c r="N105" s="1042"/>
      <c r="O105" s="1042"/>
      <c r="P105" s="1042"/>
      <c r="Q105" s="1042"/>
      <c r="R105" s="1042"/>
      <c r="S105" s="1042"/>
      <c r="T105" s="1042"/>
      <c r="U105" s="1042"/>
      <c r="V105" s="1042"/>
      <c r="W105" s="1042"/>
      <c r="X105" s="1042"/>
      <c r="Y105" s="1042"/>
      <c r="Z105" s="1042"/>
      <c r="AA105" s="1042"/>
      <c r="AB105" s="1042"/>
      <c r="AC105" s="1042"/>
      <c r="AD105" s="1042"/>
      <c r="AE105" s="1042"/>
      <c r="AF105" s="1042"/>
      <c r="AG105" s="1042"/>
      <c r="AH105" s="1042"/>
      <c r="AI105" s="1042"/>
      <c r="AJ105" s="1042"/>
      <c r="AK105" s="1042"/>
      <c r="AL105" s="1042"/>
      <c r="AM105" s="1042"/>
      <c r="AN105" s="1042"/>
      <c r="AO105" s="1042"/>
      <c r="AP105" s="1042"/>
      <c r="AQ105" s="1042"/>
      <c r="AR105" s="1042"/>
      <c r="AS105" s="1042"/>
      <c r="AT105" s="1042"/>
      <c r="AU105" s="1042"/>
      <c r="AV105" s="1042"/>
      <c r="AW105" s="1042"/>
      <c r="AX105" s="1042"/>
      <c r="AY105" s="1042"/>
      <c r="AZ105" s="1042"/>
      <c r="BA105" s="1042"/>
      <c r="BB105" s="1042"/>
      <c r="BC105" s="1042"/>
      <c r="BD105" s="1042"/>
      <c r="BE105" s="1042"/>
      <c r="BF105" s="1042"/>
      <c r="BG105" s="1042"/>
      <c r="BH105" s="1042"/>
      <c r="BI105" s="1042"/>
      <c r="BJ105" s="1042"/>
      <c r="BK105" s="1042"/>
      <c r="BL105" s="1042"/>
      <c r="BM105" s="1042"/>
      <c r="BN105" s="1042"/>
      <c r="BO105" s="1042"/>
      <c r="BP105" s="1042"/>
      <c r="BQ105" s="1042"/>
      <c r="BR105" s="1042"/>
      <c r="BS105" s="1042"/>
      <c r="BT105" s="1042"/>
      <c r="BU105" s="1042"/>
      <c r="BV105" s="1044"/>
    </row>
    <row r="106" spans="1:104" s="1040" customFormat="1" x14ac:dyDescent="0.25">
      <c r="A106" s="1045" t="s">
        <v>681</v>
      </c>
      <c r="B106" s="1042"/>
      <c r="C106" s="1043"/>
      <c r="D106" s="1240"/>
      <c r="E106" s="1043"/>
      <c r="F106" s="1042"/>
      <c r="G106" s="1042"/>
      <c r="H106" s="1042"/>
      <c r="I106" s="1042"/>
      <c r="J106" s="1042"/>
      <c r="K106" s="1042"/>
      <c r="L106" s="1042"/>
      <c r="M106" s="1042"/>
      <c r="N106" s="1042"/>
      <c r="O106" s="1046">
        <v>10.979644</v>
      </c>
      <c r="P106" s="1046">
        <v>10.458463</v>
      </c>
      <c r="Q106" s="1046">
        <v>10.386789</v>
      </c>
      <c r="R106" s="1046">
        <v>11.197535999999999</v>
      </c>
      <c r="S106" s="1046">
        <v>10.997512</v>
      </c>
      <c r="T106" s="1046">
        <v>10.684602</v>
      </c>
      <c r="U106" s="1046">
        <v>11.01057</v>
      </c>
      <c r="V106" s="1046">
        <v>11.455973999999999</v>
      </c>
      <c r="W106" s="1046">
        <v>11.627091999999999</v>
      </c>
      <c r="X106" s="1046">
        <v>11.591965</v>
      </c>
      <c r="Y106" s="1046">
        <v>11.804651</v>
      </c>
      <c r="Z106" s="1046">
        <v>11.896172</v>
      </c>
      <c r="AA106" s="1046">
        <v>12.056948999999999</v>
      </c>
      <c r="AB106" s="1046">
        <v>12.305148000000001</v>
      </c>
      <c r="AC106" s="1046">
        <v>12.475469</v>
      </c>
      <c r="AD106" s="1046">
        <v>12.579926</v>
      </c>
      <c r="AE106" s="1046">
        <v>12.716393999999999</v>
      </c>
      <c r="AF106" s="1046">
        <v>12.897914999999999</v>
      </c>
      <c r="AG106" s="1046">
        <v>13.184208999999999</v>
      </c>
      <c r="AH106" s="1046">
        <v>13.502886999999999</v>
      </c>
      <c r="AI106" s="1046">
        <v>13.64997</v>
      </c>
      <c r="AJ106" s="1046">
        <v>13.712135</v>
      </c>
      <c r="AK106" s="1046">
        <v>13.943460999999999</v>
      </c>
      <c r="AL106" s="1046">
        <v>14.339456999999999</v>
      </c>
      <c r="AM106" s="1046">
        <v>14.605688000000001</v>
      </c>
      <c r="AN106" s="1046">
        <v>14.994783</v>
      </c>
      <c r="AO106" s="1046">
        <v>15.152347000000001</v>
      </c>
      <c r="AP106" s="1046">
        <v>15.279963</v>
      </c>
      <c r="AQ106" s="1046">
        <v>15.618371</v>
      </c>
      <c r="AR106" s="1046">
        <v>15.977807</v>
      </c>
      <c r="AS106" s="1042"/>
      <c r="AT106" s="1042"/>
      <c r="AU106" s="1042"/>
      <c r="AV106" s="1042"/>
      <c r="AW106" s="1042"/>
      <c r="AX106" s="1042"/>
      <c r="AY106" s="1042"/>
      <c r="AZ106" s="1042"/>
      <c r="BA106" s="1042"/>
      <c r="BB106" s="1042"/>
      <c r="BC106" s="1042"/>
      <c r="BD106" s="1042"/>
      <c r="BE106" s="1042"/>
      <c r="BF106" s="1042"/>
      <c r="BG106" s="1042"/>
      <c r="BH106" s="1042"/>
      <c r="BI106" s="1042"/>
      <c r="BJ106" s="1042"/>
      <c r="BK106" s="1042"/>
      <c r="BL106" s="1042"/>
      <c r="BM106" s="1042"/>
      <c r="BN106" s="1042"/>
      <c r="BO106" s="1042"/>
      <c r="BP106" s="1042"/>
      <c r="BQ106" s="1042"/>
      <c r="BR106" s="1042"/>
      <c r="BS106" s="1042"/>
      <c r="BT106" s="1042"/>
      <c r="BU106" s="1042"/>
      <c r="BV106" s="1044"/>
    </row>
    <row r="107" spans="1:104" s="1040" customFormat="1" x14ac:dyDescent="0.25">
      <c r="A107" s="1045" t="s">
        <v>1086</v>
      </c>
      <c r="B107" s="1042"/>
      <c r="C107" s="1043"/>
      <c r="D107" s="1240"/>
      <c r="E107" s="1043"/>
      <c r="F107" s="1042"/>
      <c r="G107" s="1042"/>
      <c r="H107" s="1042"/>
      <c r="I107" s="1042"/>
      <c r="J107" s="1042"/>
      <c r="K107" s="1042"/>
      <c r="L107" s="1042"/>
      <c r="M107" s="1042"/>
      <c r="N107" s="1042"/>
      <c r="O107" s="1046">
        <v>8.9608349999999994</v>
      </c>
      <c r="P107" s="1046">
        <v>8.1128640000000001</v>
      </c>
      <c r="Q107" s="1046">
        <v>8.3120530000000006</v>
      </c>
      <c r="R107" s="1046">
        <v>9.0860579999999995</v>
      </c>
      <c r="S107" s="1046">
        <v>8.9185510000000008</v>
      </c>
      <c r="T107" s="1046">
        <v>8.7230709999999991</v>
      </c>
      <c r="U107" s="1046">
        <v>9.0072580000000002</v>
      </c>
      <c r="V107" s="1046">
        <v>9.4091780000000007</v>
      </c>
      <c r="W107" s="1046">
        <v>9.5464699999999993</v>
      </c>
      <c r="X107" s="1046">
        <v>9.490774</v>
      </c>
      <c r="Y107" s="1046">
        <v>9.6849690000000006</v>
      </c>
      <c r="Z107" s="1046">
        <v>9.7584820000000008</v>
      </c>
      <c r="AA107" s="1046">
        <v>9.8987529999999992</v>
      </c>
      <c r="AB107" s="1046">
        <v>10.127039999999999</v>
      </c>
      <c r="AC107" s="1046">
        <v>10.286922000000001</v>
      </c>
      <c r="AD107" s="1046">
        <v>10.380953999999999</v>
      </c>
      <c r="AE107" s="1046">
        <v>10.496881999999999</v>
      </c>
      <c r="AF107" s="1046">
        <v>10.657225</v>
      </c>
      <c r="AG107" s="1046">
        <v>10.911016</v>
      </c>
      <c r="AH107" s="1046">
        <v>11.192325</v>
      </c>
      <c r="AI107" s="1046">
        <v>11.294316</v>
      </c>
      <c r="AJ107" s="1046">
        <v>11.292712999999999</v>
      </c>
      <c r="AK107" s="1046">
        <v>11.478382999999999</v>
      </c>
      <c r="AL107" s="1046">
        <v>11.747921</v>
      </c>
      <c r="AM107" s="1046">
        <v>11.953430000000001</v>
      </c>
      <c r="AN107" s="1046">
        <v>12.263629999999999</v>
      </c>
      <c r="AO107" s="1046">
        <v>12.368285999999999</v>
      </c>
      <c r="AP107" s="1046">
        <v>12.459205000000001</v>
      </c>
      <c r="AQ107" s="1046">
        <v>12.755896</v>
      </c>
      <c r="AR107" s="1046">
        <v>13.077387</v>
      </c>
      <c r="AS107" s="1042"/>
      <c r="AT107" s="1042"/>
      <c r="AU107" s="1042"/>
      <c r="AV107" s="1042"/>
      <c r="AW107" s="1042"/>
      <c r="AX107" s="1042"/>
      <c r="AY107" s="1042"/>
      <c r="AZ107" s="1042"/>
      <c r="BA107" s="1042"/>
      <c r="BB107" s="1042"/>
      <c r="BC107" s="1042"/>
      <c r="BD107" s="1042"/>
      <c r="BE107" s="1042"/>
      <c r="BF107" s="1042"/>
      <c r="BG107" s="1042"/>
      <c r="BH107" s="1042"/>
      <c r="BI107" s="1042"/>
      <c r="BJ107" s="1042"/>
      <c r="BK107" s="1042"/>
      <c r="BL107" s="1042"/>
      <c r="BM107" s="1042"/>
      <c r="BN107" s="1042"/>
      <c r="BO107" s="1042"/>
      <c r="BP107" s="1042"/>
      <c r="BQ107" s="1042"/>
      <c r="BR107" s="1042"/>
      <c r="BS107" s="1042"/>
      <c r="BT107" s="1042"/>
      <c r="BU107" s="1042"/>
      <c r="BV107" s="1044"/>
    </row>
    <row r="108" spans="1:104" s="1040" customFormat="1" x14ac:dyDescent="0.25">
      <c r="A108" s="1045" t="s">
        <v>283</v>
      </c>
      <c r="B108" s="1042"/>
      <c r="C108" s="1043"/>
      <c r="D108" s="1240"/>
      <c r="E108" s="1043"/>
      <c r="F108" s="1042"/>
      <c r="G108" s="1042"/>
      <c r="H108" s="1042"/>
      <c r="I108" s="1042"/>
      <c r="J108" s="1042"/>
      <c r="K108" s="1042"/>
      <c r="L108" s="1042"/>
      <c r="M108" s="1042"/>
      <c r="N108" s="1042"/>
      <c r="O108" s="1046">
        <v>5.093718</v>
      </c>
      <c r="P108" s="1046">
        <v>3.77142</v>
      </c>
      <c r="Q108" s="1046">
        <v>4.594805</v>
      </c>
      <c r="R108" s="1046">
        <v>4.7995720000000004</v>
      </c>
      <c r="S108" s="1046">
        <v>4.9392990000000001</v>
      </c>
      <c r="T108" s="1046">
        <v>5.148549</v>
      </c>
      <c r="U108" s="1046">
        <v>5.425808</v>
      </c>
      <c r="V108" s="1046">
        <v>5.8458810000000003</v>
      </c>
      <c r="W108" s="1046">
        <v>5.9476060000000004</v>
      </c>
      <c r="X108" s="1046">
        <v>5.7923239999999998</v>
      </c>
      <c r="Y108" s="1046">
        <v>5.9347989999999999</v>
      </c>
      <c r="Z108" s="1046">
        <v>5.9545320000000004</v>
      </c>
      <c r="AA108" s="1046">
        <v>6.0522600000000004</v>
      </c>
      <c r="AB108" s="1046">
        <v>6.2273719999999999</v>
      </c>
      <c r="AC108" s="1046">
        <v>6.3209530000000003</v>
      </c>
      <c r="AD108" s="1046">
        <v>6.356109</v>
      </c>
      <c r="AE108" s="1046">
        <v>6.4293370000000003</v>
      </c>
      <c r="AF108" s="1046">
        <v>6.531498</v>
      </c>
      <c r="AG108" s="1046">
        <v>6.7357209999999998</v>
      </c>
      <c r="AH108" s="1046">
        <v>6.9891050000000003</v>
      </c>
      <c r="AI108" s="1046">
        <v>7.1038509999999997</v>
      </c>
      <c r="AJ108" s="1046">
        <v>7.224164</v>
      </c>
      <c r="AK108" s="1046">
        <v>7.420331</v>
      </c>
      <c r="AL108" s="1046">
        <v>7.5726420000000001</v>
      </c>
      <c r="AM108" s="1046">
        <v>7.7575940000000001</v>
      </c>
      <c r="AN108" s="1046">
        <v>8.0432100000000002</v>
      </c>
      <c r="AO108" s="1046">
        <v>8.0942129999999999</v>
      </c>
      <c r="AP108" s="1046">
        <v>8.1302479999999999</v>
      </c>
      <c r="AQ108" s="1046">
        <v>8.3372609999999998</v>
      </c>
      <c r="AR108" s="1046">
        <v>8.5934050000000006</v>
      </c>
      <c r="AS108" s="1042"/>
      <c r="AT108" s="1042"/>
      <c r="AU108" s="1042"/>
      <c r="AV108" s="1042"/>
      <c r="AW108" s="1042"/>
      <c r="AX108" s="1042"/>
      <c r="AY108" s="1042"/>
      <c r="AZ108" s="1042"/>
      <c r="BA108" s="1042"/>
      <c r="BB108" s="1042"/>
      <c r="BC108" s="1042"/>
      <c r="BD108" s="1042"/>
      <c r="BE108" s="1042"/>
      <c r="BF108" s="1042"/>
      <c r="BG108" s="1042"/>
      <c r="BH108" s="1042"/>
      <c r="BI108" s="1042"/>
      <c r="BJ108" s="1042"/>
      <c r="BK108" s="1042"/>
      <c r="BL108" s="1042"/>
      <c r="BM108" s="1042"/>
      <c r="BN108" s="1042"/>
      <c r="BO108" s="1042"/>
      <c r="BP108" s="1042"/>
      <c r="BQ108" s="1042"/>
      <c r="BR108" s="1042"/>
      <c r="BS108" s="1042"/>
      <c r="BT108" s="1042"/>
      <c r="BU108" s="1042"/>
      <c r="BV108" s="1044"/>
    </row>
    <row r="109" spans="1:104" s="1040" customFormat="1" x14ac:dyDescent="0.25">
      <c r="A109" s="1047" t="str">
        <f>'HyARC Physical Property Data'!$A$74</f>
        <v>Electric Utility Natural Gas</v>
      </c>
      <c r="B109" s="1042"/>
      <c r="C109" s="1043"/>
      <c r="D109" s="1240"/>
      <c r="E109" s="1043"/>
      <c r="F109" s="1042"/>
      <c r="G109" s="1042"/>
      <c r="H109" s="1042"/>
      <c r="I109" s="1042"/>
      <c r="J109" s="1042"/>
      <c r="K109" s="1042"/>
      <c r="L109" s="1042"/>
      <c r="M109" s="1042"/>
      <c r="N109" s="1042"/>
      <c r="O109" s="1046">
        <v>4.881901</v>
      </c>
      <c r="P109" s="1046">
        <v>3.4378730000000002</v>
      </c>
      <c r="Q109" s="1046">
        <v>4.3206319999999998</v>
      </c>
      <c r="R109" s="1046">
        <v>4.4694140000000004</v>
      </c>
      <c r="S109" s="1046">
        <v>4.4284980000000003</v>
      </c>
      <c r="T109" s="1046">
        <v>4.4748020000000004</v>
      </c>
      <c r="U109" s="1046">
        <v>4.6905669999999997</v>
      </c>
      <c r="V109" s="1046">
        <v>5.0621029999999996</v>
      </c>
      <c r="W109" s="1046">
        <v>5.1794200000000004</v>
      </c>
      <c r="X109" s="1046">
        <v>5.0744109999999996</v>
      </c>
      <c r="Y109" s="1046">
        <v>5.242337</v>
      </c>
      <c r="Z109" s="1046">
        <v>5.2943420000000003</v>
      </c>
      <c r="AA109" s="1046">
        <v>5.4200609999999996</v>
      </c>
      <c r="AB109" s="1046">
        <v>5.622217</v>
      </c>
      <c r="AC109" s="1046">
        <v>5.7577170000000004</v>
      </c>
      <c r="AD109" s="1046">
        <v>5.8140010000000002</v>
      </c>
      <c r="AE109" s="1046">
        <v>5.9051999999999998</v>
      </c>
      <c r="AF109" s="1046">
        <v>6.0276690000000004</v>
      </c>
      <c r="AG109" s="1046">
        <v>6.2437040000000001</v>
      </c>
      <c r="AH109" s="1046">
        <v>6.4934279999999998</v>
      </c>
      <c r="AI109" s="1046">
        <v>6.6170710000000001</v>
      </c>
      <c r="AJ109" s="1046">
        <v>6.726566</v>
      </c>
      <c r="AK109" s="1046">
        <v>6.9305599999999998</v>
      </c>
      <c r="AL109" s="1046">
        <v>7.0909170000000001</v>
      </c>
      <c r="AM109" s="1046">
        <v>7.286816</v>
      </c>
      <c r="AN109" s="1046">
        <v>7.5708000000000002</v>
      </c>
      <c r="AO109" s="1046">
        <v>7.630439</v>
      </c>
      <c r="AP109" s="1046">
        <v>7.6782940000000002</v>
      </c>
      <c r="AQ109" s="1046">
        <v>7.8974500000000001</v>
      </c>
      <c r="AR109" s="1046">
        <v>8.1587669999999992</v>
      </c>
      <c r="AS109" s="1042"/>
      <c r="AT109" s="1042"/>
      <c r="AU109" s="1042"/>
      <c r="AV109" s="1042"/>
      <c r="AW109" s="1042"/>
      <c r="AX109" s="1042"/>
      <c r="AY109" s="1042"/>
      <c r="AZ109" s="1042"/>
      <c r="BA109" s="1042"/>
      <c r="BB109" s="1042"/>
      <c r="BC109" s="1042"/>
      <c r="BD109" s="1042"/>
      <c r="BE109" s="1042"/>
      <c r="BF109" s="1042"/>
      <c r="BG109" s="1042"/>
      <c r="BH109" s="1042"/>
      <c r="BI109" s="1042"/>
      <c r="BJ109" s="1042"/>
      <c r="BK109" s="1042"/>
      <c r="BL109" s="1042"/>
      <c r="BM109" s="1042"/>
      <c r="BN109" s="1042"/>
      <c r="BO109" s="1042"/>
      <c r="BP109" s="1042"/>
      <c r="BQ109" s="1042"/>
      <c r="BR109" s="1042"/>
      <c r="BS109" s="1042"/>
      <c r="BT109" s="1042"/>
      <c r="BU109" s="1042"/>
      <c r="BV109" s="1044"/>
    </row>
    <row r="110" spans="1:104" s="1040" customFormat="1" x14ac:dyDescent="0.25">
      <c r="A110" s="1042" t="s">
        <v>1082</v>
      </c>
      <c r="B110" s="1042"/>
      <c r="C110" s="1043"/>
      <c r="D110" s="1240"/>
      <c r="E110" s="1043"/>
      <c r="F110" s="1042"/>
      <c r="G110" s="1042"/>
      <c r="H110" s="1042"/>
      <c r="I110" s="1042"/>
      <c r="J110" s="1042"/>
      <c r="K110" s="1042"/>
      <c r="L110" s="1042"/>
      <c r="M110" s="1042"/>
      <c r="N110" s="1042"/>
      <c r="O110" s="1046"/>
      <c r="P110" s="1046"/>
      <c r="Q110" s="1046"/>
      <c r="R110" s="1046"/>
      <c r="S110" s="1046"/>
      <c r="T110" s="1046"/>
      <c r="U110" s="1046"/>
      <c r="V110" s="1046"/>
      <c r="W110" s="1046"/>
      <c r="X110" s="1046"/>
      <c r="Y110" s="1046"/>
      <c r="Z110" s="1046"/>
      <c r="AA110" s="1046"/>
      <c r="AB110" s="1046"/>
      <c r="AC110" s="1046"/>
      <c r="AD110" s="1046"/>
      <c r="AE110" s="1046"/>
      <c r="AF110" s="1046"/>
      <c r="AG110" s="1046"/>
      <c r="AH110" s="1046"/>
      <c r="AI110" s="1046"/>
      <c r="AJ110" s="1046"/>
      <c r="AK110" s="1046"/>
      <c r="AL110" s="1046"/>
      <c r="AM110" s="1046"/>
      <c r="AN110" s="1046"/>
      <c r="AO110" s="1046"/>
      <c r="AP110" s="1046"/>
      <c r="AQ110" s="1046"/>
      <c r="AR110" s="1046"/>
      <c r="AS110" s="1042"/>
      <c r="AT110" s="1042"/>
      <c r="AU110" s="1042"/>
      <c r="AV110" s="1042"/>
      <c r="AW110" s="1042"/>
      <c r="AX110" s="1042"/>
      <c r="AY110" s="1042"/>
      <c r="AZ110" s="1042"/>
      <c r="BA110" s="1042"/>
      <c r="BB110" s="1042"/>
      <c r="BC110" s="1042"/>
      <c r="BD110" s="1042"/>
      <c r="BE110" s="1042"/>
      <c r="BF110" s="1042"/>
      <c r="BG110" s="1042"/>
      <c r="BH110" s="1042"/>
      <c r="BI110" s="1042"/>
      <c r="BJ110" s="1042"/>
      <c r="BK110" s="1042"/>
      <c r="BL110" s="1042"/>
      <c r="BM110" s="1042"/>
      <c r="BN110" s="1042"/>
      <c r="BO110" s="1042"/>
      <c r="BP110" s="1042"/>
      <c r="BQ110" s="1042"/>
      <c r="BR110" s="1042"/>
      <c r="BS110" s="1042"/>
      <c r="BT110" s="1042"/>
      <c r="BU110" s="1042"/>
      <c r="BV110" s="1044"/>
    </row>
    <row r="111" spans="1:104" s="1040" customFormat="1" x14ac:dyDescent="0.25">
      <c r="A111" s="1062" t="s">
        <v>716</v>
      </c>
      <c r="B111" s="1042"/>
      <c r="C111" s="1043"/>
      <c r="D111" s="1240"/>
      <c r="E111" s="1043"/>
      <c r="F111" s="1042"/>
      <c r="G111" s="1042"/>
      <c r="H111" s="1042"/>
      <c r="I111" s="1042"/>
      <c r="J111" s="1042"/>
      <c r="K111" s="1042"/>
      <c r="L111" s="1042"/>
      <c r="M111" s="1042"/>
      <c r="N111" s="1042"/>
      <c r="O111" s="1046">
        <v>7.1348120000000002</v>
      </c>
      <c r="P111" s="1046">
        <v>7.25</v>
      </c>
      <c r="Q111" s="1046">
        <v>7.4339180000000002</v>
      </c>
      <c r="R111" s="1046">
        <v>7.5123340000000001</v>
      </c>
      <c r="S111" s="1046">
        <v>7.7593930000000002</v>
      </c>
      <c r="T111" s="1046">
        <v>7.9480709999999997</v>
      </c>
      <c r="U111" s="1046">
        <v>8.0483750000000001</v>
      </c>
      <c r="V111" s="1046">
        <v>8.1909299999999998</v>
      </c>
      <c r="W111" s="1046">
        <v>8.3009920000000008</v>
      </c>
      <c r="X111" s="1046">
        <v>8.4282590000000006</v>
      </c>
      <c r="Y111" s="1046">
        <v>8.5261879999999994</v>
      </c>
      <c r="Z111" s="1046">
        <v>8.6333680000000008</v>
      </c>
      <c r="AA111" s="1046">
        <v>8.7384330000000006</v>
      </c>
      <c r="AB111" s="1046">
        <v>8.8454820000000005</v>
      </c>
      <c r="AC111" s="1046">
        <v>8.9517559999999996</v>
      </c>
      <c r="AD111" s="1046">
        <v>9.0441529999999997</v>
      </c>
      <c r="AE111" s="1046">
        <v>9.1489940000000001</v>
      </c>
      <c r="AF111" s="1046">
        <v>9.2665970000000009</v>
      </c>
      <c r="AG111" s="1046">
        <v>9.3802029999999998</v>
      </c>
      <c r="AH111" s="1046">
        <v>9.5131180000000004</v>
      </c>
      <c r="AI111" s="1046">
        <v>9.5927720000000001</v>
      </c>
      <c r="AJ111" s="1046">
        <v>9.6736090000000008</v>
      </c>
      <c r="AK111" s="1046">
        <v>9.7592280000000002</v>
      </c>
      <c r="AL111" s="1046">
        <v>9.8373989999999996</v>
      </c>
      <c r="AM111" s="1046">
        <v>9.9349030000000003</v>
      </c>
      <c r="AN111" s="1046">
        <v>10.012817</v>
      </c>
      <c r="AO111" s="1046">
        <v>10.10066</v>
      </c>
      <c r="AP111" s="1046">
        <v>10.107113</v>
      </c>
      <c r="AQ111" s="1046">
        <v>10.135842</v>
      </c>
      <c r="AR111" s="1046">
        <v>10.197044999999999</v>
      </c>
      <c r="AS111" s="1042"/>
      <c r="AT111" s="1042"/>
      <c r="AU111" s="1042"/>
      <c r="AV111" s="1042"/>
      <c r="AW111" s="1042"/>
      <c r="AX111" s="1042"/>
      <c r="AY111" s="1042"/>
      <c r="AZ111" s="1042"/>
      <c r="BA111" s="1042"/>
      <c r="BB111" s="1042"/>
      <c r="BC111" s="1042"/>
      <c r="BD111" s="1042"/>
      <c r="BE111" s="1042"/>
      <c r="BF111" s="1042"/>
      <c r="BG111" s="1042"/>
      <c r="BH111" s="1042"/>
      <c r="BI111" s="1042"/>
      <c r="BJ111" s="1042"/>
      <c r="BK111" s="1042"/>
      <c r="BL111" s="1042"/>
      <c r="BM111" s="1042"/>
      <c r="BN111" s="1042"/>
      <c r="BO111" s="1042"/>
      <c r="BP111" s="1042"/>
      <c r="BQ111" s="1042"/>
      <c r="BR111" s="1042"/>
      <c r="BS111" s="1042"/>
      <c r="BT111" s="1042"/>
      <c r="BU111" s="1042"/>
      <c r="BV111" s="1044"/>
    </row>
    <row r="112" spans="1:104" s="1040" customFormat="1" x14ac:dyDescent="0.25">
      <c r="A112" s="1062" t="s">
        <v>717</v>
      </c>
      <c r="B112" s="1042"/>
      <c r="C112" s="1043"/>
      <c r="D112" s="1240"/>
      <c r="E112" s="1043"/>
      <c r="F112" s="1042"/>
      <c r="G112" s="1042"/>
      <c r="H112" s="1042"/>
      <c r="I112" s="1042"/>
      <c r="J112" s="1042"/>
      <c r="K112" s="1042"/>
      <c r="L112" s="1042"/>
      <c r="M112" s="1042"/>
      <c r="N112" s="1042"/>
      <c r="O112" s="1046">
        <v>3.3073760000000001</v>
      </c>
      <c r="P112" s="1046">
        <v>3.2396150000000001</v>
      </c>
      <c r="Q112" s="1046">
        <v>3.3150900000000001</v>
      </c>
      <c r="R112" s="1046">
        <v>3.2817340000000002</v>
      </c>
      <c r="S112" s="1046">
        <v>3.3761420000000002</v>
      </c>
      <c r="T112" s="1046">
        <v>3.437208</v>
      </c>
      <c r="U112" s="1046">
        <v>3.4609869999999998</v>
      </c>
      <c r="V112" s="1046">
        <v>3.5206819999999999</v>
      </c>
      <c r="W112" s="1046">
        <v>3.5610849999999998</v>
      </c>
      <c r="X112" s="1046">
        <v>3.5932520000000001</v>
      </c>
      <c r="Y112" s="1046">
        <v>3.6143869999999998</v>
      </c>
      <c r="Z112" s="1046">
        <v>3.6395840000000002</v>
      </c>
      <c r="AA112" s="1046">
        <v>3.6651829999999999</v>
      </c>
      <c r="AB112" s="1046">
        <v>3.697009</v>
      </c>
      <c r="AC112" s="1046">
        <v>3.7274949999999998</v>
      </c>
      <c r="AD112" s="1046">
        <v>3.7560980000000002</v>
      </c>
      <c r="AE112" s="1046">
        <v>3.7847550000000001</v>
      </c>
      <c r="AF112" s="1046">
        <v>3.8163930000000001</v>
      </c>
      <c r="AG112" s="1046">
        <v>3.8450039999999999</v>
      </c>
      <c r="AH112" s="1046">
        <v>3.8844850000000002</v>
      </c>
      <c r="AI112" s="1046">
        <v>3.9155440000000001</v>
      </c>
      <c r="AJ112" s="1046">
        <v>3.944798</v>
      </c>
      <c r="AK112" s="1046">
        <v>3.9761479999999998</v>
      </c>
      <c r="AL112" s="1046">
        <v>4.0004489999999997</v>
      </c>
      <c r="AM112" s="1046">
        <v>4.0294249999999998</v>
      </c>
      <c r="AN112" s="1046">
        <v>4.0600360000000002</v>
      </c>
      <c r="AO112" s="1046">
        <v>4.0903939999999999</v>
      </c>
      <c r="AP112" s="1046">
        <v>4.1171660000000001</v>
      </c>
      <c r="AQ112" s="1046">
        <v>4.1493070000000003</v>
      </c>
      <c r="AR112" s="1046">
        <v>4.1898999999999997</v>
      </c>
      <c r="AS112" s="1042"/>
      <c r="AT112" s="1042"/>
      <c r="AU112" s="1042"/>
      <c r="AV112" s="1042"/>
      <c r="AW112" s="1042"/>
      <c r="AX112" s="1042"/>
      <c r="AY112" s="1042"/>
      <c r="AZ112" s="1042"/>
      <c r="BA112" s="1042"/>
      <c r="BB112" s="1042"/>
      <c r="BC112" s="1042"/>
      <c r="BD112" s="1042"/>
      <c r="BE112" s="1042"/>
      <c r="BF112" s="1042"/>
      <c r="BG112" s="1042"/>
      <c r="BH112" s="1042"/>
      <c r="BI112" s="1042"/>
      <c r="BJ112" s="1042"/>
      <c r="BK112" s="1042"/>
      <c r="BL112" s="1042"/>
      <c r="BM112" s="1042"/>
      <c r="BN112" s="1042"/>
      <c r="BO112" s="1042"/>
      <c r="BP112" s="1042"/>
      <c r="BQ112" s="1042"/>
      <c r="BR112" s="1042"/>
      <c r="BS112" s="1042"/>
      <c r="BT112" s="1042"/>
      <c r="BU112" s="1042"/>
      <c r="BV112" s="1044"/>
    </row>
    <row r="113" spans="1:74" s="1040" customFormat="1" x14ac:dyDescent="0.25">
      <c r="A113" s="1045" t="s">
        <v>1088</v>
      </c>
      <c r="B113" s="1042"/>
      <c r="C113" s="1043"/>
      <c r="D113" s="1240"/>
      <c r="E113" s="1043"/>
      <c r="F113" s="1042"/>
      <c r="G113" s="1042"/>
      <c r="H113" s="1042"/>
      <c r="I113" s="1042"/>
      <c r="J113" s="1042"/>
      <c r="K113" s="1042"/>
      <c r="L113" s="1042"/>
      <c r="M113" s="1042"/>
      <c r="N113" s="1042"/>
      <c r="O113" s="1046">
        <v>2.4223750000000002</v>
      </c>
      <c r="P113" s="1046">
        <v>2.39</v>
      </c>
      <c r="Q113" s="1046">
        <v>2.37385</v>
      </c>
      <c r="R113" s="1046">
        <v>2.329834</v>
      </c>
      <c r="S113" s="1046">
        <v>2.4039359999999999</v>
      </c>
      <c r="T113" s="1046">
        <v>2.422212</v>
      </c>
      <c r="U113" s="1046">
        <v>2.4863749999999998</v>
      </c>
      <c r="V113" s="1046">
        <v>2.5503130000000001</v>
      </c>
      <c r="W113" s="1046">
        <v>2.589102</v>
      </c>
      <c r="X113" s="1046">
        <v>2.6113439999999999</v>
      </c>
      <c r="Y113" s="1046">
        <v>2.6429999999999998</v>
      </c>
      <c r="Z113" s="1046">
        <v>2.675691</v>
      </c>
      <c r="AA113" s="1046">
        <v>2.7024710000000001</v>
      </c>
      <c r="AB113" s="1046">
        <v>2.7390279999999998</v>
      </c>
      <c r="AC113" s="1046">
        <v>2.7738589999999999</v>
      </c>
      <c r="AD113" s="1046">
        <v>2.807261</v>
      </c>
      <c r="AE113" s="1046">
        <v>2.8368190000000002</v>
      </c>
      <c r="AF113" s="1046">
        <v>2.8649870000000002</v>
      </c>
      <c r="AG113" s="1046">
        <v>2.8913859999999998</v>
      </c>
      <c r="AH113" s="1046">
        <v>2.9256030000000002</v>
      </c>
      <c r="AI113" s="1046">
        <v>2.9494180000000001</v>
      </c>
      <c r="AJ113" s="1046">
        <v>2.9743849999999998</v>
      </c>
      <c r="AK113" s="1046">
        <v>3.0006210000000002</v>
      </c>
      <c r="AL113" s="1046">
        <v>3.0244930000000001</v>
      </c>
      <c r="AM113" s="1046">
        <v>3.050074</v>
      </c>
      <c r="AN113" s="1046">
        <v>3.076149</v>
      </c>
      <c r="AO113" s="1046">
        <v>3.099027</v>
      </c>
      <c r="AP113" s="1046">
        <v>3.1208209999999998</v>
      </c>
      <c r="AQ113" s="1046">
        <v>3.153797</v>
      </c>
      <c r="AR113" s="1046">
        <v>3.1896749999999998</v>
      </c>
      <c r="AS113" s="1042"/>
      <c r="AT113" s="1042"/>
      <c r="AU113" s="1042"/>
      <c r="AV113" s="1042"/>
      <c r="AW113" s="1042"/>
      <c r="AX113" s="1042"/>
      <c r="AY113" s="1042"/>
      <c r="AZ113" s="1042"/>
      <c r="BA113" s="1042"/>
      <c r="BB113" s="1042"/>
      <c r="BC113" s="1042"/>
      <c r="BD113" s="1042"/>
      <c r="BE113" s="1042"/>
      <c r="BF113" s="1042"/>
      <c r="BG113" s="1042"/>
      <c r="BH113" s="1042"/>
      <c r="BI113" s="1042"/>
      <c r="BJ113" s="1042"/>
      <c r="BK113" s="1042"/>
      <c r="BL113" s="1042"/>
      <c r="BM113" s="1042"/>
      <c r="BN113" s="1042"/>
      <c r="BO113" s="1042"/>
      <c r="BP113" s="1042"/>
      <c r="BQ113" s="1042"/>
      <c r="BR113" s="1042"/>
      <c r="BS113" s="1042"/>
      <c r="BT113" s="1042"/>
      <c r="BU113" s="1042"/>
      <c r="BV113" s="1044"/>
    </row>
    <row r="114" spans="1:74" s="1040" customFormat="1" x14ac:dyDescent="0.25">
      <c r="A114" s="1045" t="s">
        <v>683</v>
      </c>
      <c r="B114" s="1042"/>
      <c r="C114" s="1043"/>
      <c r="D114" s="1240"/>
      <c r="E114" s="1043"/>
      <c r="F114" s="1042"/>
      <c r="G114" s="1042"/>
      <c r="H114" s="1042"/>
      <c r="I114" s="1042"/>
      <c r="J114" s="1042"/>
      <c r="K114" s="1042"/>
      <c r="L114" s="1042"/>
      <c r="M114" s="1042"/>
      <c r="N114" s="1042"/>
      <c r="O114" s="1046">
        <v>30.531154999999998</v>
      </c>
      <c r="P114" s="1046">
        <v>29.553346999999999</v>
      </c>
      <c r="Q114" s="1046">
        <v>29.462689999999998</v>
      </c>
      <c r="R114" s="1046">
        <v>29.619807999999999</v>
      </c>
      <c r="S114" s="1046">
        <v>29.992000999999998</v>
      </c>
      <c r="T114" s="1046">
        <v>30.137812</v>
      </c>
      <c r="U114" s="1046">
        <v>30.368880999999998</v>
      </c>
      <c r="V114" s="1046">
        <v>30.723389000000001</v>
      </c>
      <c r="W114" s="1046">
        <v>31.014326000000001</v>
      </c>
      <c r="X114" s="1046">
        <v>30.799534000000001</v>
      </c>
      <c r="Y114" s="1046">
        <v>30.631943</v>
      </c>
      <c r="Z114" s="1046">
        <v>30.294862999999999</v>
      </c>
      <c r="AA114" s="1046">
        <v>30.159492</v>
      </c>
      <c r="AB114" s="1046">
        <v>30.497467</v>
      </c>
      <c r="AC114" s="1046">
        <v>30.549484</v>
      </c>
      <c r="AD114" s="1046">
        <v>30.628119000000002</v>
      </c>
      <c r="AE114" s="1046">
        <v>30.831617000000001</v>
      </c>
      <c r="AF114" s="1046">
        <v>30.906943999999999</v>
      </c>
      <c r="AG114" s="1046">
        <v>31.016119</v>
      </c>
      <c r="AH114" s="1046">
        <v>31.259630000000001</v>
      </c>
      <c r="AI114" s="1046">
        <v>31.506346000000001</v>
      </c>
      <c r="AJ114" s="1046">
        <v>31.548763000000001</v>
      </c>
      <c r="AK114" s="1046">
        <v>31.537307999999999</v>
      </c>
      <c r="AL114" s="1046">
        <v>31.727125000000001</v>
      </c>
      <c r="AM114" s="1046">
        <v>31.983875000000001</v>
      </c>
      <c r="AN114" s="1046">
        <v>32.252009999999999</v>
      </c>
      <c r="AO114" s="1046">
        <v>32.456364000000001</v>
      </c>
      <c r="AP114" s="1046">
        <v>32.526015999999998</v>
      </c>
      <c r="AQ114" s="1046">
        <v>32.747635000000002</v>
      </c>
      <c r="AR114" s="1046">
        <v>33.007354999999997</v>
      </c>
      <c r="AS114" s="1042"/>
      <c r="AT114" s="1042"/>
      <c r="AU114" s="1042"/>
      <c r="AV114" s="1042"/>
      <c r="AW114" s="1042"/>
      <c r="AX114" s="1042"/>
      <c r="AY114" s="1042"/>
      <c r="AZ114" s="1042"/>
      <c r="BA114" s="1042"/>
      <c r="BB114" s="1042"/>
      <c r="BC114" s="1042"/>
      <c r="BD114" s="1042"/>
      <c r="BE114" s="1042"/>
      <c r="BF114" s="1042"/>
      <c r="BG114" s="1042"/>
      <c r="BH114" s="1042"/>
      <c r="BI114" s="1042"/>
      <c r="BJ114" s="1042"/>
      <c r="BK114" s="1042"/>
      <c r="BL114" s="1042"/>
      <c r="BM114" s="1042"/>
      <c r="BN114" s="1042"/>
      <c r="BO114" s="1042"/>
      <c r="BP114" s="1042"/>
      <c r="BQ114" s="1042"/>
      <c r="BR114" s="1042"/>
      <c r="BS114" s="1042"/>
      <c r="BT114" s="1042"/>
      <c r="BU114" s="1042"/>
      <c r="BV114" s="1044"/>
    </row>
    <row r="115" spans="1:74" s="1040" customFormat="1" x14ac:dyDescent="0.25">
      <c r="A115" s="1045" t="s">
        <v>698</v>
      </c>
      <c r="B115" s="1042"/>
      <c r="C115" s="1043"/>
      <c r="D115" s="1240"/>
      <c r="E115" s="1043"/>
      <c r="F115" s="1042"/>
      <c r="G115" s="1042"/>
      <c r="H115" s="1042"/>
      <c r="I115" s="1042"/>
      <c r="J115" s="1042"/>
      <c r="K115" s="1042"/>
      <c r="L115" s="1042"/>
      <c r="M115" s="1042"/>
      <c r="N115" s="1042"/>
      <c r="O115" s="1046">
        <v>20.348036</v>
      </c>
      <c r="P115" s="1046">
        <v>19.495602000000002</v>
      </c>
      <c r="Q115" s="1046">
        <v>20.081951</v>
      </c>
      <c r="R115" s="1046">
        <v>19.872589000000001</v>
      </c>
      <c r="S115" s="1046">
        <v>20.106300000000001</v>
      </c>
      <c r="T115" s="1046">
        <v>20.110336</v>
      </c>
      <c r="U115" s="1046">
        <v>20.286434</v>
      </c>
      <c r="V115" s="1046">
        <v>20.591933999999998</v>
      </c>
      <c r="W115" s="1046">
        <v>20.859487999999999</v>
      </c>
      <c r="X115" s="1046">
        <v>20.769625000000001</v>
      </c>
      <c r="Y115" s="1046">
        <v>20.751276000000001</v>
      </c>
      <c r="Z115" s="1046">
        <v>20.654140000000002</v>
      </c>
      <c r="AA115" s="1046">
        <v>20.663025000000001</v>
      </c>
      <c r="AB115" s="1046">
        <v>20.946209</v>
      </c>
      <c r="AC115" s="1046">
        <v>21.079236999999999</v>
      </c>
      <c r="AD115" s="1046">
        <v>21.236912</v>
      </c>
      <c r="AE115" s="1046">
        <v>21.461658</v>
      </c>
      <c r="AF115" s="1046">
        <v>21.586451</v>
      </c>
      <c r="AG115" s="1046">
        <v>21.737777999999999</v>
      </c>
      <c r="AH115" s="1046">
        <v>21.988303999999999</v>
      </c>
      <c r="AI115" s="1046">
        <v>22.237325999999999</v>
      </c>
      <c r="AJ115" s="1046">
        <v>22.342414999999999</v>
      </c>
      <c r="AK115" s="1046">
        <v>22.437189</v>
      </c>
      <c r="AL115" s="1046">
        <v>22.654578999999998</v>
      </c>
      <c r="AM115" s="1046">
        <v>22.911854000000002</v>
      </c>
      <c r="AN115" s="1046">
        <v>23.191139</v>
      </c>
      <c r="AO115" s="1046">
        <v>23.409314999999999</v>
      </c>
      <c r="AP115" s="1046">
        <v>23.521646</v>
      </c>
      <c r="AQ115" s="1046">
        <v>23.76399</v>
      </c>
      <c r="AR115" s="1046">
        <v>24.052772999999998</v>
      </c>
      <c r="AS115" s="1042"/>
      <c r="AT115" s="1042"/>
      <c r="AU115" s="1042"/>
      <c r="AV115" s="1042"/>
      <c r="AW115" s="1042"/>
      <c r="AX115" s="1042"/>
      <c r="AY115" s="1042"/>
      <c r="AZ115" s="1042"/>
      <c r="BA115" s="1042"/>
      <c r="BB115" s="1042"/>
      <c r="BC115" s="1042"/>
      <c r="BD115" s="1042"/>
      <c r="BE115" s="1042"/>
      <c r="BF115" s="1042"/>
      <c r="BG115" s="1042"/>
      <c r="BH115" s="1042"/>
      <c r="BI115" s="1042"/>
      <c r="BJ115" s="1042"/>
      <c r="BK115" s="1042"/>
      <c r="BL115" s="1042"/>
      <c r="BM115" s="1042"/>
      <c r="BN115" s="1042"/>
      <c r="BO115" s="1042"/>
      <c r="BP115" s="1042"/>
      <c r="BQ115" s="1042"/>
      <c r="BR115" s="1042"/>
      <c r="BS115" s="1042"/>
      <c r="BT115" s="1042"/>
      <c r="BU115" s="1042"/>
      <c r="BV115" s="1044"/>
    </row>
    <row r="116" spans="1:74" s="1040" customFormat="1" ht="13.8" thickBot="1" x14ac:dyDescent="0.3">
      <c r="A116" s="1049" t="s">
        <v>684</v>
      </c>
      <c r="B116" s="1050"/>
      <c r="C116" s="1051"/>
      <c r="D116" s="1051"/>
      <c r="E116" s="1051"/>
      <c r="F116" s="1050"/>
      <c r="G116" s="1050"/>
      <c r="H116" s="1050"/>
      <c r="I116" s="1050"/>
      <c r="J116" s="1050"/>
      <c r="K116" s="1050"/>
      <c r="L116" s="1050"/>
      <c r="M116" s="1050"/>
      <c r="N116" s="1050"/>
      <c r="O116" s="1052">
        <v>34.952885000000002</v>
      </c>
      <c r="P116" s="1052">
        <v>34.831184</v>
      </c>
      <c r="Q116" s="1052">
        <v>34.015979999999999</v>
      </c>
      <c r="R116" s="1052">
        <v>34.409668000000003</v>
      </c>
      <c r="S116" s="1052">
        <v>34.941752999999999</v>
      </c>
      <c r="T116" s="1052">
        <v>35.163139000000001</v>
      </c>
      <c r="U116" s="1052">
        <v>35.519157</v>
      </c>
      <c r="V116" s="1052">
        <v>35.913296000000003</v>
      </c>
      <c r="W116" s="1052">
        <v>36.178234000000003</v>
      </c>
      <c r="X116" s="1052">
        <v>36.146892999999999</v>
      </c>
      <c r="Y116" s="1052">
        <v>36.061802</v>
      </c>
      <c r="Z116" s="1052">
        <v>35.804130999999998</v>
      </c>
      <c r="AA116" s="1052">
        <v>35.695621000000003</v>
      </c>
      <c r="AB116" s="1052">
        <v>36.040774999999996</v>
      </c>
      <c r="AC116" s="1052">
        <v>36.141415000000002</v>
      </c>
      <c r="AD116" s="1052">
        <v>36.246937000000003</v>
      </c>
      <c r="AE116" s="1052">
        <v>36.470740999999997</v>
      </c>
      <c r="AF116" s="1052">
        <v>36.579631999999997</v>
      </c>
      <c r="AG116" s="1052">
        <v>36.725307000000001</v>
      </c>
      <c r="AH116" s="1052">
        <v>36.981831</v>
      </c>
      <c r="AI116" s="1052">
        <v>37.256236999999999</v>
      </c>
      <c r="AJ116" s="1052">
        <v>37.335673999999997</v>
      </c>
      <c r="AK116" s="1052">
        <v>37.369007000000003</v>
      </c>
      <c r="AL116" s="1052">
        <v>37.567386999999997</v>
      </c>
      <c r="AM116" s="1052">
        <v>37.817901999999997</v>
      </c>
      <c r="AN116" s="1052">
        <v>38.082256000000001</v>
      </c>
      <c r="AO116" s="1052">
        <v>38.298912000000001</v>
      </c>
      <c r="AP116" s="1052">
        <v>38.369354000000001</v>
      </c>
      <c r="AQ116" s="1052">
        <v>38.582217999999997</v>
      </c>
      <c r="AR116" s="1052">
        <v>38.834609999999998</v>
      </c>
      <c r="AS116" s="1050"/>
      <c r="AT116" s="1050"/>
      <c r="AU116" s="1050"/>
      <c r="AV116" s="1050"/>
      <c r="AW116" s="1050"/>
      <c r="AX116" s="1050"/>
      <c r="AY116" s="1050"/>
      <c r="AZ116" s="1050"/>
      <c r="BA116" s="1050"/>
      <c r="BB116" s="1050"/>
      <c r="BC116" s="1050"/>
      <c r="BD116" s="1050"/>
      <c r="BE116" s="1050"/>
      <c r="BF116" s="1050"/>
      <c r="BG116" s="1050"/>
      <c r="BH116" s="1050"/>
      <c r="BI116" s="1050"/>
      <c r="BJ116" s="1050"/>
      <c r="BK116" s="1050"/>
      <c r="BL116" s="1050"/>
      <c r="BM116" s="1050"/>
      <c r="BN116" s="1050"/>
      <c r="BO116" s="1050"/>
      <c r="BP116" s="1050"/>
      <c r="BQ116" s="1050"/>
      <c r="BR116" s="1050"/>
      <c r="BS116" s="1050"/>
      <c r="BT116" s="1050"/>
      <c r="BU116" s="1050"/>
      <c r="BV116" s="1053"/>
    </row>
    <row r="129" spans="1:104" ht="13.8" thickBot="1" x14ac:dyDescent="0.3"/>
    <row r="130" spans="1:104" x14ac:dyDescent="0.25">
      <c r="A130" s="1368" t="s">
        <v>1292</v>
      </c>
      <c r="B130" s="1369" t="str">
        <f>"Prices are in $(" &amp; ref_year&amp;")/GJ LHV"</f>
        <v>Prices are in $(2016)/GJ LHV</v>
      </c>
      <c r="C130" s="1369"/>
      <c r="D130" s="1370"/>
      <c r="E130" s="1369"/>
      <c r="F130" s="951"/>
      <c r="G130" s="951"/>
      <c r="H130" s="951"/>
      <c r="I130" s="951"/>
      <c r="J130" s="951"/>
      <c r="K130" s="951"/>
      <c r="L130" s="951"/>
      <c r="M130" s="951"/>
      <c r="N130" s="951"/>
      <c r="O130" s="951"/>
      <c r="P130" s="951"/>
      <c r="Q130" s="951"/>
      <c r="R130" s="951"/>
      <c r="S130" s="951"/>
      <c r="T130" s="951"/>
      <c r="U130" s="951"/>
      <c r="V130" s="951"/>
      <c r="W130" s="951"/>
      <c r="X130" s="951"/>
      <c r="Y130" s="951"/>
      <c r="Z130" s="951"/>
      <c r="AA130" s="951"/>
      <c r="AB130" s="951"/>
      <c r="AC130" s="951"/>
      <c r="AD130" s="951"/>
      <c r="AE130" s="951"/>
      <c r="AF130" s="951"/>
      <c r="AG130" s="951"/>
      <c r="AH130" s="951"/>
      <c r="AI130" s="951"/>
      <c r="AJ130" s="951"/>
      <c r="AK130" s="951"/>
      <c r="AL130" s="951"/>
      <c r="AM130" s="951"/>
      <c r="AN130" s="951"/>
      <c r="AO130" s="951"/>
      <c r="AP130" s="951"/>
      <c r="AQ130" s="951"/>
      <c r="AR130" s="951"/>
      <c r="AS130" s="1371"/>
      <c r="AT130" s="1371"/>
      <c r="AU130" s="1371"/>
      <c r="AV130" s="1371"/>
      <c r="AW130" s="1371"/>
      <c r="AX130" s="1371"/>
      <c r="AY130" s="1371"/>
      <c r="AZ130" s="1371"/>
      <c r="BA130" s="1371"/>
      <c r="BB130" s="1372" t="s">
        <v>1293</v>
      </c>
      <c r="BC130" s="1373"/>
      <c r="BD130" s="1373"/>
      <c r="BE130" s="1373"/>
      <c r="BF130" s="1373"/>
      <c r="BG130" s="1373"/>
      <c r="BH130" s="1373"/>
      <c r="BI130" s="1373"/>
      <c r="BJ130" s="1373"/>
      <c r="BK130" s="1373"/>
      <c r="BL130" s="1373"/>
      <c r="BM130" s="1373"/>
      <c r="BN130" s="1373"/>
      <c r="BO130" s="1373"/>
      <c r="BP130" s="1373"/>
      <c r="BQ130" s="1373"/>
      <c r="BR130" s="1373"/>
      <c r="BS130" s="1373"/>
      <c r="BT130" s="1373"/>
      <c r="BU130" s="1373"/>
      <c r="BV130" s="1373"/>
      <c r="BW130" s="1373"/>
      <c r="BX130" s="1373"/>
      <c r="BY130" s="1373"/>
      <c r="BZ130" s="1373"/>
      <c r="CA130" s="1373"/>
      <c r="CB130" s="1373"/>
      <c r="CC130" s="1373"/>
      <c r="CD130" s="1373"/>
      <c r="CE130" s="1373"/>
      <c r="CF130" s="1373"/>
      <c r="CG130" s="1373"/>
      <c r="CH130" s="1373"/>
      <c r="CI130" s="1373"/>
      <c r="CJ130" s="1373"/>
      <c r="CK130" s="1373"/>
      <c r="CL130" s="1373"/>
      <c r="CM130" s="1373"/>
      <c r="CN130" s="1373"/>
      <c r="CO130" s="1373"/>
      <c r="CP130" s="1373"/>
      <c r="CQ130" s="1373"/>
      <c r="CR130" s="1373"/>
      <c r="CS130" s="1373"/>
      <c r="CT130" s="1373"/>
      <c r="CU130" s="1373"/>
      <c r="CV130" s="1373"/>
      <c r="CW130" s="1373"/>
      <c r="CX130" s="1373"/>
      <c r="CY130" s="1373"/>
      <c r="CZ130" s="1374"/>
    </row>
    <row r="131" spans="1:104" ht="40.200000000000003" thickBot="1" x14ac:dyDescent="0.3">
      <c r="A131" s="1375" t="s">
        <v>1085</v>
      </c>
      <c r="B131" s="1110" t="s">
        <v>678</v>
      </c>
      <c r="C131" s="1110" t="s">
        <v>679</v>
      </c>
      <c r="D131" s="1243" t="s">
        <v>690</v>
      </c>
      <c r="E131" s="1110" t="s">
        <v>691</v>
      </c>
      <c r="F131" s="1111" t="s">
        <v>680</v>
      </c>
      <c r="G131" s="1111" t="s">
        <v>692</v>
      </c>
      <c r="H131" s="884">
        <v>2004</v>
      </c>
      <c r="I131" s="884">
        <f>+H131+1</f>
        <v>2005</v>
      </c>
      <c r="J131" s="884">
        <f t="shared" ref="J131:BU131" si="265">+I131+1</f>
        <v>2006</v>
      </c>
      <c r="K131" s="884">
        <f t="shared" si="265"/>
        <v>2007</v>
      </c>
      <c r="L131" s="884">
        <f t="shared" si="265"/>
        <v>2008</v>
      </c>
      <c r="M131" s="884">
        <f t="shared" si="265"/>
        <v>2009</v>
      </c>
      <c r="N131" s="884">
        <f t="shared" si="265"/>
        <v>2010</v>
      </c>
      <c r="O131" s="884">
        <f t="shared" si="265"/>
        <v>2011</v>
      </c>
      <c r="P131" s="884">
        <f t="shared" si="265"/>
        <v>2012</v>
      </c>
      <c r="Q131" s="884">
        <f t="shared" si="265"/>
        <v>2013</v>
      </c>
      <c r="R131" s="884">
        <f t="shared" si="265"/>
        <v>2014</v>
      </c>
      <c r="S131" s="884">
        <f t="shared" si="265"/>
        <v>2015</v>
      </c>
      <c r="T131" s="884">
        <f t="shared" si="265"/>
        <v>2016</v>
      </c>
      <c r="U131" s="884">
        <f t="shared" si="265"/>
        <v>2017</v>
      </c>
      <c r="V131" s="884">
        <f t="shared" si="265"/>
        <v>2018</v>
      </c>
      <c r="W131" s="884">
        <f t="shared" si="265"/>
        <v>2019</v>
      </c>
      <c r="X131" s="884">
        <f t="shared" si="265"/>
        <v>2020</v>
      </c>
      <c r="Y131" s="884">
        <f t="shared" si="265"/>
        <v>2021</v>
      </c>
      <c r="Z131" s="884">
        <f t="shared" si="265"/>
        <v>2022</v>
      </c>
      <c r="AA131" s="884">
        <f t="shared" si="265"/>
        <v>2023</v>
      </c>
      <c r="AB131" s="884">
        <f t="shared" si="265"/>
        <v>2024</v>
      </c>
      <c r="AC131" s="884">
        <f t="shared" si="265"/>
        <v>2025</v>
      </c>
      <c r="AD131" s="884">
        <f t="shared" si="265"/>
        <v>2026</v>
      </c>
      <c r="AE131" s="884">
        <f t="shared" si="265"/>
        <v>2027</v>
      </c>
      <c r="AF131" s="884">
        <f t="shared" si="265"/>
        <v>2028</v>
      </c>
      <c r="AG131" s="884">
        <f t="shared" si="265"/>
        <v>2029</v>
      </c>
      <c r="AH131" s="884">
        <f t="shared" si="265"/>
        <v>2030</v>
      </c>
      <c r="AI131" s="884">
        <f t="shared" si="265"/>
        <v>2031</v>
      </c>
      <c r="AJ131" s="884">
        <f t="shared" si="265"/>
        <v>2032</v>
      </c>
      <c r="AK131" s="884">
        <f t="shared" si="265"/>
        <v>2033</v>
      </c>
      <c r="AL131" s="884">
        <f t="shared" si="265"/>
        <v>2034</v>
      </c>
      <c r="AM131" s="884">
        <f t="shared" si="265"/>
        <v>2035</v>
      </c>
      <c r="AN131" s="884">
        <f t="shared" si="265"/>
        <v>2036</v>
      </c>
      <c r="AO131" s="884">
        <f t="shared" si="265"/>
        <v>2037</v>
      </c>
      <c r="AP131" s="884">
        <f t="shared" si="265"/>
        <v>2038</v>
      </c>
      <c r="AQ131" s="884">
        <f t="shared" si="265"/>
        <v>2039</v>
      </c>
      <c r="AR131" s="884">
        <f t="shared" si="265"/>
        <v>2040</v>
      </c>
      <c r="AS131" s="884">
        <f t="shared" si="265"/>
        <v>2041</v>
      </c>
      <c r="AT131" s="884">
        <f t="shared" si="265"/>
        <v>2042</v>
      </c>
      <c r="AU131" s="884">
        <f t="shared" si="265"/>
        <v>2043</v>
      </c>
      <c r="AV131" s="884">
        <f t="shared" si="265"/>
        <v>2044</v>
      </c>
      <c r="AW131" s="884">
        <f t="shared" si="265"/>
        <v>2045</v>
      </c>
      <c r="AX131" s="884">
        <f t="shared" si="265"/>
        <v>2046</v>
      </c>
      <c r="AY131" s="884">
        <f t="shared" si="265"/>
        <v>2047</v>
      </c>
      <c r="AZ131" s="884">
        <f t="shared" si="265"/>
        <v>2048</v>
      </c>
      <c r="BA131" s="884">
        <f t="shared" si="265"/>
        <v>2049</v>
      </c>
      <c r="BB131" s="884">
        <f t="shared" si="265"/>
        <v>2050</v>
      </c>
      <c r="BC131" s="884">
        <f t="shared" si="265"/>
        <v>2051</v>
      </c>
      <c r="BD131" s="884">
        <f t="shared" si="265"/>
        <v>2052</v>
      </c>
      <c r="BE131" s="884">
        <f t="shared" si="265"/>
        <v>2053</v>
      </c>
      <c r="BF131" s="884">
        <f t="shared" si="265"/>
        <v>2054</v>
      </c>
      <c r="BG131" s="884">
        <f t="shared" si="265"/>
        <v>2055</v>
      </c>
      <c r="BH131" s="884">
        <f t="shared" si="265"/>
        <v>2056</v>
      </c>
      <c r="BI131" s="884">
        <f t="shared" si="265"/>
        <v>2057</v>
      </c>
      <c r="BJ131" s="884">
        <f t="shared" si="265"/>
        <v>2058</v>
      </c>
      <c r="BK131" s="884">
        <f t="shared" si="265"/>
        <v>2059</v>
      </c>
      <c r="BL131" s="884">
        <f t="shared" si="265"/>
        <v>2060</v>
      </c>
      <c r="BM131" s="884">
        <f t="shared" si="265"/>
        <v>2061</v>
      </c>
      <c r="BN131" s="884">
        <f t="shared" si="265"/>
        <v>2062</v>
      </c>
      <c r="BO131" s="884">
        <f t="shared" si="265"/>
        <v>2063</v>
      </c>
      <c r="BP131" s="884">
        <f t="shared" si="265"/>
        <v>2064</v>
      </c>
      <c r="BQ131" s="884">
        <f t="shared" si="265"/>
        <v>2065</v>
      </c>
      <c r="BR131" s="884">
        <f t="shared" si="265"/>
        <v>2066</v>
      </c>
      <c r="BS131" s="884">
        <f t="shared" si="265"/>
        <v>2067</v>
      </c>
      <c r="BT131" s="884">
        <f t="shared" si="265"/>
        <v>2068</v>
      </c>
      <c r="BU131" s="884">
        <f t="shared" si="265"/>
        <v>2069</v>
      </c>
      <c r="BV131" s="884">
        <f t="shared" ref="BV131:CZ131" si="266">+BU131+1</f>
        <v>2070</v>
      </c>
      <c r="BW131" s="884">
        <f t="shared" si="266"/>
        <v>2071</v>
      </c>
      <c r="BX131" s="884">
        <f t="shared" si="266"/>
        <v>2072</v>
      </c>
      <c r="BY131" s="884">
        <f t="shared" si="266"/>
        <v>2073</v>
      </c>
      <c r="BZ131" s="884">
        <f t="shared" si="266"/>
        <v>2074</v>
      </c>
      <c r="CA131" s="884">
        <f t="shared" si="266"/>
        <v>2075</v>
      </c>
      <c r="CB131" s="884">
        <f t="shared" si="266"/>
        <v>2076</v>
      </c>
      <c r="CC131" s="884">
        <f t="shared" si="266"/>
        <v>2077</v>
      </c>
      <c r="CD131" s="884">
        <f t="shared" si="266"/>
        <v>2078</v>
      </c>
      <c r="CE131" s="884">
        <f t="shared" si="266"/>
        <v>2079</v>
      </c>
      <c r="CF131" s="884">
        <f t="shared" si="266"/>
        <v>2080</v>
      </c>
      <c r="CG131" s="884">
        <f t="shared" si="266"/>
        <v>2081</v>
      </c>
      <c r="CH131" s="884">
        <f t="shared" si="266"/>
        <v>2082</v>
      </c>
      <c r="CI131" s="884">
        <f t="shared" si="266"/>
        <v>2083</v>
      </c>
      <c r="CJ131" s="884">
        <f t="shared" si="266"/>
        <v>2084</v>
      </c>
      <c r="CK131" s="884">
        <f t="shared" si="266"/>
        <v>2085</v>
      </c>
      <c r="CL131" s="884">
        <f t="shared" si="266"/>
        <v>2086</v>
      </c>
      <c r="CM131" s="884">
        <f t="shared" si="266"/>
        <v>2087</v>
      </c>
      <c r="CN131" s="884">
        <f t="shared" si="266"/>
        <v>2088</v>
      </c>
      <c r="CO131" s="884">
        <f t="shared" si="266"/>
        <v>2089</v>
      </c>
      <c r="CP131" s="884">
        <f t="shared" si="266"/>
        <v>2090</v>
      </c>
      <c r="CQ131" s="884">
        <f t="shared" si="266"/>
        <v>2091</v>
      </c>
      <c r="CR131" s="884">
        <f t="shared" si="266"/>
        <v>2092</v>
      </c>
      <c r="CS131" s="884">
        <f t="shared" si="266"/>
        <v>2093</v>
      </c>
      <c r="CT131" s="884">
        <f t="shared" si="266"/>
        <v>2094</v>
      </c>
      <c r="CU131" s="884">
        <f t="shared" si="266"/>
        <v>2095</v>
      </c>
      <c r="CV131" s="884">
        <f t="shared" si="266"/>
        <v>2096</v>
      </c>
      <c r="CW131" s="884">
        <f t="shared" si="266"/>
        <v>2097</v>
      </c>
      <c r="CX131" s="884">
        <f t="shared" si="266"/>
        <v>2098</v>
      </c>
      <c r="CY131" s="884">
        <f t="shared" si="266"/>
        <v>2099</v>
      </c>
      <c r="CZ131" s="1376">
        <f t="shared" si="266"/>
        <v>2100</v>
      </c>
    </row>
    <row r="132" spans="1:104" ht="13.8" thickBot="1" x14ac:dyDescent="0.3">
      <c r="A132" s="1377" t="s">
        <v>1091</v>
      </c>
      <c r="B132" s="866"/>
      <c r="C132" s="866"/>
      <c r="D132" s="1244"/>
      <c r="E132" s="866"/>
      <c r="F132" s="866"/>
      <c r="G132" s="866"/>
      <c r="H132" s="951"/>
      <c r="I132" s="951"/>
      <c r="J132" s="951"/>
      <c r="K132" s="951"/>
      <c r="L132" s="951"/>
      <c r="M132" s="951"/>
      <c r="N132" s="951"/>
      <c r="O132" s="951"/>
      <c r="P132" s="951"/>
      <c r="Q132" s="951"/>
      <c r="R132" s="951"/>
      <c r="S132" s="951"/>
      <c r="T132" s="951"/>
      <c r="U132" s="951"/>
      <c r="V132" s="951"/>
      <c r="W132" s="951"/>
      <c r="X132" s="951"/>
      <c r="Y132" s="951"/>
      <c r="Z132" s="951"/>
      <c r="AA132" s="951"/>
      <c r="AB132" s="951"/>
      <c r="AC132" s="951"/>
      <c r="AD132" s="951"/>
      <c r="AE132" s="951"/>
      <c r="AF132" s="951"/>
      <c r="AG132" s="951"/>
      <c r="AH132" s="951"/>
      <c r="AI132" s="951"/>
      <c r="AJ132" s="951"/>
      <c r="AK132" s="951"/>
      <c r="AL132" s="951"/>
      <c r="AM132" s="951"/>
      <c r="AN132" s="951"/>
      <c r="AO132" s="951"/>
      <c r="AP132" s="951"/>
      <c r="AQ132" s="951"/>
      <c r="AR132" s="951"/>
      <c r="AS132" s="951"/>
      <c r="AT132" s="951"/>
      <c r="AU132" s="951"/>
      <c r="AV132" s="951"/>
      <c r="AW132" s="951"/>
      <c r="AX132" s="951"/>
      <c r="AY132" s="951"/>
      <c r="AZ132" s="951"/>
      <c r="BA132" s="951"/>
      <c r="BB132" s="951"/>
      <c r="BC132" s="951"/>
      <c r="BD132" s="951"/>
      <c r="BE132" s="951"/>
      <c r="BF132" s="951"/>
      <c r="BG132" s="951"/>
      <c r="BH132" s="951"/>
      <c r="BI132" s="951"/>
      <c r="BJ132" s="951"/>
      <c r="BK132" s="951"/>
      <c r="BL132" s="951"/>
      <c r="BM132" s="951"/>
      <c r="BN132" s="951"/>
      <c r="BO132" s="951"/>
      <c r="BP132" s="951"/>
      <c r="BQ132" s="951"/>
      <c r="BR132" s="951"/>
      <c r="BS132" s="951"/>
      <c r="BT132" s="951"/>
      <c r="BU132" s="951"/>
      <c r="BV132" s="951"/>
      <c r="BW132" s="951"/>
      <c r="BX132" s="951"/>
      <c r="BY132" s="951"/>
      <c r="BZ132" s="951"/>
      <c r="CA132" s="951"/>
      <c r="CB132" s="951"/>
      <c r="CC132" s="951"/>
      <c r="CD132" s="951"/>
      <c r="CE132" s="951"/>
      <c r="CF132" s="951"/>
      <c r="CG132" s="951"/>
      <c r="CH132" s="951"/>
      <c r="CI132" s="951"/>
      <c r="CJ132" s="951"/>
      <c r="CK132" s="951"/>
      <c r="CL132" s="951"/>
      <c r="CM132" s="951"/>
      <c r="CN132" s="951"/>
      <c r="CO132" s="951"/>
      <c r="CP132" s="951"/>
      <c r="CQ132" s="951"/>
      <c r="CR132" s="951"/>
      <c r="CS132" s="951"/>
      <c r="CT132" s="951"/>
      <c r="CU132" s="951"/>
      <c r="CV132" s="951"/>
      <c r="CW132" s="951"/>
      <c r="CX132" s="951"/>
      <c r="CY132" s="951"/>
      <c r="CZ132" s="1378"/>
    </row>
    <row r="133" spans="1:104" x14ac:dyDescent="0.25">
      <c r="A133" s="1379" t="s">
        <v>681</v>
      </c>
      <c r="B133" s="260">
        <v>2016</v>
      </c>
      <c r="C133" s="869">
        <f t="shared" ref="C133:C141" si="267">VLOOKUP(ref_year,DeflatorTable,2,FALSE)/VLOOKUP(B133,DeflatorTable,2,FALSE)</f>
        <v>1</v>
      </c>
      <c r="D133" s="1245" t="s">
        <v>865</v>
      </c>
      <c r="E133" s="869" t="s">
        <v>1059</v>
      </c>
      <c r="F133" s="260">
        <v>47.141269049911173</v>
      </c>
      <c r="G133" s="260">
        <v>52.224661236371581</v>
      </c>
      <c r="H133" s="1055">
        <f>+H153*$C133</f>
        <v>13.604875014867702</v>
      </c>
      <c r="I133" s="1055">
        <f t="shared" ref="I133:BT141" si="268">+I153*$C133</f>
        <v>15.571757228276402</v>
      </c>
      <c r="J133" s="1055">
        <f t="shared" si="268"/>
        <v>16.331995797204218</v>
      </c>
      <c r="K133" s="1055">
        <f t="shared" si="268"/>
        <v>15.155672177020728</v>
      </c>
      <c r="L133" s="1055">
        <f t="shared" si="268"/>
        <v>15.783516201764996</v>
      </c>
      <c r="M133" s="1055">
        <f t="shared" si="268"/>
        <v>13.69149010361817</v>
      </c>
      <c r="N133" s="1055">
        <f t="shared" si="268"/>
        <v>12.691188457250465</v>
      </c>
      <c r="O133" s="951">
        <f t="shared" si="268"/>
        <v>12.04142243701838</v>
      </c>
      <c r="P133" s="951">
        <f t="shared" si="268"/>
        <v>11.415954621928984</v>
      </c>
      <c r="Q133" s="951">
        <f t="shared" si="268"/>
        <v>10.886628367710442</v>
      </c>
      <c r="R133" s="951">
        <f t="shared" si="268"/>
        <v>11.368469484946878</v>
      </c>
      <c r="S133" s="951">
        <f t="shared" si="268"/>
        <v>9.7183315387998359</v>
      </c>
      <c r="T133" s="951">
        <f t="shared" si="268"/>
        <v>9.390001099467705</v>
      </c>
      <c r="U133" s="951">
        <f t="shared" si="268"/>
        <v>10.023002570479671</v>
      </c>
      <c r="V133" s="951">
        <f t="shared" si="268"/>
        <v>10.033707215541167</v>
      </c>
      <c r="W133" s="951">
        <f t="shared" si="268"/>
        <v>10.158951752324048</v>
      </c>
      <c r="X133" s="951">
        <f t="shared" si="268"/>
        <v>10.289627280447673</v>
      </c>
      <c r="Y133" s="951">
        <f t="shared" si="268"/>
        <v>10.38663350570965</v>
      </c>
      <c r="Z133" s="951">
        <f t="shared" si="268"/>
        <v>10.458822090960101</v>
      </c>
      <c r="AA133" s="951">
        <f t="shared" si="268"/>
        <v>10.541361785535555</v>
      </c>
      <c r="AB133" s="951">
        <f t="shared" si="268"/>
        <v>10.671303703310535</v>
      </c>
      <c r="AC133" s="951">
        <f t="shared" si="268"/>
        <v>10.821196220864106</v>
      </c>
      <c r="AD133" s="951">
        <f t="shared" si="268"/>
        <v>10.961130973142659</v>
      </c>
      <c r="AE133" s="951">
        <f t="shared" si="268"/>
        <v>11.387951919139837</v>
      </c>
      <c r="AF133" s="951">
        <f t="shared" si="268"/>
        <v>11.524366479125279</v>
      </c>
      <c r="AG133" s="951">
        <f t="shared" si="268"/>
        <v>11.653679994237272</v>
      </c>
      <c r="AH133" s="951">
        <f t="shared" si="268"/>
        <v>11.727599293307653</v>
      </c>
      <c r="AI133" s="951">
        <f t="shared" si="268"/>
        <v>11.827238554162054</v>
      </c>
      <c r="AJ133" s="951">
        <f t="shared" si="268"/>
        <v>11.877874728924342</v>
      </c>
      <c r="AK133" s="951">
        <f t="shared" si="268"/>
        <v>11.891573527850655</v>
      </c>
      <c r="AL133" s="951">
        <f t="shared" si="268"/>
        <v>11.9827791131466</v>
      </c>
      <c r="AM133" s="951">
        <f t="shared" si="268"/>
        <v>12.163475682807357</v>
      </c>
      <c r="AN133" s="951">
        <f t="shared" si="268"/>
        <v>12.259449735369497</v>
      </c>
      <c r="AO133" s="951">
        <f t="shared" si="268"/>
        <v>12.356256919064013</v>
      </c>
      <c r="AP133" s="951">
        <f t="shared" si="268"/>
        <v>12.41256198723101</v>
      </c>
      <c r="AQ133" s="951">
        <f t="shared" si="268"/>
        <v>12.490714236969412</v>
      </c>
      <c r="AR133" s="951">
        <f t="shared" si="268"/>
        <v>12.496378391289182</v>
      </c>
      <c r="AS133" s="951">
        <f t="shared" si="268"/>
        <v>12.55376491863939</v>
      </c>
      <c r="AT133" s="951">
        <f t="shared" si="268"/>
        <v>12.651412816002184</v>
      </c>
      <c r="AU133" s="951">
        <f t="shared" si="268"/>
        <v>12.770777096192051</v>
      </c>
      <c r="AV133" s="951">
        <f t="shared" si="268"/>
        <v>12.886454368298935</v>
      </c>
      <c r="AW133" s="951">
        <f t="shared" si="268"/>
        <v>13.010888521557151</v>
      </c>
      <c r="AX133" s="951">
        <f t="shared" si="268"/>
        <v>13.118997475015544</v>
      </c>
      <c r="AY133" s="951">
        <f t="shared" si="268"/>
        <v>13.217679440712152</v>
      </c>
      <c r="AZ133" s="951">
        <f t="shared" si="268"/>
        <v>13.363983523149482</v>
      </c>
      <c r="BA133" s="951">
        <f t="shared" si="268"/>
        <v>13.453606254075613</v>
      </c>
      <c r="BB133" s="951">
        <f t="shared" si="268"/>
        <v>13.593337225701765</v>
      </c>
      <c r="BC133" s="951">
        <f t="shared" si="268"/>
        <v>13.668907227280409</v>
      </c>
      <c r="BD133" s="951">
        <f t="shared" si="268"/>
        <v>13.744897348292845</v>
      </c>
      <c r="BE133" s="951">
        <f t="shared" si="268"/>
        <v>13.821309924326409</v>
      </c>
      <c r="BF133" s="951">
        <f t="shared" si="268"/>
        <v>13.898147303952761</v>
      </c>
      <c r="BG133" s="951">
        <f t="shared" si="268"/>
        <v>13.975411848800078</v>
      </c>
      <c r="BH133" s="951">
        <f t="shared" si="268"/>
        <v>14.050424531225174</v>
      </c>
      <c r="BI133" s="951">
        <f t="shared" si="268"/>
        <v>14.12583984239463</v>
      </c>
      <c r="BJ133" s="951">
        <f t="shared" si="268"/>
        <v>14.201659943408417</v>
      </c>
      <c r="BK133" s="951">
        <f t="shared" si="268"/>
        <v>14.277887006966159</v>
      </c>
      <c r="BL133" s="951">
        <f t="shared" si="268"/>
        <v>14.354523217429389</v>
      </c>
      <c r="BM133" s="951">
        <f t="shared" si="268"/>
        <v>14.422221698840277</v>
      </c>
      <c r="BN133" s="951">
        <f t="shared" si="268"/>
        <v>14.490239458315362</v>
      </c>
      <c r="BO133" s="951">
        <f t="shared" si="268"/>
        <v>14.558578001626712</v>
      </c>
      <c r="BP133" s="951">
        <f t="shared" si="268"/>
        <v>14.627238841647882</v>
      </c>
      <c r="BQ133" s="951">
        <f t="shared" si="268"/>
        <v>14.696223498387408</v>
      </c>
      <c r="BR133" s="951">
        <f t="shared" si="268"/>
        <v>14.75529333521281</v>
      </c>
      <c r="BS133" s="951">
        <f t="shared" si="268"/>
        <v>14.814600596681556</v>
      </c>
      <c r="BT133" s="951">
        <f t="shared" si="268"/>
        <v>14.874146237095607</v>
      </c>
      <c r="BU133" s="951">
        <f t="shared" ref="BU133:CZ140" si="269">+BU153*$C133</f>
        <v>14.933931214592636</v>
      </c>
      <c r="BV133" s="951">
        <f t="shared" si="269"/>
        <v>14.993956491161448</v>
      </c>
      <c r="BW133" s="951">
        <f t="shared" si="269"/>
        <v>15.043740835540882</v>
      </c>
      <c r="BX133" s="951">
        <f t="shared" si="269"/>
        <v>15.093690478582264</v>
      </c>
      <c r="BY133" s="951">
        <f t="shared" si="269"/>
        <v>15.143805969125756</v>
      </c>
      <c r="BZ133" s="951">
        <f t="shared" si="269"/>
        <v>15.19408785783383</v>
      </c>
      <c r="CA133" s="951">
        <f t="shared" si="269"/>
        <v>15.244536697197322</v>
      </c>
      <c r="CB133" s="951">
        <f t="shared" si="269"/>
        <v>15.277067444573643</v>
      </c>
      <c r="CC133" s="951">
        <f t="shared" si="269"/>
        <v>15.309667610230484</v>
      </c>
      <c r="CD133" s="951">
        <f t="shared" si="269"/>
        <v>15.342337342301477</v>
      </c>
      <c r="CE133" s="951">
        <f t="shared" si="269"/>
        <v>15.375076789236356</v>
      </c>
      <c r="CF133" s="951">
        <f t="shared" si="269"/>
        <v>15.407886099801638</v>
      </c>
      <c r="CG133" s="951">
        <f t="shared" si="269"/>
        <v>15.41853907481957</v>
      </c>
      <c r="CH133" s="951">
        <f t="shared" si="269"/>
        <v>15.42919941527855</v>
      </c>
      <c r="CI133" s="951">
        <f t="shared" si="269"/>
        <v>15.439867126271025</v>
      </c>
      <c r="CJ133" s="951">
        <f t="shared" si="269"/>
        <v>15.450542212892964</v>
      </c>
      <c r="CK133" s="951">
        <f t="shared" si="269"/>
        <v>15.461224680243861</v>
      </c>
      <c r="CL133" s="951">
        <f t="shared" si="269"/>
        <v>15.464845562477739</v>
      </c>
      <c r="CM133" s="951">
        <f t="shared" si="269"/>
        <v>15.468467292690251</v>
      </c>
      <c r="CN133" s="951">
        <f t="shared" si="269"/>
        <v>15.472089871079984</v>
      </c>
      <c r="CO133" s="951">
        <f t="shared" si="269"/>
        <v>15.475713297845573</v>
      </c>
      <c r="CP133" s="951">
        <f t="shared" si="269"/>
        <v>15.479337573185701</v>
      </c>
      <c r="CQ133" s="951">
        <f t="shared" si="269"/>
        <v>15.484830510437597</v>
      </c>
      <c r="CR133" s="951">
        <f t="shared" si="269"/>
        <v>15.490325396891745</v>
      </c>
      <c r="CS133" s="951">
        <f t="shared" si="269"/>
        <v>15.49582223323983</v>
      </c>
      <c r="CT133" s="951">
        <f t="shared" si="269"/>
        <v>15.501321020173785</v>
      </c>
      <c r="CU133" s="951">
        <f t="shared" si="269"/>
        <v>15.506821758385787</v>
      </c>
      <c r="CV133" s="951">
        <f t="shared" si="269"/>
        <v>15.515287417782641</v>
      </c>
      <c r="CW133" s="951">
        <f t="shared" si="269"/>
        <v>15.523757698847955</v>
      </c>
      <c r="CX133" s="951">
        <f t="shared" si="269"/>
        <v>15.532232604104841</v>
      </c>
      <c r="CY133" s="951">
        <f t="shared" si="269"/>
        <v>15.540712136077792</v>
      </c>
      <c r="CZ133" s="1378">
        <f t="shared" si="269"/>
        <v>15.549196297292674</v>
      </c>
    </row>
    <row r="134" spans="1:104" x14ac:dyDescent="0.25">
      <c r="A134" s="1379" t="s">
        <v>1086</v>
      </c>
      <c r="B134" s="260">
        <v>2016</v>
      </c>
      <c r="C134" s="869">
        <f t="shared" si="267"/>
        <v>1</v>
      </c>
      <c r="D134" s="1245" t="s">
        <v>865</v>
      </c>
      <c r="E134" s="869" t="s">
        <v>1059</v>
      </c>
      <c r="F134" s="260">
        <v>47.141269049911173</v>
      </c>
      <c r="G134" s="260">
        <v>52.224661236371581</v>
      </c>
      <c r="H134" s="1056">
        <f t="shared" ref="H134:BS137" si="270">+H154*$C134</f>
        <v>11.934322920018829</v>
      </c>
      <c r="I134" s="1056">
        <f t="shared" si="270"/>
        <v>13.90423046997279</v>
      </c>
      <c r="J134" s="1056">
        <f t="shared" si="270"/>
        <v>14.274140536522257</v>
      </c>
      <c r="K134" s="1056">
        <f t="shared" si="270"/>
        <v>13.139550648884942</v>
      </c>
      <c r="L134" s="1056">
        <f t="shared" si="270"/>
        <v>13.897221248926272</v>
      </c>
      <c r="M134" s="1056">
        <f t="shared" si="270"/>
        <v>11.345666428533674</v>
      </c>
      <c r="N134" s="1056">
        <f t="shared" si="270"/>
        <v>10.551848524158197</v>
      </c>
      <c r="O134" s="260">
        <f t="shared" si="270"/>
        <v>9.7270239269114924</v>
      </c>
      <c r="P134" s="260">
        <f t="shared" si="270"/>
        <v>8.6825570363966911</v>
      </c>
      <c r="Q134" s="260">
        <f t="shared" si="270"/>
        <v>8.5236392646415098</v>
      </c>
      <c r="R134" s="260">
        <f t="shared" si="270"/>
        <v>9.2232797097563566</v>
      </c>
      <c r="S134" s="260">
        <f t="shared" si="270"/>
        <v>7.6085885488542795</v>
      </c>
      <c r="T134" s="260">
        <f t="shared" si="270"/>
        <v>6.813801352724405</v>
      </c>
      <c r="U134" s="260">
        <f t="shared" si="270"/>
        <v>7.4731047451509687</v>
      </c>
      <c r="V134" s="260">
        <f t="shared" si="270"/>
        <v>7.9843107853990691</v>
      </c>
      <c r="W134" s="260">
        <f t="shared" si="270"/>
        <v>8.5650780622071245</v>
      </c>
      <c r="X134" s="260">
        <f t="shared" si="270"/>
        <v>9.1477570858798014</v>
      </c>
      <c r="Y134" s="260">
        <f t="shared" si="270"/>
        <v>9.2514909161219876</v>
      </c>
      <c r="Z134" s="260">
        <f t="shared" si="270"/>
        <v>9.3094669856386769</v>
      </c>
      <c r="AA134" s="260">
        <f t="shared" si="270"/>
        <v>9.3761326413005577</v>
      </c>
      <c r="AB134" s="260">
        <f t="shared" si="270"/>
        <v>9.4891655040111615</v>
      </c>
      <c r="AC134" s="260">
        <f t="shared" si="270"/>
        <v>9.6143446414218783</v>
      </c>
      <c r="AD134" s="260">
        <f t="shared" si="270"/>
        <v>9.7258827967425425</v>
      </c>
      <c r="AE134" s="260">
        <f t="shared" si="270"/>
        <v>10.087086372666475</v>
      </c>
      <c r="AF134" s="260">
        <f t="shared" si="270"/>
        <v>10.198695614261233</v>
      </c>
      <c r="AG134" s="260">
        <f t="shared" si="270"/>
        <v>10.304737378868989</v>
      </c>
      <c r="AH134" s="260">
        <f t="shared" si="270"/>
        <v>10.357640731866367</v>
      </c>
      <c r="AI134" s="260">
        <f t="shared" si="270"/>
        <v>10.427655972763532</v>
      </c>
      <c r="AJ134" s="260">
        <f t="shared" si="270"/>
        <v>10.453569289213085</v>
      </c>
      <c r="AK134" s="260">
        <f t="shared" si="270"/>
        <v>10.441948105124277</v>
      </c>
      <c r="AL134" s="260">
        <f t="shared" si="270"/>
        <v>10.506270757192036</v>
      </c>
      <c r="AM134" s="260">
        <f t="shared" si="270"/>
        <v>10.658282593530579</v>
      </c>
      <c r="AN134" s="260">
        <f t="shared" si="270"/>
        <v>10.722901912315555</v>
      </c>
      <c r="AO134" s="260">
        <f t="shared" si="270"/>
        <v>10.786351624937444</v>
      </c>
      <c r="AP134" s="260">
        <f t="shared" si="270"/>
        <v>10.817805879498341</v>
      </c>
      <c r="AQ134" s="260">
        <f t="shared" si="270"/>
        <v>10.86596540847121</v>
      </c>
      <c r="AR134" s="260">
        <f t="shared" si="270"/>
        <v>10.838793391061706</v>
      </c>
      <c r="AS134" s="260">
        <f t="shared" si="270"/>
        <v>10.868085675073171</v>
      </c>
      <c r="AT134" s="260">
        <f t="shared" si="270"/>
        <v>10.937640276914211</v>
      </c>
      <c r="AU134" s="260">
        <f t="shared" si="270"/>
        <v>11.027299024885883</v>
      </c>
      <c r="AV134" s="260">
        <f t="shared" si="270"/>
        <v>11.114692490256441</v>
      </c>
      <c r="AW134" s="260">
        <f t="shared" si="270"/>
        <v>11.212257927541287</v>
      </c>
      <c r="AX134" s="260">
        <f t="shared" si="270"/>
        <v>11.293368314098968</v>
      </c>
      <c r="AY134" s="260">
        <f t="shared" si="270"/>
        <v>11.35816487466068</v>
      </c>
      <c r="AZ134" s="260">
        <f t="shared" si="270"/>
        <v>11.46581792814789</v>
      </c>
      <c r="BA134" s="260">
        <f t="shared" si="270"/>
        <v>11.521194135666732</v>
      </c>
      <c r="BB134" s="260">
        <f t="shared" si="270"/>
        <v>11.628119265707223</v>
      </c>
      <c r="BC134" s="260">
        <f t="shared" si="270"/>
        <v>11.692763949840026</v>
      </c>
      <c r="BD134" s="260">
        <f t="shared" si="270"/>
        <v>11.757768015837698</v>
      </c>
      <c r="BE134" s="260">
        <f t="shared" si="270"/>
        <v>11.823133461626696</v>
      </c>
      <c r="BF134" s="260">
        <f t="shared" si="270"/>
        <v>11.888862296240635</v>
      </c>
      <c r="BG134" s="260">
        <f t="shared" si="270"/>
        <v>11.954956539882032</v>
      </c>
      <c r="BH134" s="260">
        <f t="shared" si="270"/>
        <v>12.019124477688386</v>
      </c>
      <c r="BI134" s="260">
        <f t="shared" si="270"/>
        <v>12.083636835336717</v>
      </c>
      <c r="BJ134" s="260">
        <f t="shared" si="270"/>
        <v>12.148495461492134</v>
      </c>
      <c r="BK134" s="260">
        <f t="shared" si="270"/>
        <v>12.213702214742405</v>
      </c>
      <c r="BL134" s="260">
        <f t="shared" si="270"/>
        <v>12.279258963651227</v>
      </c>
      <c r="BM134" s="260">
        <f t="shared" si="270"/>
        <v>12.337170130194249</v>
      </c>
      <c r="BN134" s="260">
        <f t="shared" si="270"/>
        <v>12.395354416085945</v>
      </c>
      <c r="BO134" s="260">
        <f t="shared" si="270"/>
        <v>12.453813109405683</v>
      </c>
      <c r="BP134" s="260">
        <f t="shared" si="270"/>
        <v>12.512547504307637</v>
      </c>
      <c r="BQ134" s="260">
        <f t="shared" si="270"/>
        <v>12.571558901049444</v>
      </c>
      <c r="BR134" s="260">
        <f t="shared" si="270"/>
        <v>12.622088884688262</v>
      </c>
      <c r="BS134" s="260">
        <f t="shared" si="270"/>
        <v>12.672821967979766</v>
      </c>
      <c r="BT134" s="260">
        <f t="shared" si="268"/>
        <v>12.723758967260437</v>
      </c>
      <c r="BU134" s="260">
        <f t="shared" si="269"/>
        <v>12.774900702147928</v>
      </c>
      <c r="BV134" s="260">
        <f t="shared" si="269"/>
        <v>12.826247995554251</v>
      </c>
      <c r="BW134" s="260">
        <f t="shared" si="269"/>
        <v>12.868834910334423</v>
      </c>
      <c r="BX134" s="260">
        <f t="shared" si="269"/>
        <v>12.911563226193937</v>
      </c>
      <c r="BY134" s="260">
        <f t="shared" si="269"/>
        <v>12.954433412625956</v>
      </c>
      <c r="BZ134" s="260">
        <f t="shared" si="269"/>
        <v>12.997445940682496</v>
      </c>
      <c r="CA134" s="260">
        <f t="shared" si="269"/>
        <v>13.040601282979605</v>
      </c>
      <c r="CB134" s="260">
        <f t="shared" si="269"/>
        <v>13.06842899033459</v>
      </c>
      <c r="CC134" s="260">
        <f t="shared" si="269"/>
        <v>13.096316080020177</v>
      </c>
      <c r="CD134" s="260">
        <f t="shared" si="269"/>
        <v>13.124262678753999</v>
      </c>
      <c r="CE134" s="260">
        <f t="shared" si="269"/>
        <v>13.152268913524093</v>
      </c>
      <c r="CF134" s="260">
        <f t="shared" si="269"/>
        <v>13.180334911589481</v>
      </c>
      <c r="CG134" s="260">
        <f t="shared" si="269"/>
        <v>13.189447763127433</v>
      </c>
      <c r="CH134" s="260">
        <f t="shared" si="269"/>
        <v>13.198566915268799</v>
      </c>
      <c r="CI134" s="260">
        <f t="shared" si="269"/>
        <v>13.207692372369801</v>
      </c>
      <c r="CJ134" s="260">
        <f t="shared" si="269"/>
        <v>13.216824138789674</v>
      </c>
      <c r="CK134" s="260">
        <f t="shared" si="269"/>
        <v>13.225962218890665</v>
      </c>
      <c r="CL134" s="260">
        <f t="shared" si="269"/>
        <v>13.22905962240266</v>
      </c>
      <c r="CM134" s="260">
        <f t="shared" si="269"/>
        <v>13.232157751299196</v>
      </c>
      <c r="CN134" s="260">
        <f t="shared" si="269"/>
        <v>13.23525660575015</v>
      </c>
      <c r="CO134" s="260">
        <f t="shared" si="269"/>
        <v>13.23835618592544</v>
      </c>
      <c r="CP134" s="260">
        <f t="shared" si="269"/>
        <v>13.241456491995026</v>
      </c>
      <c r="CQ134" s="260">
        <f t="shared" si="269"/>
        <v>13.246155303510076</v>
      </c>
      <c r="CR134" s="260">
        <f t="shared" si="269"/>
        <v>13.250855782427021</v>
      </c>
      <c r="CS134" s="260">
        <f t="shared" si="269"/>
        <v>13.255557929337549</v>
      </c>
      <c r="CT134" s="260">
        <f t="shared" si="269"/>
        <v>13.260261744833558</v>
      </c>
      <c r="CU134" s="260">
        <f t="shared" si="269"/>
        <v>13.264967229507157</v>
      </c>
      <c r="CV134" s="260">
        <f t="shared" si="269"/>
        <v>13.272208990341527</v>
      </c>
      <c r="CW134" s="260">
        <f t="shared" si="269"/>
        <v>13.279454704679821</v>
      </c>
      <c r="CX134" s="260">
        <f t="shared" si="269"/>
        <v>13.286704374680379</v>
      </c>
      <c r="CY134" s="260">
        <f t="shared" si="269"/>
        <v>13.293958002502723</v>
      </c>
      <c r="CZ134" s="449">
        <f t="shared" si="269"/>
        <v>13.30121559030755</v>
      </c>
    </row>
    <row r="135" spans="1:104" x14ac:dyDescent="0.25">
      <c r="A135" s="1379" t="s">
        <v>283</v>
      </c>
      <c r="B135" s="260">
        <v>2016</v>
      </c>
      <c r="C135" s="869">
        <f t="shared" si="267"/>
        <v>1</v>
      </c>
      <c r="D135" s="1245" t="s">
        <v>865</v>
      </c>
      <c r="E135" s="869" t="s">
        <v>1059</v>
      </c>
      <c r="F135" s="260">
        <v>47.141269049911173</v>
      </c>
      <c r="G135" s="260">
        <v>52.224661236371581</v>
      </c>
      <c r="H135" s="1056">
        <f t="shared" si="270"/>
        <v>8.2641705904266125</v>
      </c>
      <c r="I135" s="1056">
        <f t="shared" si="270"/>
        <v>10.495609596381577</v>
      </c>
      <c r="J135" s="1056">
        <f t="shared" si="270"/>
        <v>9.3614571685358463</v>
      </c>
      <c r="K135" s="1056">
        <f t="shared" si="270"/>
        <v>8.8987432965993278</v>
      </c>
      <c r="L135" s="1056">
        <f t="shared" si="270"/>
        <v>10.965509816201024</v>
      </c>
      <c r="M135" s="1056">
        <f t="shared" si="270"/>
        <v>6.0111731674040234</v>
      </c>
      <c r="N135" s="1056">
        <f t="shared" si="270"/>
        <v>6.1171751211856922</v>
      </c>
      <c r="O135" s="260">
        <f t="shared" si="270"/>
        <v>5.6004077154944953</v>
      </c>
      <c r="P135" s="260">
        <f t="shared" si="270"/>
        <v>4.1590520124961925</v>
      </c>
      <c r="Q135" s="260">
        <f t="shared" si="270"/>
        <v>4.894763142071362</v>
      </c>
      <c r="R135" s="260">
        <f t="shared" si="270"/>
        <v>5.8241384234641265</v>
      </c>
      <c r="S135" s="260">
        <f t="shared" si="270"/>
        <v>3.5390282601113117</v>
      </c>
      <c r="T135" s="260">
        <f t="shared" si="270"/>
        <v>3.3168400539876552</v>
      </c>
      <c r="U135" s="260">
        <f t="shared" si="270"/>
        <v>3.8686572087168831</v>
      </c>
      <c r="V135" s="260">
        <f t="shared" si="270"/>
        <v>4.230424735748624</v>
      </c>
      <c r="W135" s="260">
        <f t="shared" si="270"/>
        <v>4.6374903322667231</v>
      </c>
      <c r="X135" s="260">
        <f t="shared" si="270"/>
        <v>5.0398775041324821</v>
      </c>
      <c r="Y135" s="260">
        <f t="shared" si="270"/>
        <v>5.0452222441273262</v>
      </c>
      <c r="Z135" s="260">
        <f t="shared" si="270"/>
        <v>4.9894479534735598</v>
      </c>
      <c r="AA135" s="260">
        <f t="shared" si="270"/>
        <v>5.0008757828968315</v>
      </c>
      <c r="AB135" s="260">
        <f t="shared" si="270"/>
        <v>5.0866427943161305</v>
      </c>
      <c r="AC135" s="260">
        <f t="shared" si="270"/>
        <v>5.1985543895300337</v>
      </c>
      <c r="AD135" s="260">
        <f t="shared" si="270"/>
        <v>5.3142743134013735</v>
      </c>
      <c r="AE135" s="260">
        <f t="shared" si="270"/>
        <v>5.4069765017212355</v>
      </c>
      <c r="AF135" s="260">
        <f t="shared" si="270"/>
        <v>5.498883471588238</v>
      </c>
      <c r="AG135" s="260">
        <f t="shared" si="270"/>
        <v>5.5761078084954727</v>
      </c>
      <c r="AH135" s="260">
        <f t="shared" si="270"/>
        <v>5.5953977798334869</v>
      </c>
      <c r="AI135" s="260">
        <f t="shared" si="270"/>
        <v>5.6194116710392619</v>
      </c>
      <c r="AJ135" s="260">
        <f t="shared" si="270"/>
        <v>5.6053299540498323</v>
      </c>
      <c r="AK135" s="260">
        <f t="shared" si="270"/>
        <v>5.5496627667157004</v>
      </c>
      <c r="AL135" s="260">
        <f t="shared" si="270"/>
        <v>5.5482476759527453</v>
      </c>
      <c r="AM135" s="260">
        <f t="shared" si="270"/>
        <v>5.6344516310034729</v>
      </c>
      <c r="AN135" s="260">
        <f t="shared" si="270"/>
        <v>5.6381945602887429</v>
      </c>
      <c r="AO135" s="260">
        <f t="shared" si="270"/>
        <v>5.6485162872871211</v>
      </c>
      <c r="AP135" s="260">
        <f t="shared" si="270"/>
        <v>5.6430123140383071</v>
      </c>
      <c r="AQ135" s="260">
        <f t="shared" si="270"/>
        <v>5.6644386648670784</v>
      </c>
      <c r="AR135" s="260">
        <f t="shared" si="270"/>
        <v>5.6215300420072483</v>
      </c>
      <c r="AS135" s="260">
        <f t="shared" si="270"/>
        <v>5.6260767200982693</v>
      </c>
      <c r="AT135" s="260">
        <f t="shared" si="270"/>
        <v>5.6802473044084865</v>
      </c>
      <c r="AU135" s="260">
        <f t="shared" si="270"/>
        <v>5.7631623345111542</v>
      </c>
      <c r="AV135" s="260">
        <f t="shared" si="270"/>
        <v>5.819991545472468</v>
      </c>
      <c r="AW135" s="260">
        <f t="shared" si="270"/>
        <v>5.8947240715184783</v>
      </c>
      <c r="AX135" s="260">
        <f t="shared" si="270"/>
        <v>5.9518546882819487</v>
      </c>
      <c r="AY135" s="260">
        <f t="shared" si="270"/>
        <v>6.0145186606208574</v>
      </c>
      <c r="AZ135" s="260">
        <f t="shared" si="270"/>
        <v>6.1247620979360331</v>
      </c>
      <c r="BA135" s="260">
        <f t="shared" si="270"/>
        <v>6.1606322318436177</v>
      </c>
      <c r="BB135" s="260">
        <f t="shared" si="270"/>
        <v>6.238633778680942</v>
      </c>
      <c r="BC135" s="260">
        <f t="shared" si="270"/>
        <v>6.2733164733478626</v>
      </c>
      <c r="BD135" s="260">
        <f t="shared" si="270"/>
        <v>6.3081919809530058</v>
      </c>
      <c r="BE135" s="260">
        <f t="shared" si="270"/>
        <v>6.3432613734093088</v>
      </c>
      <c r="BF135" s="260">
        <f t="shared" si="270"/>
        <v>6.3785257285888406</v>
      </c>
      <c r="BG135" s="260">
        <f t="shared" si="270"/>
        <v>6.4139861303559274</v>
      </c>
      <c r="BH135" s="260">
        <f t="shared" si="270"/>
        <v>6.4484130445592944</v>
      </c>
      <c r="BI135" s="260">
        <f t="shared" si="270"/>
        <v>6.4830247443854354</v>
      </c>
      <c r="BJ135" s="260">
        <f t="shared" si="270"/>
        <v>6.5178222216666768</v>
      </c>
      <c r="BK135" s="260">
        <f t="shared" si="270"/>
        <v>6.5528064735589808</v>
      </c>
      <c r="BL135" s="260">
        <f t="shared" si="270"/>
        <v>6.5879785025705191</v>
      </c>
      <c r="BM135" s="260">
        <f t="shared" si="270"/>
        <v>6.6190485794679574</v>
      </c>
      <c r="BN135" s="260">
        <f t="shared" si="270"/>
        <v>6.6502651883672899</v>
      </c>
      <c r="BO135" s="260">
        <f t="shared" si="270"/>
        <v>6.6816290203394662</v>
      </c>
      <c r="BP135" s="260">
        <f t="shared" si="270"/>
        <v>6.7131407697146503</v>
      </c>
      <c r="BQ135" s="260">
        <f t="shared" si="270"/>
        <v>6.7448011340975915</v>
      </c>
      <c r="BR135" s="260">
        <f t="shared" si="270"/>
        <v>6.7719111125525773</v>
      </c>
      <c r="BS135" s="260">
        <f t="shared" si="270"/>
        <v>6.7991300565526132</v>
      </c>
      <c r="BT135" s="260">
        <f t="shared" si="268"/>
        <v>6.8264584040725946</v>
      </c>
      <c r="BU135" s="260">
        <f t="shared" si="269"/>
        <v>6.8538965948478108</v>
      </c>
      <c r="BV135" s="260">
        <f t="shared" si="269"/>
        <v>6.8814450703810159</v>
      </c>
      <c r="BW135" s="260">
        <f t="shared" si="269"/>
        <v>6.904293491437457</v>
      </c>
      <c r="BX135" s="260">
        <f t="shared" si="269"/>
        <v>6.9272177759701634</v>
      </c>
      <c r="BY135" s="260">
        <f t="shared" si="269"/>
        <v>6.9502181758681845</v>
      </c>
      <c r="BZ135" s="260">
        <f t="shared" si="269"/>
        <v>6.9732949438569127</v>
      </c>
      <c r="CA135" s="260">
        <f t="shared" si="269"/>
        <v>6.996448333500866</v>
      </c>
      <c r="CB135" s="260">
        <f t="shared" si="269"/>
        <v>7.0113782521851409</v>
      </c>
      <c r="CC135" s="260">
        <f t="shared" si="269"/>
        <v>7.0263400302445289</v>
      </c>
      <c r="CD135" s="260">
        <f t="shared" si="269"/>
        <v>7.0413337356646508</v>
      </c>
      <c r="CE135" s="260">
        <f t="shared" si="269"/>
        <v>7.0563594365762032</v>
      </c>
      <c r="CF135" s="260">
        <f t="shared" si="269"/>
        <v>7.0714172012552687</v>
      </c>
      <c r="CG135" s="260">
        <f t="shared" si="269"/>
        <v>7.0763063619291211</v>
      </c>
      <c r="CH135" s="260">
        <f t="shared" si="269"/>
        <v>7.0811989029567863</v>
      </c>
      <c r="CI135" s="260">
        <f t="shared" si="269"/>
        <v>7.0860948266754322</v>
      </c>
      <c r="CJ135" s="260">
        <f t="shared" si="269"/>
        <v>7.090994135423843</v>
      </c>
      <c r="CK135" s="260">
        <f t="shared" si="269"/>
        <v>7.0958968315424205</v>
      </c>
      <c r="CL135" s="260">
        <f t="shared" si="269"/>
        <v>7.0975586278944007</v>
      </c>
      <c r="CM135" s="260">
        <f t="shared" si="269"/>
        <v>7.0992208134244059</v>
      </c>
      <c r="CN135" s="260">
        <f t="shared" si="269"/>
        <v>7.1008833882235782</v>
      </c>
      <c r="CO135" s="260">
        <f t="shared" si="269"/>
        <v>7.1025463523830812</v>
      </c>
      <c r="CP135" s="260">
        <f t="shared" si="269"/>
        <v>7.1042097059940996</v>
      </c>
      <c r="CQ135" s="260">
        <f t="shared" si="269"/>
        <v>7.1067306780935082</v>
      </c>
      <c r="CR135" s="260">
        <f t="shared" si="269"/>
        <v>7.1092525447752264</v>
      </c>
      <c r="CS135" s="260">
        <f t="shared" si="269"/>
        <v>7.1117753063567024</v>
      </c>
      <c r="CT135" s="260">
        <f t="shared" si="269"/>
        <v>7.1142989631554965</v>
      </c>
      <c r="CU135" s="260">
        <f t="shared" si="269"/>
        <v>7.1168235154892816</v>
      </c>
      <c r="CV135" s="260">
        <f t="shared" si="269"/>
        <v>7.1207088122192239</v>
      </c>
      <c r="CW135" s="260">
        <f t="shared" si="269"/>
        <v>7.1245962300542702</v>
      </c>
      <c r="CX135" s="260">
        <f t="shared" si="269"/>
        <v>7.1284857701523974</v>
      </c>
      <c r="CY135" s="260">
        <f t="shared" si="269"/>
        <v>7.1323774336722154</v>
      </c>
      <c r="CZ135" s="449">
        <f t="shared" si="269"/>
        <v>7.1362712217729669</v>
      </c>
    </row>
    <row r="136" spans="1:104" x14ac:dyDescent="0.25">
      <c r="A136" s="1379" t="s">
        <v>1087</v>
      </c>
      <c r="B136" s="260">
        <v>2016</v>
      </c>
      <c r="C136" s="869">
        <f t="shared" si="267"/>
        <v>1</v>
      </c>
      <c r="D136" s="1245" t="s">
        <v>865</v>
      </c>
      <c r="E136" s="869" t="s">
        <v>1059</v>
      </c>
      <c r="F136" s="260">
        <v>47.141269049911173</v>
      </c>
      <c r="G136" s="260">
        <v>52.224661236371581</v>
      </c>
      <c r="H136" s="1056">
        <f t="shared" si="270"/>
        <v>8.4160389626855991</v>
      </c>
      <c r="I136" s="1056">
        <f t="shared" si="270"/>
        <v>10.630483084185546</v>
      </c>
      <c r="J136" s="1056">
        <f t="shared" si="270"/>
        <v>10.241695834954719</v>
      </c>
      <c r="K136" s="1056">
        <f t="shared" si="270"/>
        <v>9.4549147526367854</v>
      </c>
      <c r="L136" s="1056">
        <f t="shared" si="270"/>
        <v>10.431438353650302</v>
      </c>
      <c r="M136" s="1056">
        <f t="shared" si="270"/>
        <v>7.3081429877632402</v>
      </c>
      <c r="N136" s="1056">
        <f t="shared" si="270"/>
        <v>6.8860004096407268</v>
      </c>
      <c r="O136" s="260">
        <f t="shared" si="270"/>
        <v>6.1462564207083838</v>
      </c>
      <c r="P136" s="260">
        <f t="shared" si="270"/>
        <v>5.0701845410069568</v>
      </c>
      <c r="Q136" s="260">
        <f t="shared" si="270"/>
        <v>5.147940545971605</v>
      </c>
      <c r="R136" s="260">
        <f t="shared" si="270"/>
        <v>5.9174075441245835</v>
      </c>
      <c r="S136" s="260">
        <f t="shared" si="270"/>
        <v>4.3672641892083037</v>
      </c>
      <c r="T136" s="260">
        <f t="shared" si="270"/>
        <v>3.755553639162041</v>
      </c>
      <c r="U136" s="260">
        <f t="shared" si="270"/>
        <v>3.3468214009493336</v>
      </c>
      <c r="V136" s="260">
        <f t="shared" si="270"/>
        <v>3.6078009129373227</v>
      </c>
      <c r="W136" s="260">
        <f t="shared" si="270"/>
        <v>3.9595869792693468</v>
      </c>
      <c r="X136" s="260">
        <f t="shared" si="270"/>
        <v>4.2992239274502966</v>
      </c>
      <c r="Y136" s="260">
        <f t="shared" si="270"/>
        <v>4.3362295461094007</v>
      </c>
      <c r="Z136" s="260">
        <f t="shared" si="270"/>
        <v>4.2972619462853157</v>
      </c>
      <c r="AA136" s="260">
        <f t="shared" si="270"/>
        <v>4.3209431537283329</v>
      </c>
      <c r="AB136" s="260">
        <f t="shared" si="270"/>
        <v>4.4388231525151278</v>
      </c>
      <c r="AC136" s="260">
        <f t="shared" si="270"/>
        <v>4.5598555906037213</v>
      </c>
      <c r="AD136" s="260">
        <f t="shared" si="270"/>
        <v>4.6705511366221319</v>
      </c>
      <c r="AE136" s="260">
        <f t="shared" si="270"/>
        <v>4.7905826799714895</v>
      </c>
      <c r="AF136" s="260">
        <f t="shared" si="270"/>
        <v>4.8909868291351355</v>
      </c>
      <c r="AG136" s="260">
        <f t="shared" si="270"/>
        <v>4.9795195705251665</v>
      </c>
      <c r="AH136" s="260">
        <f t="shared" si="270"/>
        <v>5.0140428564929254</v>
      </c>
      <c r="AI136" s="260">
        <f t="shared" si="270"/>
        <v>5.034241784322349</v>
      </c>
      <c r="AJ136" s="260">
        <f t="shared" si="270"/>
        <v>5.0303794300966009</v>
      </c>
      <c r="AK136" s="260">
        <f t="shared" si="270"/>
        <v>4.9817061843162831</v>
      </c>
      <c r="AL136" s="260">
        <f t="shared" si="270"/>
        <v>5.005816752854825</v>
      </c>
      <c r="AM136" s="260">
        <f t="shared" si="270"/>
        <v>5.1117353012541518</v>
      </c>
      <c r="AN136" s="260">
        <f t="shared" si="270"/>
        <v>5.1218001698488047</v>
      </c>
      <c r="AO136" s="260">
        <f t="shared" si="270"/>
        <v>5.1563490468752367</v>
      </c>
      <c r="AP136" s="260">
        <f t="shared" si="270"/>
        <v>5.1654177598155924</v>
      </c>
      <c r="AQ136" s="260">
        <f t="shared" si="270"/>
        <v>5.1952502995101684</v>
      </c>
      <c r="AR136" s="260">
        <f t="shared" si="270"/>
        <v>5.1548078964528896</v>
      </c>
      <c r="AS136" s="260">
        <f t="shared" si="270"/>
        <v>5.1691436283950809</v>
      </c>
      <c r="AT136" s="260">
        <f t="shared" si="270"/>
        <v>5.2239208155775625</v>
      </c>
      <c r="AU136" s="260">
        <f t="shared" si="270"/>
        <v>5.3036701369405987</v>
      </c>
      <c r="AV136" s="260">
        <f t="shared" si="270"/>
        <v>5.3698761013633396</v>
      </c>
      <c r="AW136" s="260">
        <f t="shared" si="270"/>
        <v>5.4477553798092231</v>
      </c>
      <c r="AX136" s="260">
        <f t="shared" si="270"/>
        <v>5.5105548899774046</v>
      </c>
      <c r="AY136" s="260">
        <f t="shared" si="270"/>
        <v>5.5735610242489493</v>
      </c>
      <c r="AZ136" s="260">
        <f t="shared" si="270"/>
        <v>5.6745566112130543</v>
      </c>
      <c r="BA136" s="260">
        <f t="shared" si="270"/>
        <v>5.7069198222653581</v>
      </c>
      <c r="BB136" s="260">
        <f t="shared" si="270"/>
        <v>5.8107835034348891</v>
      </c>
      <c r="BC136" s="260">
        <f t="shared" si="270"/>
        <v>5.8430876323795795</v>
      </c>
      <c r="BD136" s="260">
        <f t="shared" si="270"/>
        <v>5.8755713510037442</v>
      </c>
      <c r="BE136" s="260">
        <f t="shared" si="270"/>
        <v>5.9082356577077126</v>
      </c>
      <c r="BF136" s="260">
        <f t="shared" si="270"/>
        <v>5.9410815564422617</v>
      </c>
      <c r="BG136" s="260">
        <f t="shared" si="270"/>
        <v>5.974110056739474</v>
      </c>
      <c r="BH136" s="260">
        <f t="shared" si="270"/>
        <v>6.006175946840397</v>
      </c>
      <c r="BI136" s="260">
        <f t="shared" si="270"/>
        <v>6.0384139498247791</v>
      </c>
      <c r="BJ136" s="260">
        <f t="shared" si="270"/>
        <v>6.0708249895043265</v>
      </c>
      <c r="BK136" s="260">
        <f t="shared" si="270"/>
        <v>6.1034099946492821</v>
      </c>
      <c r="BL136" s="260">
        <f t="shared" si="270"/>
        <v>6.1361698990150408</v>
      </c>
      <c r="BM136" s="260">
        <f t="shared" si="270"/>
        <v>6.1651091662794615</v>
      </c>
      <c r="BN136" s="260">
        <f t="shared" si="270"/>
        <v>6.1941849162690321</v>
      </c>
      <c r="BO136" s="260">
        <f t="shared" si="270"/>
        <v>6.2233977926605295</v>
      </c>
      <c r="BP136" s="260">
        <f t="shared" si="270"/>
        <v>6.2527484421664239</v>
      </c>
      <c r="BQ136" s="260">
        <f t="shared" si="270"/>
        <v>6.2822375145491964</v>
      </c>
      <c r="BR136" s="260">
        <f t="shared" si="270"/>
        <v>6.3074882699506478</v>
      </c>
      <c r="BS136" s="260">
        <f t="shared" si="270"/>
        <v>6.3328405179567433</v>
      </c>
      <c r="BT136" s="260">
        <f t="shared" si="268"/>
        <v>6.3582946665057261</v>
      </c>
      <c r="BU136" s="260">
        <f t="shared" si="269"/>
        <v>6.3838511251755019</v>
      </c>
      <c r="BV136" s="260">
        <f t="shared" si="269"/>
        <v>6.4095103051902287</v>
      </c>
      <c r="BW136" s="260">
        <f t="shared" si="269"/>
        <v>6.4307917640583545</v>
      </c>
      <c r="BX136" s="260">
        <f t="shared" si="269"/>
        <v>6.4521438836275307</v>
      </c>
      <c r="BY136" s="260">
        <f t="shared" si="269"/>
        <v>6.473566898512062</v>
      </c>
      <c r="BZ136" s="260">
        <f t="shared" si="269"/>
        <v>6.4950610441052419</v>
      </c>
      <c r="CA136" s="260">
        <f t="shared" si="269"/>
        <v>6.5166265565819383</v>
      </c>
      <c r="CB136" s="260">
        <f t="shared" si="269"/>
        <v>6.5305325700258869</v>
      </c>
      <c r="CC136" s="260">
        <f t="shared" si="269"/>
        <v>6.5444682579046409</v>
      </c>
      <c r="CD136" s="260">
        <f t="shared" si="269"/>
        <v>6.5584336835413142</v>
      </c>
      <c r="CE136" s="260">
        <f t="shared" si="269"/>
        <v>6.5724289103941489</v>
      </c>
      <c r="CF136" s="260">
        <f t="shared" si="269"/>
        <v>6.5864540020568016</v>
      </c>
      <c r="CG136" s="260">
        <f t="shared" si="269"/>
        <v>6.5910078603528843</v>
      </c>
      <c r="CH136" s="260">
        <f t="shared" si="269"/>
        <v>6.5955648671755291</v>
      </c>
      <c r="CI136" s="260">
        <f t="shared" si="269"/>
        <v>6.6001250247016205</v>
      </c>
      <c r="CJ136" s="260">
        <f t="shared" si="269"/>
        <v>6.6046883351095476</v>
      </c>
      <c r="CK136" s="260">
        <f t="shared" si="269"/>
        <v>6.6092548005792047</v>
      </c>
      <c r="CL136" s="260">
        <f t="shared" si="269"/>
        <v>6.6108026296665843</v>
      </c>
      <c r="CM136" s="260">
        <f t="shared" si="269"/>
        <v>6.6123508212418631</v>
      </c>
      <c r="CN136" s="260">
        <f t="shared" si="269"/>
        <v>6.6138993753899316</v>
      </c>
      <c r="CO136" s="260">
        <f t="shared" si="269"/>
        <v>6.6154482921957012</v>
      </c>
      <c r="CP136" s="260">
        <f t="shared" si="269"/>
        <v>6.6169975717441041</v>
      </c>
      <c r="CQ136" s="260">
        <f t="shared" si="269"/>
        <v>6.6193456536491393</v>
      </c>
      <c r="CR136" s="260">
        <f t="shared" si="269"/>
        <v>6.6216945687853457</v>
      </c>
      <c r="CS136" s="260">
        <f t="shared" si="269"/>
        <v>6.6240443174483996</v>
      </c>
      <c r="CT136" s="260">
        <f t="shared" si="269"/>
        <v>6.6263948999340831</v>
      </c>
      <c r="CU136" s="260">
        <f t="shared" si="269"/>
        <v>6.6287463165382841</v>
      </c>
      <c r="CV136" s="260">
        <f t="shared" si="269"/>
        <v>6.6323651566473876</v>
      </c>
      <c r="CW136" s="260">
        <f t="shared" si="269"/>
        <v>6.6359859723945851</v>
      </c>
      <c r="CX136" s="260">
        <f t="shared" si="269"/>
        <v>6.6396087648584388</v>
      </c>
      <c r="CY136" s="260">
        <f t="shared" si="269"/>
        <v>6.6432335351180996</v>
      </c>
      <c r="CZ136" s="449">
        <f t="shared" si="269"/>
        <v>6.6468602842533091</v>
      </c>
    </row>
    <row r="137" spans="1:104" x14ac:dyDescent="0.25">
      <c r="A137" s="956" t="s">
        <v>1082</v>
      </c>
      <c r="B137" s="260">
        <v>2016</v>
      </c>
      <c r="C137" s="869">
        <f t="shared" si="267"/>
        <v>1</v>
      </c>
      <c r="D137" s="1247" t="s">
        <v>268</v>
      </c>
      <c r="E137" s="869" t="s">
        <v>1059</v>
      </c>
      <c r="F137" s="260">
        <v>19.551069237418005</v>
      </c>
      <c r="G137" s="260">
        <v>20.588656379262464</v>
      </c>
      <c r="H137" s="1056">
        <f t="shared" si="270"/>
        <v>5.0967849132778742</v>
      </c>
      <c r="I137" s="1056">
        <f t="shared" si="270"/>
        <v>5.0967849132778742</v>
      </c>
      <c r="J137" s="1056">
        <f t="shared" si="270"/>
        <v>5.0967849132778742</v>
      </c>
      <c r="K137" s="1056">
        <f t="shared" si="270"/>
        <v>5.0967849132778742</v>
      </c>
      <c r="L137" s="1056">
        <f t="shared" si="270"/>
        <v>5.0967849132778742</v>
      </c>
      <c r="M137" s="1056">
        <f t="shared" si="270"/>
        <v>5.0967849132778742</v>
      </c>
      <c r="N137" s="1056">
        <f t="shared" si="270"/>
        <v>5.0967849132778742</v>
      </c>
      <c r="O137" s="260">
        <f t="shared" si="270"/>
        <v>5.0967849132778742</v>
      </c>
      <c r="P137" s="260">
        <f t="shared" si="270"/>
        <v>5.0967849132778742</v>
      </c>
      <c r="Q137" s="260">
        <f t="shared" si="270"/>
        <v>5.0967849132778742</v>
      </c>
      <c r="R137" s="260">
        <f t="shared" si="270"/>
        <v>5.0967849132778742</v>
      </c>
      <c r="S137" s="260">
        <f t="shared" si="270"/>
        <v>5.0967849132778742</v>
      </c>
      <c r="T137" s="260">
        <f t="shared" si="270"/>
        <v>5.0967849132778742</v>
      </c>
      <c r="U137" s="260">
        <f t="shared" si="270"/>
        <v>5.0967849132778742</v>
      </c>
      <c r="V137" s="260">
        <f t="shared" si="270"/>
        <v>5.0967849132778742</v>
      </c>
      <c r="W137" s="260">
        <f t="shared" si="270"/>
        <v>5.0967849132778742</v>
      </c>
      <c r="X137" s="260">
        <f t="shared" si="270"/>
        <v>5.0967849132778742</v>
      </c>
      <c r="Y137" s="260">
        <f t="shared" si="270"/>
        <v>5.0967849132778742</v>
      </c>
      <c r="Z137" s="260">
        <f t="shared" si="270"/>
        <v>5.0967849132778742</v>
      </c>
      <c r="AA137" s="260">
        <f t="shared" si="270"/>
        <v>5.0967849132778742</v>
      </c>
      <c r="AB137" s="260">
        <f t="shared" si="270"/>
        <v>5.0967849132778742</v>
      </c>
      <c r="AC137" s="260">
        <f t="shared" si="270"/>
        <v>5.0967849132778742</v>
      </c>
      <c r="AD137" s="260">
        <f t="shared" si="270"/>
        <v>5.0967849132778742</v>
      </c>
      <c r="AE137" s="260">
        <f t="shared" si="270"/>
        <v>5.0967849132778742</v>
      </c>
      <c r="AF137" s="260">
        <f t="shared" si="270"/>
        <v>5.0967849132778742</v>
      </c>
      <c r="AG137" s="260">
        <f t="shared" si="270"/>
        <v>5.0967849132778742</v>
      </c>
      <c r="AH137" s="260">
        <f t="shared" si="270"/>
        <v>5.0967849132778742</v>
      </c>
      <c r="AI137" s="260">
        <f t="shared" si="270"/>
        <v>5.0967849132778742</v>
      </c>
      <c r="AJ137" s="260">
        <f t="shared" si="270"/>
        <v>5.0967849132778742</v>
      </c>
      <c r="AK137" s="260">
        <f t="shared" si="270"/>
        <v>5.0967849132778742</v>
      </c>
      <c r="AL137" s="260">
        <f t="shared" si="270"/>
        <v>5.0967849132778742</v>
      </c>
      <c r="AM137" s="260">
        <f t="shared" si="270"/>
        <v>5.0967849132778742</v>
      </c>
      <c r="AN137" s="260">
        <f t="shared" si="270"/>
        <v>5.0967849132778742</v>
      </c>
      <c r="AO137" s="260">
        <f t="shared" si="270"/>
        <v>5.0967849132778742</v>
      </c>
      <c r="AP137" s="260">
        <f t="shared" si="270"/>
        <v>5.0967849132778742</v>
      </c>
      <c r="AQ137" s="260">
        <f t="shared" si="270"/>
        <v>5.0967849132778742</v>
      </c>
      <c r="AR137" s="260">
        <f t="shared" si="270"/>
        <v>5.0967849132778742</v>
      </c>
      <c r="AS137" s="260">
        <f t="shared" si="270"/>
        <v>5.0967849132778742</v>
      </c>
      <c r="AT137" s="260">
        <f t="shared" si="270"/>
        <v>5.0967849132778742</v>
      </c>
      <c r="AU137" s="260">
        <f t="shared" si="270"/>
        <v>5.0967849132778742</v>
      </c>
      <c r="AV137" s="260">
        <f t="shared" si="270"/>
        <v>5.0967849132778742</v>
      </c>
      <c r="AW137" s="260">
        <f t="shared" si="270"/>
        <v>5.0967849132778742</v>
      </c>
      <c r="AX137" s="260">
        <f t="shared" si="270"/>
        <v>5.0967849132778742</v>
      </c>
      <c r="AY137" s="260">
        <f t="shared" si="270"/>
        <v>5.0967849132778742</v>
      </c>
      <c r="AZ137" s="260">
        <f t="shared" si="270"/>
        <v>5.0967849132778742</v>
      </c>
      <c r="BA137" s="260">
        <f t="shared" si="270"/>
        <v>5.0967849132778742</v>
      </c>
      <c r="BB137" s="260">
        <f t="shared" si="270"/>
        <v>5.0967849132778742</v>
      </c>
      <c r="BC137" s="260">
        <f t="shared" si="270"/>
        <v>5.1179587571540939</v>
      </c>
      <c r="BD137" s="260">
        <f t="shared" si="270"/>
        <v>5.1392205646528959</v>
      </c>
      <c r="BE137" s="260">
        <f t="shared" si="270"/>
        <v>5.1605707012062227</v>
      </c>
      <c r="BF137" s="260">
        <f t="shared" si="270"/>
        <v>5.1820095337641501</v>
      </c>
      <c r="BG137" s="260">
        <f t="shared" si="270"/>
        <v>5.2035374308011946</v>
      </c>
      <c r="BH137" s="260">
        <f t="shared" si="270"/>
        <v>5.2223240063357927</v>
      </c>
      <c r="BI137" s="260">
        <f t="shared" si="270"/>
        <v>5.2411784079262249</v>
      </c>
      <c r="BJ137" s="260">
        <f t="shared" si="270"/>
        <v>5.2601008804480855</v>
      </c>
      <c r="BK137" s="260">
        <f t="shared" si="270"/>
        <v>5.2790916696610548</v>
      </c>
      <c r="BL137" s="260">
        <f t="shared" si="270"/>
        <v>5.2981510222120916</v>
      </c>
      <c r="BM137" s="260">
        <f t="shared" si="270"/>
        <v>5.3113630812048802</v>
      </c>
      <c r="BN137" s="260">
        <f t="shared" si="270"/>
        <v>5.3246080872582748</v>
      </c>
      <c r="BO137" s="260">
        <f t="shared" si="270"/>
        <v>5.3378861225327325</v>
      </c>
      <c r="BP137" s="260">
        <f t="shared" si="270"/>
        <v>5.3511972693935945</v>
      </c>
      <c r="BQ137" s="260">
        <f t="shared" si="270"/>
        <v>5.3645416104115968</v>
      </c>
      <c r="BR137" s="260">
        <f t="shared" si="270"/>
        <v>5.3779717491778074</v>
      </c>
      <c r="BS137" s="260">
        <f t="shared" ref="BS137" si="271">+BS157*$C137</f>
        <v>5.3914355103185612</v>
      </c>
      <c r="BT137" s="260">
        <f t="shared" si="268"/>
        <v>5.4049329780075288</v>
      </c>
      <c r="BU137" s="260">
        <f t="shared" si="269"/>
        <v>5.4184642366291094</v>
      </c>
      <c r="BV137" s="260">
        <f t="shared" si="269"/>
        <v>5.4320293707789578</v>
      </c>
      <c r="BW137" s="260">
        <f t="shared" si="269"/>
        <v>5.4450858323773135</v>
      </c>
      <c r="BX137" s="260">
        <f t="shared" si="269"/>
        <v>5.458173676572823</v>
      </c>
      <c r="BY137" s="260">
        <f t="shared" si="269"/>
        <v>5.471292978796904</v>
      </c>
      <c r="BZ137" s="260">
        <f t="shared" si="269"/>
        <v>5.4844438146622805</v>
      </c>
      <c r="CA137" s="260">
        <f t="shared" si="269"/>
        <v>5.4976262599634209</v>
      </c>
      <c r="CB137" s="260">
        <f t="shared" si="269"/>
        <v>5.509165721372697</v>
      </c>
      <c r="CC137" s="260">
        <f t="shared" si="269"/>
        <v>5.5207294039936956</v>
      </c>
      <c r="CD137" s="260">
        <f t="shared" si="269"/>
        <v>5.5323173586664938</v>
      </c>
      <c r="CE137" s="260">
        <f t="shared" si="269"/>
        <v>5.5439296363378796</v>
      </c>
      <c r="CF137" s="260">
        <f t="shared" si="269"/>
        <v>5.5555662880615797</v>
      </c>
      <c r="CG137" s="260">
        <f t="shared" si="269"/>
        <v>5.5698816197819898</v>
      </c>
      <c r="CH137" s="260">
        <f t="shared" si="269"/>
        <v>5.5842338386011479</v>
      </c>
      <c r="CI137" s="260">
        <f t="shared" si="269"/>
        <v>5.598623039568059</v>
      </c>
      <c r="CJ137" s="260">
        <f t="shared" si="269"/>
        <v>5.6130493179766479</v>
      </c>
      <c r="CK137" s="260">
        <f t="shared" si="269"/>
        <v>5.6275127693663878</v>
      </c>
      <c r="CL137" s="260">
        <f t="shared" si="269"/>
        <v>5.6395580019552014</v>
      </c>
      <c r="CM137" s="260">
        <f t="shared" si="269"/>
        <v>5.6516290163830023</v>
      </c>
      <c r="CN137" s="260">
        <f t="shared" si="269"/>
        <v>5.6637258678337163</v>
      </c>
      <c r="CO137" s="260">
        <f t="shared" si="269"/>
        <v>5.6758486116093856</v>
      </c>
      <c r="CP137" s="260">
        <f t="shared" si="269"/>
        <v>5.6879973031304223</v>
      </c>
      <c r="CQ137" s="260">
        <f t="shared" si="269"/>
        <v>5.6991168854631553</v>
      </c>
      <c r="CR137" s="260">
        <f t="shared" si="269"/>
        <v>5.7102582056949531</v>
      </c>
      <c r="CS137" s="260">
        <f t="shared" si="269"/>
        <v>5.7214213063216786</v>
      </c>
      <c r="CT137" s="260">
        <f t="shared" si="269"/>
        <v>5.732606229922272</v>
      </c>
      <c r="CU137" s="260">
        <f t="shared" si="269"/>
        <v>5.7438130191589121</v>
      </c>
      <c r="CV137" s="260">
        <f t="shared" si="269"/>
        <v>5.7570440466225028</v>
      </c>
      <c r="CW137" s="260">
        <f t="shared" si="269"/>
        <v>5.7703055521130002</v>
      </c>
      <c r="CX137" s="260">
        <f t="shared" si="269"/>
        <v>5.7835976058373566</v>
      </c>
      <c r="CY137" s="260">
        <f t="shared" si="269"/>
        <v>5.796920278164249</v>
      </c>
      <c r="CZ137" s="449">
        <f t="shared" si="269"/>
        <v>5.8102736396244499</v>
      </c>
    </row>
    <row r="138" spans="1:104" x14ac:dyDescent="0.25">
      <c r="A138" s="1380" t="s">
        <v>1088</v>
      </c>
      <c r="B138" s="260">
        <v>2016</v>
      </c>
      <c r="C138" s="869">
        <f t="shared" si="267"/>
        <v>1</v>
      </c>
      <c r="D138" s="1247" t="s">
        <v>268</v>
      </c>
      <c r="E138" s="895" t="s">
        <v>1053</v>
      </c>
      <c r="F138" s="260">
        <v>22.7322030001394</v>
      </c>
      <c r="G138" s="260">
        <v>23.967615189707661</v>
      </c>
      <c r="H138" s="1056" t="e">
        <f t="shared" ref="H138:BS141" si="272">+H158*$C138</f>
        <v>#N/A</v>
      </c>
      <c r="I138" s="1056" t="e">
        <f t="shared" si="272"/>
        <v>#N/A</v>
      </c>
      <c r="J138" s="1056" t="e">
        <f t="shared" si="272"/>
        <v>#N/A</v>
      </c>
      <c r="K138" s="1056" t="e">
        <f t="shared" si="272"/>
        <v>#N/A</v>
      </c>
      <c r="L138" s="1056">
        <f t="shared" si="272"/>
        <v>2.2148742453355847</v>
      </c>
      <c r="M138" s="1056">
        <f t="shared" si="272"/>
        <v>2.3408877437334223</v>
      </c>
      <c r="N138" s="1056">
        <f t="shared" si="272"/>
        <v>2.3629142410275352</v>
      </c>
      <c r="O138" s="260">
        <f t="shared" si="272"/>
        <v>2.4181318326423913</v>
      </c>
      <c r="P138" s="260">
        <f t="shared" si="272"/>
        <v>2.3501923436687169</v>
      </c>
      <c r="Q138" s="260">
        <f t="shared" si="272"/>
        <v>2.2749877363600257</v>
      </c>
      <c r="R138" s="260">
        <f t="shared" si="272"/>
        <v>2.2671813119268305</v>
      </c>
      <c r="S138" s="260">
        <f t="shared" si="272"/>
        <v>2.0920368648072634</v>
      </c>
      <c r="T138" s="260">
        <f t="shared" si="272"/>
        <v>1.9706687398025258</v>
      </c>
      <c r="U138" s="260">
        <f t="shared" si="272"/>
        <v>2.067600203211962</v>
      </c>
      <c r="V138" s="260">
        <f t="shared" si="272"/>
        <v>2.1142782942327232</v>
      </c>
      <c r="W138" s="260">
        <f t="shared" si="272"/>
        <v>2.1573963846468813</v>
      </c>
      <c r="X138" s="260">
        <f t="shared" si="272"/>
        <v>2.1900363582596567</v>
      </c>
      <c r="Y138" s="260">
        <f t="shared" si="272"/>
        <v>2.1929897559939948</v>
      </c>
      <c r="Z138" s="260">
        <f t="shared" si="272"/>
        <v>2.2028650611910647</v>
      </c>
      <c r="AA138" s="260">
        <f t="shared" si="272"/>
        <v>2.2090827406317772</v>
      </c>
      <c r="AB138" s="260">
        <f t="shared" si="272"/>
        <v>2.2092997907220093</v>
      </c>
      <c r="AC138" s="260">
        <f t="shared" si="272"/>
        <v>2.2079918032786887</v>
      </c>
      <c r="AD138" s="260">
        <f t="shared" si="272"/>
        <v>2.2065492258230841</v>
      </c>
      <c r="AE138" s="260">
        <f t="shared" si="272"/>
        <v>2.1995552842692714</v>
      </c>
      <c r="AF138" s="260">
        <f t="shared" si="272"/>
        <v>2.1903510334996437</v>
      </c>
      <c r="AG138" s="260">
        <f t="shared" si="272"/>
        <v>2.1795345460335755</v>
      </c>
      <c r="AH138" s="260">
        <f t="shared" si="272"/>
        <v>2.1771697426487315</v>
      </c>
      <c r="AI138" s="260">
        <f t="shared" si="272"/>
        <v>2.177831318906295</v>
      </c>
      <c r="AJ138" s="260">
        <f t="shared" si="272"/>
        <v>2.1809505846135182</v>
      </c>
      <c r="AK138" s="260">
        <f t="shared" si="272"/>
        <v>2.1861806387528246</v>
      </c>
      <c r="AL138" s="260">
        <f t="shared" si="272"/>
        <v>2.1973402359685172</v>
      </c>
      <c r="AM138" s="260">
        <f t="shared" si="272"/>
        <v>2.2020565733003745</v>
      </c>
      <c r="AN138" s="260">
        <f t="shared" si="272"/>
        <v>2.2177912831167257</v>
      </c>
      <c r="AO138" s="260">
        <f t="shared" si="272"/>
        <v>2.2206593773221517</v>
      </c>
      <c r="AP138" s="260">
        <f t="shared" si="272"/>
        <v>2.2289385587115755</v>
      </c>
      <c r="AQ138" s="260">
        <f t="shared" si="272"/>
        <v>2.2351116907538557</v>
      </c>
      <c r="AR138" s="260">
        <f t="shared" si="272"/>
        <v>2.2481536525075447</v>
      </c>
      <c r="AS138" s="260">
        <f t="shared" si="272"/>
        <v>2.2492673374683427</v>
      </c>
      <c r="AT138" s="260">
        <f t="shared" si="272"/>
        <v>2.2496910116619402</v>
      </c>
      <c r="AU138" s="260">
        <f t="shared" si="272"/>
        <v>2.2544263053335558</v>
      </c>
      <c r="AV138" s="260">
        <f t="shared" si="272"/>
        <v>2.2540196918457411</v>
      </c>
      <c r="AW138" s="260">
        <f t="shared" si="272"/>
        <v>2.2546357728878843</v>
      </c>
      <c r="AX138" s="260">
        <f t="shared" si="272"/>
        <v>2.2490256441364247</v>
      </c>
      <c r="AY138" s="260">
        <f t="shared" si="272"/>
        <v>2.2531477002168603</v>
      </c>
      <c r="AZ138" s="260">
        <f t="shared" si="272"/>
        <v>2.2540841434009193</v>
      </c>
      <c r="BA138" s="260">
        <f t="shared" si="272"/>
        <v>2.2596705767276806</v>
      </c>
      <c r="BB138" s="260">
        <f t="shared" si="272"/>
        <v>2.2620458060993922</v>
      </c>
      <c r="BC138" s="260">
        <f t="shared" si="272"/>
        <v>2.2703711301923084</v>
      </c>
      <c r="BD138" s="260">
        <f t="shared" si="272"/>
        <v>2.2787270951418623</v>
      </c>
      <c r="BE138" s="260">
        <f t="shared" si="272"/>
        <v>2.2871138137198912</v>
      </c>
      <c r="BF138" s="260">
        <f t="shared" si="272"/>
        <v>2.2955313991132824</v>
      </c>
      <c r="BG138" s="260">
        <f t="shared" si="272"/>
        <v>2.3039799649255008</v>
      </c>
      <c r="BH138" s="260">
        <f t="shared" si="272"/>
        <v>2.3125787529279784</v>
      </c>
      <c r="BI138" s="260">
        <f t="shared" si="272"/>
        <v>2.3212096328567045</v>
      </c>
      <c r="BJ138" s="260">
        <f t="shared" si="272"/>
        <v>2.3298727244834101</v>
      </c>
      <c r="BK138" s="260">
        <f t="shared" si="272"/>
        <v>2.338568148026833</v>
      </c>
      <c r="BL138" s="260">
        <f t="shared" si="272"/>
        <v>2.3472960241543843</v>
      </c>
      <c r="BM138" s="260">
        <f t="shared" si="272"/>
        <v>2.3559838582312191</v>
      </c>
      <c r="BN138" s="260">
        <f t="shared" si="272"/>
        <v>2.3647038478010849</v>
      </c>
      <c r="BO138" s="260">
        <f t="shared" si="272"/>
        <v>2.3734561118781943</v>
      </c>
      <c r="BP138" s="260">
        <f t="shared" si="272"/>
        <v>2.3822407699172565</v>
      </c>
      <c r="BQ138" s="260">
        <f t="shared" si="272"/>
        <v>2.3910579418151077</v>
      </c>
      <c r="BR138" s="260">
        <f t="shared" si="272"/>
        <v>2.3997099382358895</v>
      </c>
      <c r="BS138" s="260">
        <f t="shared" si="272"/>
        <v>2.4083932417365861</v>
      </c>
      <c r="BT138" s="260">
        <f t="shared" si="268"/>
        <v>2.4171079656012542</v>
      </c>
      <c r="BU138" s="260">
        <f t="shared" si="269"/>
        <v>2.4258542235238663</v>
      </c>
      <c r="BV138" s="260">
        <f t="shared" si="269"/>
        <v>2.434632129609795</v>
      </c>
      <c r="BW138" s="260">
        <f t="shared" si="269"/>
        <v>2.4428635118796533</v>
      </c>
      <c r="BX138" s="260">
        <f t="shared" si="269"/>
        <v>2.4511227240845761</v>
      </c>
      <c r="BY138" s="260">
        <f t="shared" si="269"/>
        <v>2.4594098603163279</v>
      </c>
      <c r="BZ138" s="260">
        <f t="shared" si="269"/>
        <v>2.467725014984794</v>
      </c>
      <c r="CA138" s="260">
        <f t="shared" si="269"/>
        <v>2.476068282819055</v>
      </c>
      <c r="CB138" s="260">
        <f t="shared" si="269"/>
        <v>2.4831576550549128</v>
      </c>
      <c r="CC138" s="260">
        <f t="shared" si="269"/>
        <v>2.4902673252765117</v>
      </c>
      <c r="CD138" s="260">
        <f t="shared" si="269"/>
        <v>2.4973973516001715</v>
      </c>
      <c r="CE138" s="260">
        <f t="shared" si="269"/>
        <v>2.5045477923086086</v>
      </c>
      <c r="CF138" s="260">
        <f t="shared" si="269"/>
        <v>2.5117187058514112</v>
      </c>
      <c r="CG138" s="260">
        <f t="shared" si="269"/>
        <v>2.5171937058097216</v>
      </c>
      <c r="CH138" s="260">
        <f t="shared" si="269"/>
        <v>2.5226806400759916</v>
      </c>
      <c r="CI138" s="260">
        <f t="shared" si="269"/>
        <v>2.5281795346644143</v>
      </c>
      <c r="CJ138" s="260">
        <f t="shared" si="269"/>
        <v>2.5336904156458884</v>
      </c>
      <c r="CK138" s="260">
        <f t="shared" si="269"/>
        <v>2.539213309148141</v>
      </c>
      <c r="CL138" s="260">
        <f t="shared" si="269"/>
        <v>2.5429573704375228</v>
      </c>
      <c r="CM138" s="260">
        <f t="shared" si="269"/>
        <v>2.5467069523323964</v>
      </c>
      <c r="CN138" s="260">
        <f t="shared" si="269"/>
        <v>2.5504620629728754</v>
      </c>
      <c r="CO138" s="260">
        <f t="shared" si="269"/>
        <v>2.554222710511076</v>
      </c>
      <c r="CP138" s="260">
        <f t="shared" si="269"/>
        <v>2.5579889031111347</v>
      </c>
      <c r="CQ138" s="260">
        <f t="shared" si="269"/>
        <v>2.5592501421168059</v>
      </c>
      <c r="CR138" s="260">
        <f t="shared" si="269"/>
        <v>2.5605120029875006</v>
      </c>
      <c r="CS138" s="260">
        <f t="shared" si="269"/>
        <v>2.5617744860298348</v>
      </c>
      <c r="CT138" s="260">
        <f t="shared" si="269"/>
        <v>2.5630375915505756</v>
      </c>
      <c r="CU138" s="260">
        <f t="shared" si="269"/>
        <v>2.564301319856642</v>
      </c>
      <c r="CV138" s="260">
        <f t="shared" si="269"/>
        <v>2.5624850697467836</v>
      </c>
      <c r="CW138" s="260">
        <f t="shared" si="269"/>
        <v>2.5606701060553489</v>
      </c>
      <c r="CX138" s="260">
        <f t="shared" si="269"/>
        <v>2.5588564278711901</v>
      </c>
      <c r="CY138" s="260">
        <f t="shared" si="269"/>
        <v>2.5570440342838041</v>
      </c>
      <c r="CZ138" s="449">
        <f t="shared" si="269"/>
        <v>2.555232924383334</v>
      </c>
    </row>
    <row r="139" spans="1:104" x14ac:dyDescent="0.25">
      <c r="A139" s="956" t="s">
        <v>683</v>
      </c>
      <c r="B139" s="260">
        <v>2016</v>
      </c>
      <c r="C139" s="869">
        <f t="shared" si="267"/>
        <v>1</v>
      </c>
      <c r="D139" s="1235" t="s">
        <v>296</v>
      </c>
      <c r="E139" s="869" t="s">
        <v>1072</v>
      </c>
      <c r="F139" s="873"/>
      <c r="G139" s="869"/>
      <c r="H139" s="1056">
        <f t="shared" si="272"/>
        <v>28.373013628420669</v>
      </c>
      <c r="I139" s="1056">
        <f t="shared" si="272"/>
        <v>29.17093293229123</v>
      </c>
      <c r="J139" s="1056">
        <f t="shared" si="272"/>
        <v>30.878569780545078</v>
      </c>
      <c r="K139" s="1056">
        <f t="shared" si="272"/>
        <v>30.682595180991225</v>
      </c>
      <c r="L139" s="1056">
        <f t="shared" si="272"/>
        <v>31.992353762541459</v>
      </c>
      <c r="M139" s="1056">
        <f t="shared" si="272"/>
        <v>31.4429334181984</v>
      </c>
      <c r="N139" s="1056">
        <f t="shared" si="272"/>
        <v>31.156600892671783</v>
      </c>
      <c r="O139" s="260">
        <f t="shared" si="272"/>
        <v>30.676058322376605</v>
      </c>
      <c r="P139" s="260">
        <f t="shared" si="272"/>
        <v>29.679126186318804</v>
      </c>
      <c r="Q139" s="260">
        <f t="shared" si="272"/>
        <v>29.700131988890092</v>
      </c>
      <c r="R139" s="260">
        <f t="shared" si="272"/>
        <v>30.54196479432273</v>
      </c>
      <c r="S139" s="260">
        <f t="shared" si="272"/>
        <v>29.932211922183079</v>
      </c>
      <c r="T139" s="260">
        <f t="shared" si="272"/>
        <v>28.972214109999999</v>
      </c>
      <c r="U139" s="260">
        <f t="shared" si="272"/>
        <v>29.128232055928784</v>
      </c>
      <c r="V139" s="260">
        <f t="shared" si="272"/>
        <v>28.995688380521983</v>
      </c>
      <c r="W139" s="260">
        <f t="shared" si="272"/>
        <v>29.39475155821113</v>
      </c>
      <c r="X139" s="260">
        <f t="shared" si="272"/>
        <v>29.885964346916182</v>
      </c>
      <c r="Y139" s="260">
        <f t="shared" si="272"/>
        <v>30.089071101439163</v>
      </c>
      <c r="Z139" s="260">
        <f t="shared" si="272"/>
        <v>31.081689502737298</v>
      </c>
      <c r="AA139" s="260">
        <f t="shared" si="272"/>
        <v>31.400245105473072</v>
      </c>
      <c r="AB139" s="260">
        <f t="shared" si="272"/>
        <v>31.337976372818122</v>
      </c>
      <c r="AC139" s="260">
        <f t="shared" si="272"/>
        <v>31.854564117923594</v>
      </c>
      <c r="AD139" s="260">
        <f t="shared" si="272"/>
        <v>32.189964324168578</v>
      </c>
      <c r="AE139" s="260">
        <f t="shared" si="272"/>
        <v>32.274661250208517</v>
      </c>
      <c r="AF139" s="260">
        <f t="shared" si="272"/>
        <v>32.347049824843424</v>
      </c>
      <c r="AG139" s="260">
        <f t="shared" si="272"/>
        <v>32.398275541772193</v>
      </c>
      <c r="AH139" s="260">
        <f t="shared" si="272"/>
        <v>32.473329377777105</v>
      </c>
      <c r="AI139" s="260">
        <f t="shared" si="272"/>
        <v>32.424485524938959</v>
      </c>
      <c r="AJ139" s="260">
        <f t="shared" si="272"/>
        <v>32.33705604252286</v>
      </c>
      <c r="AK139" s="260">
        <f t="shared" si="272"/>
        <v>32.213589610409308</v>
      </c>
      <c r="AL139" s="260">
        <f t="shared" si="272"/>
        <v>32.123147965605618</v>
      </c>
      <c r="AM139" s="260">
        <f t="shared" si="272"/>
        <v>32.189031672252469</v>
      </c>
      <c r="AN139" s="260">
        <f t="shared" si="272"/>
        <v>32.20134665837643</v>
      </c>
      <c r="AO139" s="260">
        <f t="shared" si="272"/>
        <v>32.137342472816606</v>
      </c>
      <c r="AP139" s="260">
        <f t="shared" si="272"/>
        <v>32.106067355666433</v>
      </c>
      <c r="AQ139" s="260">
        <f t="shared" si="272"/>
        <v>32.055398007309563</v>
      </c>
      <c r="AR139" s="260">
        <f t="shared" si="272"/>
        <v>31.985796962436115</v>
      </c>
      <c r="AS139" s="260">
        <f t="shared" si="272"/>
        <v>31.883579639374592</v>
      </c>
      <c r="AT139" s="260">
        <f t="shared" si="272"/>
        <v>31.88043762605966</v>
      </c>
      <c r="AU139" s="260">
        <f t="shared" si="272"/>
        <v>31.921825950470875</v>
      </c>
      <c r="AV139" s="260">
        <f t="shared" si="272"/>
        <v>31.967798865652629</v>
      </c>
      <c r="AW139" s="260">
        <f t="shared" si="272"/>
        <v>32.011030694105337</v>
      </c>
      <c r="AX139" s="260">
        <f t="shared" si="272"/>
        <v>32.04019407500644</v>
      </c>
      <c r="AY139" s="260">
        <f t="shared" si="272"/>
        <v>32.084258086774547</v>
      </c>
      <c r="AZ139" s="260">
        <f t="shared" si="272"/>
        <v>32.12290532445671</v>
      </c>
      <c r="BA139" s="260">
        <f t="shared" si="272"/>
        <v>32.1438833578502</v>
      </c>
      <c r="BB139" s="260">
        <f t="shared" si="272"/>
        <v>32.210559439498944</v>
      </c>
      <c r="BC139" s="260">
        <f t="shared" si="272"/>
        <v>32.212518425109167</v>
      </c>
      <c r="BD139" s="260">
        <f t="shared" si="272"/>
        <v>32.214477529861206</v>
      </c>
      <c r="BE139" s="260">
        <f t="shared" si="272"/>
        <v>32.216436753762309</v>
      </c>
      <c r="BF139" s="260">
        <f t="shared" si="272"/>
        <v>32.218396096819724</v>
      </c>
      <c r="BG139" s="260">
        <f t="shared" si="272"/>
        <v>32.220355559040698</v>
      </c>
      <c r="BH139" s="260">
        <f t="shared" si="272"/>
        <v>32.225068562587758</v>
      </c>
      <c r="BI139" s="260">
        <f t="shared" si="272"/>
        <v>32.229782255525173</v>
      </c>
      <c r="BJ139" s="260">
        <f t="shared" si="272"/>
        <v>32.234496637953782</v>
      </c>
      <c r="BK139" s="260">
        <f t="shared" si="272"/>
        <v>32.239211709974448</v>
      </c>
      <c r="BL139" s="260">
        <f t="shared" si="272"/>
        <v>32.243927471688032</v>
      </c>
      <c r="BM139" s="260">
        <f t="shared" si="272"/>
        <v>32.234738373564198</v>
      </c>
      <c r="BN139" s="260">
        <f t="shared" si="272"/>
        <v>32.225551894213289</v>
      </c>
      <c r="BO139" s="260">
        <f t="shared" si="272"/>
        <v>32.216368032888994</v>
      </c>
      <c r="BP139" s="260">
        <f t="shared" si="272"/>
        <v>32.207186788845206</v>
      </c>
      <c r="BQ139" s="260">
        <f t="shared" si="272"/>
        <v>32.198008161336034</v>
      </c>
      <c r="BR139" s="260">
        <f t="shared" si="272"/>
        <v>32.188328675270981</v>
      </c>
      <c r="BS139" s="260">
        <f t="shared" si="272"/>
        <v>32.178652099089362</v>
      </c>
      <c r="BT139" s="260">
        <f t="shared" si="268"/>
        <v>32.168978431916393</v>
      </c>
      <c r="BU139" s="260">
        <f t="shared" si="269"/>
        <v>32.15930767287756</v>
      </c>
      <c r="BV139" s="260">
        <f t="shared" si="269"/>
        <v>32.14963982109861</v>
      </c>
      <c r="BW139" s="260">
        <f t="shared" si="269"/>
        <v>32.135484213462775</v>
      </c>
      <c r="BX139" s="260">
        <f t="shared" si="269"/>
        <v>32.121334838594358</v>
      </c>
      <c r="BY139" s="260">
        <f t="shared" si="269"/>
        <v>32.107191693749044</v>
      </c>
      <c r="BZ139" s="260">
        <f t="shared" si="269"/>
        <v>32.093054776183735</v>
      </c>
      <c r="CA139" s="260">
        <f t="shared" si="269"/>
        <v>32.078924083156537</v>
      </c>
      <c r="CB139" s="260">
        <f t="shared" si="269"/>
        <v>32.05322936592912</v>
      </c>
      <c r="CC139" s="260">
        <f t="shared" si="269"/>
        <v>32.027555229768936</v>
      </c>
      <c r="CD139" s="260">
        <f t="shared" si="269"/>
        <v>32.001901658190874</v>
      </c>
      <c r="CE139" s="260">
        <f t="shared" si="269"/>
        <v>31.976268634723027</v>
      </c>
      <c r="CF139" s="260">
        <f t="shared" si="269"/>
        <v>31.950656142906677</v>
      </c>
      <c r="CG139" s="260">
        <f t="shared" si="269"/>
        <v>31.915373500092528</v>
      </c>
      <c r="CH139" s="260">
        <f t="shared" si="269"/>
        <v>31.880129819385399</v>
      </c>
      <c r="CI139" s="260">
        <f t="shared" si="269"/>
        <v>31.844925057760001</v>
      </c>
      <c r="CJ139" s="260">
        <f t="shared" si="269"/>
        <v>31.809759172238564</v>
      </c>
      <c r="CK139" s="260">
        <f t="shared" si="269"/>
        <v>31.774632119890772</v>
      </c>
      <c r="CL139" s="260">
        <f t="shared" si="269"/>
        <v>31.736335048107414</v>
      </c>
      <c r="CM139" s="260">
        <f t="shared" si="269"/>
        <v>31.698084134709202</v>
      </c>
      <c r="CN139" s="260">
        <f t="shared" si="269"/>
        <v>31.659879324062725</v>
      </c>
      <c r="CO139" s="260">
        <f t="shared" si="269"/>
        <v>31.621720560601634</v>
      </c>
      <c r="CP139" s="260">
        <f t="shared" si="269"/>
        <v>31.583607788826551</v>
      </c>
      <c r="CQ139" s="260">
        <f t="shared" si="269"/>
        <v>31.539463246970023</v>
      </c>
      <c r="CR139" s="260">
        <f t="shared" si="269"/>
        <v>31.495380406125889</v>
      </c>
      <c r="CS139" s="260">
        <f t="shared" si="269"/>
        <v>31.451359180054389</v>
      </c>
      <c r="CT139" s="260">
        <f t="shared" si="269"/>
        <v>31.407399482636293</v>
      </c>
      <c r="CU139" s="260">
        <f t="shared" si="269"/>
        <v>31.363501227872742</v>
      </c>
      <c r="CV139" s="260">
        <f t="shared" si="269"/>
        <v>31.320648715953933</v>
      </c>
      <c r="CW139" s="260">
        <f t="shared" si="269"/>
        <v>31.277854754187555</v>
      </c>
      <c r="CX139" s="260">
        <f t="shared" si="269"/>
        <v>31.235119262575491</v>
      </c>
      <c r="CY139" s="260">
        <f t="shared" si="269"/>
        <v>31.192442161228929</v>
      </c>
      <c r="CZ139" s="449">
        <f t="shared" si="269"/>
        <v>31.1498233703682</v>
      </c>
    </row>
    <row r="140" spans="1:104" x14ac:dyDescent="0.25">
      <c r="A140" s="956" t="s">
        <v>698</v>
      </c>
      <c r="B140" s="260">
        <v>2016</v>
      </c>
      <c r="C140" s="869">
        <f t="shared" si="267"/>
        <v>1</v>
      </c>
      <c r="D140" s="1235" t="s">
        <v>296</v>
      </c>
      <c r="E140" s="869" t="s">
        <v>1072</v>
      </c>
      <c r="F140" s="880"/>
      <c r="G140" s="1364"/>
      <c r="H140" s="1056">
        <f t="shared" si="272"/>
        <v>18.232352698801531</v>
      </c>
      <c r="I140" s="1056">
        <f t="shared" si="272"/>
        <v>19.279059481202857</v>
      </c>
      <c r="J140" s="1056">
        <f t="shared" si="272"/>
        <v>20.106975671052609</v>
      </c>
      <c r="K140" s="1056">
        <f t="shared" si="272"/>
        <v>20.31728323383771</v>
      </c>
      <c r="L140" s="1056">
        <f t="shared" si="272"/>
        <v>21.702415417864383</v>
      </c>
      <c r="M140" s="1056">
        <f t="shared" si="272"/>
        <v>21.137326303769196</v>
      </c>
      <c r="N140" s="1056">
        <f t="shared" si="272"/>
        <v>20.699724047437488</v>
      </c>
      <c r="O140" s="260">
        <f t="shared" si="272"/>
        <v>20.430734156114106</v>
      </c>
      <c r="P140" s="260">
        <f t="shared" si="272"/>
        <v>19.619402543384187</v>
      </c>
      <c r="Q140" s="260">
        <f t="shared" si="272"/>
        <v>19.94482547791937</v>
      </c>
      <c r="R140" s="260">
        <f t="shared" si="272"/>
        <v>20.190684361237558</v>
      </c>
      <c r="S140" s="260">
        <f t="shared" si="272"/>
        <v>19.439058682545589</v>
      </c>
      <c r="T140" s="260">
        <f t="shared" si="272"/>
        <v>18.777772519999996</v>
      </c>
      <c r="U140" s="260">
        <f t="shared" si="272"/>
        <v>19.537493744407882</v>
      </c>
      <c r="V140" s="260">
        <f t="shared" si="272"/>
        <v>19.094688812726531</v>
      </c>
      <c r="W140" s="260">
        <f t="shared" si="272"/>
        <v>19.340880484069093</v>
      </c>
      <c r="X140" s="260">
        <f t="shared" si="272"/>
        <v>19.700726786066333</v>
      </c>
      <c r="Y140" s="260">
        <f t="shared" si="272"/>
        <v>19.809231927025674</v>
      </c>
      <c r="Z140" s="260">
        <f t="shared" si="272"/>
        <v>20.448628319255093</v>
      </c>
      <c r="AA140" s="260">
        <f t="shared" si="272"/>
        <v>20.513438149254636</v>
      </c>
      <c r="AB140" s="260">
        <f t="shared" si="272"/>
        <v>20.459361398826221</v>
      </c>
      <c r="AC140" s="260">
        <f t="shared" si="272"/>
        <v>20.950622526197662</v>
      </c>
      <c r="AD140" s="260">
        <f t="shared" si="272"/>
        <v>21.163384692376518</v>
      </c>
      <c r="AE140" s="260">
        <f t="shared" si="272"/>
        <v>21.285322295688569</v>
      </c>
      <c r="AF140" s="260">
        <f t="shared" si="272"/>
        <v>21.423623959296947</v>
      </c>
      <c r="AG140" s="260">
        <f t="shared" si="272"/>
        <v>21.53228264660833</v>
      </c>
      <c r="AH140" s="260">
        <f t="shared" si="272"/>
        <v>21.607771530610695</v>
      </c>
      <c r="AI140" s="260">
        <f t="shared" si="272"/>
        <v>21.635145433038627</v>
      </c>
      <c r="AJ140" s="260">
        <f t="shared" si="272"/>
        <v>21.585785019942069</v>
      </c>
      <c r="AK140" s="260">
        <f t="shared" si="272"/>
        <v>21.508628925857963</v>
      </c>
      <c r="AL140" s="260">
        <f t="shared" si="272"/>
        <v>21.446118499871098</v>
      </c>
      <c r="AM140" s="260">
        <f t="shared" si="272"/>
        <v>21.521952389257063</v>
      </c>
      <c r="AN140" s="260">
        <f t="shared" si="272"/>
        <v>21.600204159779199</v>
      </c>
      <c r="AO140" s="260">
        <f t="shared" si="272"/>
        <v>21.583872325260458</v>
      </c>
      <c r="AP140" s="260">
        <f t="shared" si="272"/>
        <v>21.588666383585327</v>
      </c>
      <c r="AQ140" s="260">
        <f t="shared" si="272"/>
        <v>21.605374501448264</v>
      </c>
      <c r="AR140" s="260">
        <f t="shared" si="272"/>
        <v>21.554715579078266</v>
      </c>
      <c r="AS140" s="260">
        <f t="shared" si="272"/>
        <v>21.491324631109631</v>
      </c>
      <c r="AT140" s="260">
        <f t="shared" si="272"/>
        <v>21.516251270074765</v>
      </c>
      <c r="AU140" s="260">
        <f t="shared" si="272"/>
        <v>21.58191413536343</v>
      </c>
      <c r="AV140" s="260">
        <f t="shared" si="272"/>
        <v>21.663232093841465</v>
      </c>
      <c r="AW140" s="260">
        <f t="shared" si="272"/>
        <v>21.742367229796333</v>
      </c>
      <c r="AX140" s="260">
        <f t="shared" si="272"/>
        <v>21.822824570449338</v>
      </c>
      <c r="AY140" s="260">
        <f t="shared" si="272"/>
        <v>21.895024529503647</v>
      </c>
      <c r="AZ140" s="260">
        <f t="shared" si="272"/>
        <v>21.976239175929997</v>
      </c>
      <c r="BA140" s="260">
        <f t="shared" si="272"/>
        <v>22.046603213478718</v>
      </c>
      <c r="BB140" s="260">
        <f t="shared" si="272"/>
        <v>22.114819497732821</v>
      </c>
      <c r="BC140" s="260">
        <f t="shared" si="272"/>
        <v>22.13487665280584</v>
      </c>
      <c r="BD140" s="260">
        <f t="shared" si="272"/>
        <v>22.15495199882406</v>
      </c>
      <c r="BE140" s="260">
        <f t="shared" si="272"/>
        <v>22.175045552285859</v>
      </c>
      <c r="BF140" s="260">
        <f t="shared" si="272"/>
        <v>22.195157329704575</v>
      </c>
      <c r="BG140" s="260">
        <f t="shared" si="272"/>
        <v>22.215287347608523</v>
      </c>
      <c r="BH140" s="260">
        <f t="shared" si="272"/>
        <v>22.237407284551185</v>
      </c>
      <c r="BI140" s="260">
        <f t="shared" si="272"/>
        <v>22.259549246489641</v>
      </c>
      <c r="BJ140" s="260">
        <f t="shared" si="272"/>
        <v>22.281713255354351</v>
      </c>
      <c r="BK140" s="260">
        <f t="shared" si="272"/>
        <v>22.303899333097611</v>
      </c>
      <c r="BL140" s="260">
        <f t="shared" si="272"/>
        <v>22.326107501693581</v>
      </c>
      <c r="BM140" s="260">
        <f t="shared" si="272"/>
        <v>22.336823207612067</v>
      </c>
      <c r="BN140" s="260">
        <f t="shared" si="272"/>
        <v>22.347544056673097</v>
      </c>
      <c r="BO140" s="260">
        <f t="shared" si="272"/>
        <v>22.358270051345187</v>
      </c>
      <c r="BP140" s="260">
        <f t="shared" si="272"/>
        <v>22.369001194098043</v>
      </c>
      <c r="BQ140" s="260">
        <f t="shared" si="272"/>
        <v>22.379737487402554</v>
      </c>
      <c r="BR140" s="260">
        <f t="shared" si="272"/>
        <v>22.390100389733625</v>
      </c>
      <c r="BS140" s="260">
        <f t="shared" si="272"/>
        <v>22.400468090590362</v>
      </c>
      <c r="BT140" s="260">
        <f t="shared" si="268"/>
        <v>22.410840592194713</v>
      </c>
      <c r="BU140" s="260">
        <f t="shared" si="269"/>
        <v>22.421217896769658</v>
      </c>
      <c r="BV140" s="260">
        <f t="shared" si="269"/>
        <v>22.431600006539206</v>
      </c>
      <c r="BW140" s="260">
        <f t="shared" si="269"/>
        <v>22.438377931004013</v>
      </c>
      <c r="BX140" s="260">
        <f t="shared" si="269"/>
        <v>22.44515790348412</v>
      </c>
      <c r="BY140" s="260">
        <f t="shared" si="269"/>
        <v>22.451939924598356</v>
      </c>
      <c r="BZ140" s="260">
        <f t="shared" si="269"/>
        <v>22.458723994965737</v>
      </c>
      <c r="CA140" s="260">
        <f t="shared" si="269"/>
        <v>22.465510115205461</v>
      </c>
      <c r="CB140" s="260">
        <f t="shared" si="269"/>
        <v>22.462969438648798</v>
      </c>
      <c r="CC140" s="260">
        <f t="shared" si="269"/>
        <v>22.46042904942313</v>
      </c>
      <c r="CD140" s="260">
        <f t="shared" si="269"/>
        <v>22.45788894749596</v>
      </c>
      <c r="CE140" s="260">
        <f t="shared" si="269"/>
        <v>22.455349132834797</v>
      </c>
      <c r="CF140" s="260">
        <f t="shared" si="269"/>
        <v>22.452809605407158</v>
      </c>
      <c r="CG140" s="260">
        <f t="shared" si="269"/>
        <v>22.442624812220661</v>
      </c>
      <c r="CH140" s="260">
        <f t="shared" si="269"/>
        <v>22.432444638946507</v>
      </c>
      <c r="CI140" s="260">
        <f t="shared" si="269"/>
        <v>22.422269083489063</v>
      </c>
      <c r="CJ140" s="260">
        <f t="shared" si="269"/>
        <v>22.412098143753649</v>
      </c>
      <c r="CK140" s="260">
        <f t="shared" si="269"/>
        <v>22.401931817646531</v>
      </c>
      <c r="CL140" s="260">
        <f t="shared" si="269"/>
        <v>22.389459823741635</v>
      </c>
      <c r="CM140" s="260">
        <f t="shared" si="269"/>
        <v>22.376994773462549</v>
      </c>
      <c r="CN140" s="260">
        <f t="shared" si="269"/>
        <v>22.364536662943497</v>
      </c>
      <c r="CO140" s="260">
        <f t="shared" si="269"/>
        <v>22.352085488320853</v>
      </c>
      <c r="CP140" s="260">
        <f t="shared" si="269"/>
        <v>22.339641245733144</v>
      </c>
      <c r="CQ140" s="260">
        <f t="shared" si="269"/>
        <v>22.322592014179389</v>
      </c>
      <c r="CR140" s="260">
        <f t="shared" si="269"/>
        <v>22.305555794307125</v>
      </c>
      <c r="CS140" s="260">
        <f t="shared" si="269"/>
        <v>22.288532576186064</v>
      </c>
      <c r="CT140" s="260">
        <f t="shared" si="269"/>
        <v>22.271522349893491</v>
      </c>
      <c r="CU140" s="260">
        <f t="shared" si="269"/>
        <v>22.254525105514261</v>
      </c>
      <c r="CV140" s="260">
        <f t="shared" si="269"/>
        <v>22.238544472899552</v>
      </c>
      <c r="CW140" s="260">
        <f t="shared" si="269"/>
        <v>22.222575315731635</v>
      </c>
      <c r="CX140" s="260">
        <f t="shared" si="269"/>
        <v>22.206617625770171</v>
      </c>
      <c r="CY140" s="260">
        <f t="shared" si="269"/>
        <v>22.190671394780733</v>
      </c>
      <c r="CZ140" s="449">
        <f t="shared" ref="CZ140" si="273">+CZ160*$C140</f>
        <v>22.174736614534808</v>
      </c>
    </row>
    <row r="141" spans="1:104" ht="13.8" thickBot="1" x14ac:dyDescent="0.3">
      <c r="A141" s="1381" t="s">
        <v>684</v>
      </c>
      <c r="B141" s="443">
        <v>2016</v>
      </c>
      <c r="C141" s="1382">
        <f t="shared" si="267"/>
        <v>1</v>
      </c>
      <c r="D141" s="1383" t="s">
        <v>296</v>
      </c>
      <c r="E141" s="1382" t="s">
        <v>1072</v>
      </c>
      <c r="F141" s="1384"/>
      <c r="G141" s="1019"/>
      <c r="H141" s="1385">
        <f t="shared" si="272"/>
        <v>31.081820315099751</v>
      </c>
      <c r="I141" s="1385">
        <f t="shared" si="272"/>
        <v>31.795307521355493</v>
      </c>
      <c r="J141" s="1385">
        <f t="shared" si="272"/>
        <v>33.946842042036877</v>
      </c>
      <c r="K141" s="1385">
        <f t="shared" si="272"/>
        <v>33.862138723062856</v>
      </c>
      <c r="L141" s="1385">
        <f t="shared" si="272"/>
        <v>35.110516897292094</v>
      </c>
      <c r="M141" s="1385">
        <f t="shared" si="272"/>
        <v>35.620882248372396</v>
      </c>
      <c r="N141" s="1385">
        <f t="shared" si="272"/>
        <v>35.284315436843215</v>
      </c>
      <c r="O141" s="443">
        <f t="shared" si="272"/>
        <v>35.109707376782602</v>
      </c>
      <c r="P141" s="443">
        <f t="shared" si="272"/>
        <v>34.944303180720262</v>
      </c>
      <c r="Q141" s="443">
        <f t="shared" si="272"/>
        <v>35.113313940081568</v>
      </c>
      <c r="R141" s="443">
        <f t="shared" si="272"/>
        <v>35.603854676435802</v>
      </c>
      <c r="S141" s="443">
        <f t="shared" si="272"/>
        <v>35.586699324775935</v>
      </c>
      <c r="T141" s="443">
        <f t="shared" si="272"/>
        <v>34.861101349999998</v>
      </c>
      <c r="U141" s="443">
        <f t="shared" si="272"/>
        <v>34.664653819323334</v>
      </c>
      <c r="V141" s="443">
        <f t="shared" si="272"/>
        <v>34.410290069910978</v>
      </c>
      <c r="W141" s="443">
        <f t="shared" si="272"/>
        <v>34.908531869398402</v>
      </c>
      <c r="X141" s="443">
        <f t="shared" si="272"/>
        <v>35.616671532127199</v>
      </c>
      <c r="Y141" s="443">
        <f t="shared" si="272"/>
        <v>35.947520321196222</v>
      </c>
      <c r="Z141" s="443">
        <f t="shared" si="272"/>
        <v>36.987705865849776</v>
      </c>
      <c r="AA141" s="443">
        <f t="shared" si="272"/>
        <v>37.546039262370911</v>
      </c>
      <c r="AB141" s="443">
        <f t="shared" si="272"/>
        <v>37.510823122184988</v>
      </c>
      <c r="AC141" s="443">
        <f t="shared" si="272"/>
        <v>38.008797637281816</v>
      </c>
      <c r="AD141" s="443">
        <f t="shared" si="272"/>
        <v>38.419808048103611</v>
      </c>
      <c r="AE141" s="443">
        <f t="shared" si="272"/>
        <v>38.480927078752217</v>
      </c>
      <c r="AF141" s="443">
        <f t="shared" si="272"/>
        <v>38.529894147798792</v>
      </c>
      <c r="AG141" s="443">
        <f t="shared" si="272"/>
        <v>38.610432052895767</v>
      </c>
      <c r="AH141" s="443">
        <f t="shared" si="272"/>
        <v>38.669048846696292</v>
      </c>
      <c r="AI141" s="443">
        <f t="shared" si="272"/>
        <v>38.631731396248163</v>
      </c>
      <c r="AJ141" s="443">
        <f t="shared" si="272"/>
        <v>38.567872226687491</v>
      </c>
      <c r="AK141" s="443">
        <f t="shared" si="272"/>
        <v>38.465126969563705</v>
      </c>
      <c r="AL141" s="443">
        <f t="shared" si="272"/>
        <v>38.413723063041203</v>
      </c>
      <c r="AM141" s="443">
        <f t="shared" si="272"/>
        <v>38.515467425425761</v>
      </c>
      <c r="AN141" s="443">
        <f t="shared" si="272"/>
        <v>38.527084818246614</v>
      </c>
      <c r="AO141" s="443">
        <f t="shared" si="272"/>
        <v>38.521472793861179</v>
      </c>
      <c r="AP141" s="443">
        <f t="shared" si="272"/>
        <v>38.546973809920992</v>
      </c>
      <c r="AQ141" s="443">
        <f t="shared" si="272"/>
        <v>38.560691565187064</v>
      </c>
      <c r="AR141" s="443">
        <f t="shared" si="272"/>
        <v>38.568356561168315</v>
      </c>
      <c r="AS141" s="443">
        <f t="shared" si="272"/>
        <v>38.569368829711408</v>
      </c>
      <c r="AT141" s="443">
        <f t="shared" si="272"/>
        <v>38.651143635977618</v>
      </c>
      <c r="AU141" s="443">
        <f t="shared" si="272"/>
        <v>38.781520601750053</v>
      </c>
      <c r="AV141" s="443">
        <f t="shared" si="272"/>
        <v>38.929117506558889</v>
      </c>
      <c r="AW141" s="443">
        <f t="shared" si="272"/>
        <v>39.08758776785308</v>
      </c>
      <c r="AX141" s="443">
        <f t="shared" si="272"/>
        <v>39.228047610742941</v>
      </c>
      <c r="AY141" s="443">
        <f t="shared" si="272"/>
        <v>39.393119417357944</v>
      </c>
      <c r="AZ141" s="443">
        <f t="shared" si="272"/>
        <v>39.595269824540118</v>
      </c>
      <c r="BA141" s="443">
        <f t="shared" si="272"/>
        <v>39.769550621009692</v>
      </c>
      <c r="BB141" s="443">
        <f t="shared" si="272"/>
        <v>39.980674011616443</v>
      </c>
      <c r="BC141" s="443">
        <f t="shared" si="272"/>
        <v>39.983105560972888</v>
      </c>
      <c r="BD141" s="443">
        <f t="shared" si="272"/>
        <v>39.985537258211586</v>
      </c>
      <c r="BE141" s="443">
        <f t="shared" si="272"/>
        <v>39.987969103341534</v>
      </c>
      <c r="BF141" s="443">
        <f t="shared" si="272"/>
        <v>39.990401096371727</v>
      </c>
      <c r="BG141" s="443">
        <f t="shared" si="272"/>
        <v>39.99283323731116</v>
      </c>
      <c r="BH141" s="443">
        <f t="shared" si="272"/>
        <v>39.998683153044055</v>
      </c>
      <c r="BI141" s="443">
        <f t="shared" si="272"/>
        <v>40.00453392446812</v>
      </c>
      <c r="BJ141" s="443">
        <f t="shared" si="272"/>
        <v>40.010385551708517</v>
      </c>
      <c r="BK141" s="443">
        <f t="shared" si="272"/>
        <v>40.016238034890421</v>
      </c>
      <c r="BL141" s="443">
        <f t="shared" si="272"/>
        <v>40.022091374139045</v>
      </c>
      <c r="BM141" s="443">
        <f t="shared" si="272"/>
        <v>40.01068560090993</v>
      </c>
      <c r="BN141" s="443">
        <f t="shared" si="272"/>
        <v>39.999283078177193</v>
      </c>
      <c r="BO141" s="443">
        <f t="shared" si="272"/>
        <v>39.987883805014484</v>
      </c>
      <c r="BP141" s="443">
        <f t="shared" si="272"/>
        <v>39.976487780495717</v>
      </c>
      <c r="BQ141" s="443">
        <f t="shared" si="272"/>
        <v>39.965095003695069</v>
      </c>
      <c r="BR141" s="443">
        <f t="shared" si="272"/>
        <v>39.953080546830584</v>
      </c>
      <c r="BS141" s="443">
        <f t="shared" ref="BS141" si="274">+BS161*$C141</f>
        <v>39.941069701797218</v>
      </c>
      <c r="BT141" s="443">
        <f t="shared" si="268"/>
        <v>39.929062467509169</v>
      </c>
      <c r="BU141" s="443">
        <f t="shared" ref="BU141:CZ141" si="275">+BU161*$C141</f>
        <v>39.917058842880955</v>
      </c>
      <c r="BV141" s="443">
        <f t="shared" si="275"/>
        <v>39.905058826827435</v>
      </c>
      <c r="BW141" s="443">
        <f t="shared" si="275"/>
        <v>39.887488478960996</v>
      </c>
      <c r="BX141" s="443">
        <f t="shared" si="275"/>
        <v>39.869925867384971</v>
      </c>
      <c r="BY141" s="443">
        <f t="shared" si="275"/>
        <v>39.852370988693046</v>
      </c>
      <c r="BZ141" s="443">
        <f t="shared" si="275"/>
        <v>39.8348238394804</v>
      </c>
      <c r="CA141" s="443">
        <f t="shared" si="275"/>
        <v>39.817284416343718</v>
      </c>
      <c r="CB141" s="443">
        <f t="shared" si="275"/>
        <v>39.785391393336162</v>
      </c>
      <c r="CC141" s="443">
        <f t="shared" si="275"/>
        <v>39.75352391614198</v>
      </c>
      <c r="CD141" s="443">
        <f t="shared" si="275"/>
        <v>39.721681964299371</v>
      </c>
      <c r="CE141" s="443">
        <f t="shared" si="275"/>
        <v>39.689865517362925</v>
      </c>
      <c r="CF141" s="443">
        <f t="shared" si="275"/>
        <v>39.658074554903607</v>
      </c>
      <c r="CG141" s="443">
        <f t="shared" si="275"/>
        <v>39.614280722534119</v>
      </c>
      <c r="CH141" s="443">
        <f t="shared" si="275"/>
        <v>39.57053525105394</v>
      </c>
      <c r="CI141" s="443">
        <f t="shared" si="275"/>
        <v>39.526838087058842</v>
      </c>
      <c r="CJ141" s="443">
        <f t="shared" si="275"/>
        <v>39.48318917720357</v>
      </c>
      <c r="CK141" s="443">
        <f t="shared" si="275"/>
        <v>39.439588468201791</v>
      </c>
      <c r="CL141" s="443">
        <f t="shared" si="275"/>
        <v>39.392053039782866</v>
      </c>
      <c r="CM141" s="443">
        <f t="shared" si="275"/>
        <v>39.344574904480901</v>
      </c>
      <c r="CN141" s="443">
        <f t="shared" si="275"/>
        <v>39.297153993242112</v>
      </c>
      <c r="CO141" s="443">
        <f t="shared" si="275"/>
        <v>39.249790237095944</v>
      </c>
      <c r="CP141" s="443">
        <f t="shared" si="275"/>
        <v>39.202483567154964</v>
      </c>
      <c r="CQ141" s="443">
        <f t="shared" si="275"/>
        <v>39.147690090479308</v>
      </c>
      <c r="CR141" s="443">
        <f t="shared" si="275"/>
        <v>39.092973198877175</v>
      </c>
      <c r="CS141" s="443">
        <f t="shared" si="275"/>
        <v>39.038332785305279</v>
      </c>
      <c r="CT141" s="443">
        <f t="shared" si="275"/>
        <v>38.983768742869955</v>
      </c>
      <c r="CU141" s="443">
        <f t="shared" si="275"/>
        <v>38.929280964826951</v>
      </c>
      <c r="CV141" s="443">
        <f t="shared" si="275"/>
        <v>38.876091192919297</v>
      </c>
      <c r="CW141" s="443">
        <f t="shared" si="275"/>
        <v>38.822974095147039</v>
      </c>
      <c r="CX141" s="443">
        <f t="shared" si="275"/>
        <v>38.769929572214203</v>
      </c>
      <c r="CY141" s="443">
        <f t="shared" si="275"/>
        <v>38.716957524960492</v>
      </c>
      <c r="CZ141" s="444">
        <f t="shared" si="275"/>
        <v>38.66405785436109</v>
      </c>
    </row>
    <row r="142" spans="1:104" x14ac:dyDescent="0.25">
      <c r="A142" s="1379" t="s">
        <v>1363</v>
      </c>
    </row>
    <row r="150" spans="1:104" x14ac:dyDescent="0.25">
      <c r="A150" s="1464" t="s">
        <v>1292</v>
      </c>
      <c r="B150" s="1465" t="s">
        <v>1362</v>
      </c>
      <c r="C150" s="1464"/>
      <c r="D150" s="1464"/>
      <c r="E150" s="1464"/>
      <c r="F150" s="1464"/>
      <c r="G150" s="1464"/>
      <c r="H150" s="1464"/>
      <c r="I150" s="1464"/>
      <c r="J150" s="1464"/>
      <c r="K150" s="1464"/>
      <c r="L150" s="1464"/>
      <c r="M150" s="1464"/>
      <c r="N150" s="1464"/>
      <c r="O150" s="1464"/>
      <c r="P150" s="1464"/>
      <c r="Q150" s="1464"/>
      <c r="R150" s="1464"/>
      <c r="S150" s="1464"/>
      <c r="T150" s="1464"/>
      <c r="U150" s="1464"/>
      <c r="V150" s="1464"/>
      <c r="W150" s="1464"/>
      <c r="X150" s="1464"/>
      <c r="Y150" s="1464"/>
      <c r="Z150" s="1464"/>
      <c r="AA150" s="1464"/>
      <c r="AB150" s="1464"/>
      <c r="AC150" s="1464"/>
      <c r="AD150" s="1464"/>
      <c r="AE150" s="1464"/>
      <c r="AF150" s="1464"/>
      <c r="AG150" s="1464"/>
      <c r="AH150" s="1464"/>
      <c r="AI150" s="1464"/>
      <c r="AJ150" s="1464"/>
      <c r="AK150" s="1464"/>
      <c r="AL150" s="1464"/>
      <c r="AM150" s="1464"/>
      <c r="AN150" s="1464"/>
      <c r="AO150" s="1464"/>
      <c r="AP150" s="1464"/>
      <c r="AQ150" s="1464"/>
      <c r="AR150" s="1464"/>
      <c r="AS150" s="1464"/>
      <c r="AT150" s="1464"/>
      <c r="AU150" s="1464"/>
      <c r="AV150" s="1464"/>
      <c r="AW150" s="1464"/>
      <c r="AX150" s="1464"/>
      <c r="AY150" s="1464"/>
      <c r="AZ150" s="1464"/>
      <c r="BA150" s="1464"/>
      <c r="BB150" s="1464" t="s">
        <v>1293</v>
      </c>
      <c r="BC150" s="1464"/>
      <c r="BD150" s="1464"/>
      <c r="BE150" s="1464"/>
      <c r="BF150" s="1464"/>
      <c r="BG150" s="1464"/>
      <c r="BH150" s="1464"/>
      <c r="BI150" s="1464"/>
      <c r="BJ150" s="1464"/>
      <c r="BK150" s="1464"/>
      <c r="BL150" s="1464"/>
      <c r="BM150" s="1464"/>
      <c r="BN150" s="1464"/>
      <c r="BO150" s="1464"/>
      <c r="BP150" s="1464"/>
      <c r="BQ150" s="1464"/>
      <c r="BR150" s="1464"/>
      <c r="BS150" s="1464"/>
      <c r="BT150" s="1464"/>
      <c r="BU150" s="1464"/>
      <c r="BV150" s="1464"/>
      <c r="BW150" s="1464"/>
      <c r="BX150" s="1464"/>
      <c r="BY150" s="1464"/>
      <c r="BZ150" s="1464"/>
      <c r="CA150" s="1464"/>
      <c r="CB150" s="1464"/>
      <c r="CC150" s="1464"/>
      <c r="CD150" s="1464"/>
      <c r="CE150" s="1464"/>
      <c r="CF150" s="1464"/>
      <c r="CG150" s="1464"/>
      <c r="CH150" s="1464"/>
      <c r="CI150" s="1464"/>
      <c r="CJ150" s="1464"/>
      <c r="CK150" s="1464"/>
      <c r="CL150" s="1464"/>
      <c r="CM150" s="1464"/>
      <c r="CN150" s="1464"/>
      <c r="CO150" s="1464"/>
      <c r="CP150" s="1464"/>
      <c r="CQ150" s="1464"/>
      <c r="CR150" s="1464"/>
      <c r="CS150" s="1464"/>
      <c r="CT150" s="1464"/>
      <c r="CU150" s="1464"/>
      <c r="CV150" s="1464"/>
      <c r="CW150" s="1464"/>
      <c r="CX150" s="1464"/>
      <c r="CY150" s="1464"/>
      <c r="CZ150" s="1464"/>
    </row>
    <row r="151" spans="1:104" x14ac:dyDescent="0.25">
      <c r="A151" s="1466" t="s">
        <v>1085</v>
      </c>
      <c r="B151" s="1467" t="s">
        <v>678</v>
      </c>
      <c r="C151" s="1467" t="s">
        <v>679</v>
      </c>
      <c r="D151" s="1467" t="s">
        <v>690</v>
      </c>
      <c r="E151" s="1467" t="s">
        <v>691</v>
      </c>
      <c r="F151" s="1467" t="s">
        <v>680</v>
      </c>
      <c r="G151" s="1467" t="s">
        <v>692</v>
      </c>
      <c r="H151" s="1467">
        <v>2004</v>
      </c>
      <c r="I151" s="1467">
        <v>2005</v>
      </c>
      <c r="J151" s="1467">
        <v>2006</v>
      </c>
      <c r="K151" s="1467">
        <v>2007</v>
      </c>
      <c r="L151" s="1467">
        <v>2008</v>
      </c>
      <c r="M151" s="1467">
        <v>2009</v>
      </c>
      <c r="N151" s="1467">
        <v>2010</v>
      </c>
      <c r="O151" s="1467">
        <v>2011</v>
      </c>
      <c r="P151" s="1467">
        <v>2012</v>
      </c>
      <c r="Q151" s="1467">
        <v>2013</v>
      </c>
      <c r="R151" s="1467">
        <v>2014</v>
      </c>
      <c r="S151" s="1467">
        <v>2015</v>
      </c>
      <c r="T151" s="1467">
        <v>2016</v>
      </c>
      <c r="U151" s="1467">
        <v>2017</v>
      </c>
      <c r="V151" s="1467">
        <v>2018</v>
      </c>
      <c r="W151" s="1467">
        <v>2019</v>
      </c>
      <c r="X151" s="1467">
        <v>2020</v>
      </c>
      <c r="Y151" s="1467">
        <v>2021</v>
      </c>
      <c r="Z151" s="1467">
        <v>2022</v>
      </c>
      <c r="AA151" s="1467">
        <v>2023</v>
      </c>
      <c r="AB151" s="1467">
        <v>2024</v>
      </c>
      <c r="AC151" s="1467">
        <v>2025</v>
      </c>
      <c r="AD151" s="1467">
        <v>2026</v>
      </c>
      <c r="AE151" s="1467">
        <v>2027</v>
      </c>
      <c r="AF151" s="1467">
        <v>2028</v>
      </c>
      <c r="AG151" s="1467">
        <v>2029</v>
      </c>
      <c r="AH151" s="1467">
        <v>2030</v>
      </c>
      <c r="AI151" s="1467">
        <v>2031</v>
      </c>
      <c r="AJ151" s="1467">
        <v>2032</v>
      </c>
      <c r="AK151" s="1467">
        <v>2033</v>
      </c>
      <c r="AL151" s="1467">
        <v>2034</v>
      </c>
      <c r="AM151" s="1467">
        <v>2035</v>
      </c>
      <c r="AN151" s="1467">
        <v>2036</v>
      </c>
      <c r="AO151" s="1467">
        <v>2037</v>
      </c>
      <c r="AP151" s="1467">
        <v>2038</v>
      </c>
      <c r="AQ151" s="1467">
        <v>2039</v>
      </c>
      <c r="AR151" s="1467">
        <v>2040</v>
      </c>
      <c r="AS151" s="1467">
        <v>2041</v>
      </c>
      <c r="AT151" s="1467">
        <v>2042</v>
      </c>
      <c r="AU151" s="1467">
        <v>2043</v>
      </c>
      <c r="AV151" s="1467">
        <v>2044</v>
      </c>
      <c r="AW151" s="1467">
        <v>2045</v>
      </c>
      <c r="AX151" s="1467">
        <v>2046</v>
      </c>
      <c r="AY151" s="1467">
        <v>2047</v>
      </c>
      <c r="AZ151" s="1467">
        <v>2048</v>
      </c>
      <c r="BA151" s="1467">
        <v>2049</v>
      </c>
      <c r="BB151" s="1467">
        <v>2050</v>
      </c>
      <c r="BC151" s="1467">
        <v>2051</v>
      </c>
      <c r="BD151" s="1467">
        <v>2052</v>
      </c>
      <c r="BE151" s="1467">
        <v>2053</v>
      </c>
      <c r="BF151" s="1467">
        <v>2054</v>
      </c>
      <c r="BG151" s="1467">
        <v>2055</v>
      </c>
      <c r="BH151" s="1467">
        <v>2056</v>
      </c>
      <c r="BI151" s="1467">
        <v>2057</v>
      </c>
      <c r="BJ151" s="1467">
        <v>2058</v>
      </c>
      <c r="BK151" s="1467">
        <v>2059</v>
      </c>
      <c r="BL151" s="1467">
        <v>2060</v>
      </c>
      <c r="BM151" s="1467">
        <v>2061</v>
      </c>
      <c r="BN151" s="1467">
        <v>2062</v>
      </c>
      <c r="BO151" s="1467">
        <v>2063</v>
      </c>
      <c r="BP151" s="1467">
        <v>2064</v>
      </c>
      <c r="BQ151" s="1467">
        <v>2065</v>
      </c>
      <c r="BR151" s="1467">
        <v>2066</v>
      </c>
      <c r="BS151" s="1467">
        <v>2067</v>
      </c>
      <c r="BT151" s="1467">
        <v>2068</v>
      </c>
      <c r="BU151" s="1467">
        <v>2069</v>
      </c>
      <c r="BV151" s="1467">
        <v>2070</v>
      </c>
      <c r="BW151" s="1467">
        <v>2071</v>
      </c>
      <c r="BX151" s="1467">
        <v>2072</v>
      </c>
      <c r="BY151" s="1467">
        <v>2073</v>
      </c>
      <c r="BZ151" s="1467">
        <v>2074</v>
      </c>
      <c r="CA151" s="1467">
        <v>2075</v>
      </c>
      <c r="CB151" s="1467">
        <v>2076</v>
      </c>
      <c r="CC151" s="1467">
        <v>2077</v>
      </c>
      <c r="CD151" s="1467">
        <v>2078</v>
      </c>
      <c r="CE151" s="1467">
        <v>2079</v>
      </c>
      <c r="CF151" s="1467">
        <v>2080</v>
      </c>
      <c r="CG151" s="1467">
        <v>2081</v>
      </c>
      <c r="CH151" s="1467">
        <v>2082</v>
      </c>
      <c r="CI151" s="1467">
        <v>2083</v>
      </c>
      <c r="CJ151" s="1467">
        <v>2084</v>
      </c>
      <c r="CK151" s="1467">
        <v>2085</v>
      </c>
      <c r="CL151" s="1467">
        <v>2086</v>
      </c>
      <c r="CM151" s="1467">
        <v>2087</v>
      </c>
      <c r="CN151" s="1467">
        <v>2088</v>
      </c>
      <c r="CO151" s="1467">
        <v>2089</v>
      </c>
      <c r="CP151" s="1467">
        <v>2090</v>
      </c>
      <c r="CQ151" s="1467">
        <v>2091</v>
      </c>
      <c r="CR151" s="1467">
        <v>2092</v>
      </c>
      <c r="CS151" s="1467">
        <v>2093</v>
      </c>
      <c r="CT151" s="1467">
        <v>2094</v>
      </c>
      <c r="CU151" s="1467">
        <v>2095</v>
      </c>
      <c r="CV151" s="1467">
        <v>2096</v>
      </c>
      <c r="CW151" s="1467">
        <v>2097</v>
      </c>
      <c r="CX151" s="1467">
        <v>2098</v>
      </c>
      <c r="CY151" s="1467">
        <v>2099</v>
      </c>
      <c r="CZ151" s="1468">
        <v>2100</v>
      </c>
    </row>
    <row r="152" spans="1:104" x14ac:dyDescent="0.25">
      <c r="A152" s="1469" t="s">
        <v>1091</v>
      </c>
      <c r="B152" s="1470"/>
      <c r="C152" s="1470"/>
      <c r="D152" s="1470"/>
      <c r="E152" s="1470"/>
      <c r="F152" s="1470"/>
      <c r="G152" s="1470"/>
      <c r="H152" s="1470"/>
      <c r="I152" s="1470"/>
      <c r="J152" s="1470"/>
      <c r="K152" s="1470"/>
      <c r="L152" s="1470"/>
      <c r="M152" s="1470"/>
      <c r="N152" s="1470"/>
      <c r="O152" s="1470"/>
      <c r="P152" s="1470"/>
      <c r="Q152" s="1470"/>
      <c r="R152" s="1470"/>
      <c r="S152" s="1470"/>
      <c r="T152" s="1470"/>
      <c r="U152" s="1470"/>
      <c r="V152" s="1470"/>
      <c r="W152" s="1470"/>
      <c r="X152" s="1470"/>
      <c r="Y152" s="1470"/>
      <c r="Z152" s="1470"/>
      <c r="AA152" s="1470"/>
      <c r="AB152" s="1470"/>
      <c r="AC152" s="1470"/>
      <c r="AD152" s="1470"/>
      <c r="AE152" s="1470"/>
      <c r="AF152" s="1470"/>
      <c r="AG152" s="1470"/>
      <c r="AH152" s="1470"/>
      <c r="AI152" s="1470"/>
      <c r="AJ152" s="1470"/>
      <c r="AK152" s="1470"/>
      <c r="AL152" s="1470"/>
      <c r="AM152" s="1470"/>
      <c r="AN152" s="1470"/>
      <c r="AO152" s="1470"/>
      <c r="AP152" s="1470"/>
      <c r="AQ152" s="1470"/>
      <c r="AR152" s="1470"/>
      <c r="AS152" s="1470"/>
      <c r="AT152" s="1470"/>
      <c r="AU152" s="1470"/>
      <c r="AV152" s="1470"/>
      <c r="AW152" s="1470"/>
      <c r="AX152" s="1470"/>
      <c r="AY152" s="1470"/>
      <c r="AZ152" s="1470"/>
      <c r="BA152" s="1470"/>
      <c r="BB152" s="1470"/>
      <c r="BC152" s="1470"/>
      <c r="BD152" s="1470"/>
      <c r="BE152" s="1470"/>
      <c r="BF152" s="1470"/>
      <c r="BG152" s="1470"/>
      <c r="BH152" s="1470"/>
      <c r="BI152" s="1470"/>
      <c r="BJ152" s="1470"/>
      <c r="BK152" s="1470"/>
      <c r="BL152" s="1470"/>
      <c r="BM152" s="1470"/>
      <c r="BN152" s="1470"/>
      <c r="BO152" s="1470"/>
      <c r="BP152" s="1470"/>
      <c r="BQ152" s="1470"/>
      <c r="BR152" s="1470"/>
      <c r="BS152" s="1470"/>
      <c r="BT152" s="1470"/>
      <c r="BU152" s="1470"/>
      <c r="BV152" s="1470"/>
      <c r="BW152" s="1470"/>
      <c r="BX152" s="1470"/>
      <c r="BY152" s="1470"/>
      <c r="BZ152" s="1470"/>
      <c r="CA152" s="1470"/>
      <c r="CB152" s="1470"/>
      <c r="CC152" s="1470"/>
      <c r="CD152" s="1470"/>
      <c r="CE152" s="1470"/>
      <c r="CF152" s="1470"/>
      <c r="CG152" s="1470"/>
      <c r="CH152" s="1470"/>
      <c r="CI152" s="1470"/>
      <c r="CJ152" s="1470"/>
      <c r="CK152" s="1470"/>
      <c r="CL152" s="1470"/>
      <c r="CM152" s="1470"/>
      <c r="CN152" s="1470"/>
      <c r="CO152" s="1470"/>
      <c r="CP152" s="1470"/>
      <c r="CQ152" s="1470"/>
      <c r="CR152" s="1470"/>
      <c r="CS152" s="1470"/>
      <c r="CT152" s="1470"/>
      <c r="CU152" s="1470"/>
      <c r="CV152" s="1470"/>
      <c r="CW152" s="1470"/>
      <c r="CX152" s="1470"/>
      <c r="CY152" s="1470"/>
      <c r="CZ152" s="1471"/>
    </row>
    <row r="153" spans="1:104" x14ac:dyDescent="0.25">
      <c r="A153" s="1469" t="s">
        <v>681</v>
      </c>
      <c r="B153" s="1470"/>
      <c r="C153" s="1470"/>
      <c r="D153" s="1470"/>
      <c r="E153" s="1470"/>
      <c r="F153" s="1470"/>
      <c r="G153" s="1470"/>
      <c r="H153" s="1470">
        <v>13.604875014867702</v>
      </c>
      <c r="I153" s="1470">
        <v>15.571757228276402</v>
      </c>
      <c r="J153" s="1470">
        <v>16.331995797204218</v>
      </c>
      <c r="K153" s="1470">
        <v>15.155672177020728</v>
      </c>
      <c r="L153" s="1470">
        <v>15.783516201764996</v>
      </c>
      <c r="M153" s="1470">
        <v>13.69149010361817</v>
      </c>
      <c r="N153" s="1470">
        <v>12.691188457250465</v>
      </c>
      <c r="O153" s="1470">
        <v>12.04142243701838</v>
      </c>
      <c r="P153" s="1470">
        <v>11.415954621928984</v>
      </c>
      <c r="Q153" s="1470">
        <v>10.886628367710442</v>
      </c>
      <c r="R153" s="1470">
        <v>11.368469484946878</v>
      </c>
      <c r="S153" s="1470">
        <v>9.7183315387998359</v>
      </c>
      <c r="T153" s="1470">
        <v>9.390001099467705</v>
      </c>
      <c r="U153" s="1470">
        <v>10.023002570479671</v>
      </c>
      <c r="V153" s="1470">
        <v>10.033707215541167</v>
      </c>
      <c r="W153" s="1470">
        <v>10.158951752324048</v>
      </c>
      <c r="X153" s="1470">
        <v>10.289627280447673</v>
      </c>
      <c r="Y153" s="1470">
        <v>10.38663350570965</v>
      </c>
      <c r="Z153" s="1470">
        <v>10.458822090960101</v>
      </c>
      <c r="AA153" s="1470">
        <v>10.541361785535555</v>
      </c>
      <c r="AB153" s="1470">
        <v>10.671303703310535</v>
      </c>
      <c r="AC153" s="1470">
        <v>10.821196220864106</v>
      </c>
      <c r="AD153" s="1470">
        <v>10.961130973142659</v>
      </c>
      <c r="AE153" s="1470">
        <v>11.387951919139837</v>
      </c>
      <c r="AF153" s="1470">
        <v>11.524366479125279</v>
      </c>
      <c r="AG153" s="1470">
        <v>11.653679994237272</v>
      </c>
      <c r="AH153" s="1470">
        <v>11.727599293307653</v>
      </c>
      <c r="AI153" s="1470">
        <v>11.827238554162054</v>
      </c>
      <c r="AJ153" s="1470">
        <v>11.877874728924342</v>
      </c>
      <c r="AK153" s="1470">
        <v>11.891573527850655</v>
      </c>
      <c r="AL153" s="1470">
        <v>11.9827791131466</v>
      </c>
      <c r="AM153" s="1470">
        <v>12.163475682807357</v>
      </c>
      <c r="AN153" s="1470">
        <v>12.259449735369497</v>
      </c>
      <c r="AO153" s="1470">
        <v>12.356256919064013</v>
      </c>
      <c r="AP153" s="1470">
        <v>12.41256198723101</v>
      </c>
      <c r="AQ153" s="1470">
        <v>12.490714236969412</v>
      </c>
      <c r="AR153" s="1470">
        <v>12.496378391289182</v>
      </c>
      <c r="AS153" s="1470">
        <v>12.55376491863939</v>
      </c>
      <c r="AT153" s="1470">
        <v>12.651412816002184</v>
      </c>
      <c r="AU153" s="1470">
        <v>12.770777096192051</v>
      </c>
      <c r="AV153" s="1470">
        <v>12.886454368298935</v>
      </c>
      <c r="AW153" s="1470">
        <v>13.010888521557151</v>
      </c>
      <c r="AX153" s="1470">
        <v>13.118997475015544</v>
      </c>
      <c r="AY153" s="1470">
        <v>13.217679440712152</v>
      </c>
      <c r="AZ153" s="1470">
        <v>13.363983523149482</v>
      </c>
      <c r="BA153" s="1470">
        <v>13.453606254075613</v>
      </c>
      <c r="BB153" s="1470">
        <v>13.593337225701765</v>
      </c>
      <c r="BC153" s="1470">
        <v>13.668907227280409</v>
      </c>
      <c r="BD153" s="1470">
        <v>13.744897348292845</v>
      </c>
      <c r="BE153" s="1470">
        <v>13.821309924326409</v>
      </c>
      <c r="BF153" s="1470">
        <v>13.898147303952761</v>
      </c>
      <c r="BG153" s="1470">
        <v>13.975411848800078</v>
      </c>
      <c r="BH153" s="1470">
        <v>14.050424531225174</v>
      </c>
      <c r="BI153" s="1470">
        <v>14.12583984239463</v>
      </c>
      <c r="BJ153" s="1470">
        <v>14.201659943408417</v>
      </c>
      <c r="BK153" s="1470">
        <v>14.277887006966159</v>
      </c>
      <c r="BL153" s="1470">
        <v>14.354523217429389</v>
      </c>
      <c r="BM153" s="1470">
        <v>14.422221698840277</v>
      </c>
      <c r="BN153" s="1470">
        <v>14.490239458315362</v>
      </c>
      <c r="BO153" s="1470">
        <v>14.558578001626712</v>
      </c>
      <c r="BP153" s="1470">
        <v>14.627238841647882</v>
      </c>
      <c r="BQ153" s="1470">
        <v>14.696223498387408</v>
      </c>
      <c r="BR153" s="1470">
        <v>14.75529333521281</v>
      </c>
      <c r="BS153" s="1470">
        <v>14.814600596681556</v>
      </c>
      <c r="BT153" s="1470">
        <v>14.874146237095607</v>
      </c>
      <c r="BU153" s="1470">
        <v>14.933931214592636</v>
      </c>
      <c r="BV153" s="1470">
        <v>14.993956491161448</v>
      </c>
      <c r="BW153" s="1470">
        <v>15.043740835540882</v>
      </c>
      <c r="BX153" s="1470">
        <v>15.093690478582264</v>
      </c>
      <c r="BY153" s="1470">
        <v>15.143805969125756</v>
      </c>
      <c r="BZ153" s="1470">
        <v>15.19408785783383</v>
      </c>
      <c r="CA153" s="1470">
        <v>15.244536697197322</v>
      </c>
      <c r="CB153" s="1470">
        <v>15.277067444573643</v>
      </c>
      <c r="CC153" s="1470">
        <v>15.309667610230484</v>
      </c>
      <c r="CD153" s="1470">
        <v>15.342337342301477</v>
      </c>
      <c r="CE153" s="1470">
        <v>15.375076789236356</v>
      </c>
      <c r="CF153" s="1470">
        <v>15.407886099801638</v>
      </c>
      <c r="CG153" s="1470">
        <v>15.41853907481957</v>
      </c>
      <c r="CH153" s="1470">
        <v>15.42919941527855</v>
      </c>
      <c r="CI153" s="1470">
        <v>15.439867126271025</v>
      </c>
      <c r="CJ153" s="1470">
        <v>15.450542212892964</v>
      </c>
      <c r="CK153" s="1470">
        <v>15.461224680243861</v>
      </c>
      <c r="CL153" s="1470">
        <v>15.464845562477739</v>
      </c>
      <c r="CM153" s="1470">
        <v>15.468467292690251</v>
      </c>
      <c r="CN153" s="1470">
        <v>15.472089871079984</v>
      </c>
      <c r="CO153" s="1470">
        <v>15.475713297845573</v>
      </c>
      <c r="CP153" s="1470">
        <v>15.479337573185701</v>
      </c>
      <c r="CQ153" s="1470">
        <v>15.484830510437597</v>
      </c>
      <c r="CR153" s="1470">
        <v>15.490325396891745</v>
      </c>
      <c r="CS153" s="1470">
        <v>15.49582223323983</v>
      </c>
      <c r="CT153" s="1470">
        <v>15.501321020173785</v>
      </c>
      <c r="CU153" s="1470">
        <v>15.506821758385787</v>
      </c>
      <c r="CV153" s="1470">
        <v>15.515287417782641</v>
      </c>
      <c r="CW153" s="1470">
        <v>15.523757698847955</v>
      </c>
      <c r="CX153" s="1470">
        <v>15.532232604104841</v>
      </c>
      <c r="CY153" s="1470">
        <v>15.540712136077792</v>
      </c>
      <c r="CZ153" s="1471">
        <v>15.549196297292674</v>
      </c>
    </row>
    <row r="154" spans="1:104" x14ac:dyDescent="0.25">
      <c r="A154" s="1469" t="s">
        <v>1086</v>
      </c>
      <c r="B154" s="1470"/>
      <c r="C154" s="1470"/>
      <c r="D154" s="1470"/>
      <c r="E154" s="1470"/>
      <c r="F154" s="1470"/>
      <c r="G154" s="1470"/>
      <c r="H154" s="1470">
        <v>11.934322920018829</v>
      </c>
      <c r="I154" s="1470">
        <v>13.90423046997279</v>
      </c>
      <c r="J154" s="1470">
        <v>14.274140536522257</v>
      </c>
      <c r="K154" s="1470">
        <v>13.139550648884942</v>
      </c>
      <c r="L154" s="1470">
        <v>13.897221248926272</v>
      </c>
      <c r="M154" s="1470">
        <v>11.345666428533674</v>
      </c>
      <c r="N154" s="1470">
        <v>10.551848524158197</v>
      </c>
      <c r="O154" s="1470">
        <v>9.7270239269114924</v>
      </c>
      <c r="P154" s="1470">
        <v>8.6825570363966911</v>
      </c>
      <c r="Q154" s="1470">
        <v>8.5236392646415098</v>
      </c>
      <c r="R154" s="1470">
        <v>9.2232797097563566</v>
      </c>
      <c r="S154" s="1470">
        <v>7.6085885488542795</v>
      </c>
      <c r="T154" s="1470">
        <v>6.813801352724405</v>
      </c>
      <c r="U154" s="1470">
        <v>7.4731047451509687</v>
      </c>
      <c r="V154" s="1470">
        <v>7.9843107853990691</v>
      </c>
      <c r="W154" s="1470">
        <v>8.5650780622071245</v>
      </c>
      <c r="X154" s="1470">
        <v>9.1477570858798014</v>
      </c>
      <c r="Y154" s="1470">
        <v>9.2514909161219876</v>
      </c>
      <c r="Z154" s="1470">
        <v>9.3094669856386769</v>
      </c>
      <c r="AA154" s="1470">
        <v>9.3761326413005577</v>
      </c>
      <c r="AB154" s="1470">
        <v>9.4891655040111615</v>
      </c>
      <c r="AC154" s="1470">
        <v>9.6143446414218783</v>
      </c>
      <c r="AD154" s="1470">
        <v>9.7258827967425425</v>
      </c>
      <c r="AE154" s="1470">
        <v>10.087086372666475</v>
      </c>
      <c r="AF154" s="1470">
        <v>10.198695614261233</v>
      </c>
      <c r="AG154" s="1470">
        <v>10.304737378868989</v>
      </c>
      <c r="AH154" s="1470">
        <v>10.357640731866367</v>
      </c>
      <c r="AI154" s="1470">
        <v>10.427655972763532</v>
      </c>
      <c r="AJ154" s="1470">
        <v>10.453569289213085</v>
      </c>
      <c r="AK154" s="1470">
        <v>10.441948105124277</v>
      </c>
      <c r="AL154" s="1470">
        <v>10.506270757192036</v>
      </c>
      <c r="AM154" s="1470">
        <v>10.658282593530579</v>
      </c>
      <c r="AN154" s="1470">
        <v>10.722901912315555</v>
      </c>
      <c r="AO154" s="1470">
        <v>10.786351624937444</v>
      </c>
      <c r="AP154" s="1470">
        <v>10.817805879498341</v>
      </c>
      <c r="AQ154" s="1470">
        <v>10.86596540847121</v>
      </c>
      <c r="AR154" s="1470">
        <v>10.838793391061706</v>
      </c>
      <c r="AS154" s="1470">
        <v>10.868085675073171</v>
      </c>
      <c r="AT154" s="1470">
        <v>10.937640276914211</v>
      </c>
      <c r="AU154" s="1470">
        <v>11.027299024885883</v>
      </c>
      <c r="AV154" s="1470">
        <v>11.114692490256441</v>
      </c>
      <c r="AW154" s="1470">
        <v>11.212257927541287</v>
      </c>
      <c r="AX154" s="1470">
        <v>11.293368314098968</v>
      </c>
      <c r="AY154" s="1470">
        <v>11.35816487466068</v>
      </c>
      <c r="AZ154" s="1470">
        <v>11.46581792814789</v>
      </c>
      <c r="BA154" s="1470">
        <v>11.521194135666732</v>
      </c>
      <c r="BB154" s="1470">
        <v>11.628119265707223</v>
      </c>
      <c r="BC154" s="1470">
        <v>11.692763949840026</v>
      </c>
      <c r="BD154" s="1470">
        <v>11.757768015837698</v>
      </c>
      <c r="BE154" s="1470">
        <v>11.823133461626696</v>
      </c>
      <c r="BF154" s="1470">
        <v>11.888862296240635</v>
      </c>
      <c r="BG154" s="1470">
        <v>11.954956539882032</v>
      </c>
      <c r="BH154" s="1470">
        <v>12.019124477688386</v>
      </c>
      <c r="BI154" s="1470">
        <v>12.083636835336717</v>
      </c>
      <c r="BJ154" s="1470">
        <v>12.148495461492134</v>
      </c>
      <c r="BK154" s="1470">
        <v>12.213702214742405</v>
      </c>
      <c r="BL154" s="1470">
        <v>12.279258963651227</v>
      </c>
      <c r="BM154" s="1470">
        <v>12.337170130194249</v>
      </c>
      <c r="BN154" s="1470">
        <v>12.395354416085945</v>
      </c>
      <c r="BO154" s="1470">
        <v>12.453813109405683</v>
      </c>
      <c r="BP154" s="1470">
        <v>12.512547504307637</v>
      </c>
      <c r="BQ154" s="1470">
        <v>12.571558901049444</v>
      </c>
      <c r="BR154" s="1470">
        <v>12.622088884688262</v>
      </c>
      <c r="BS154" s="1470">
        <v>12.672821967979766</v>
      </c>
      <c r="BT154" s="1470">
        <v>12.723758967260437</v>
      </c>
      <c r="BU154" s="1470">
        <v>12.774900702147928</v>
      </c>
      <c r="BV154" s="1470">
        <v>12.826247995554251</v>
      </c>
      <c r="BW154" s="1470">
        <v>12.868834910334423</v>
      </c>
      <c r="BX154" s="1470">
        <v>12.911563226193937</v>
      </c>
      <c r="BY154" s="1470">
        <v>12.954433412625956</v>
      </c>
      <c r="BZ154" s="1470">
        <v>12.997445940682496</v>
      </c>
      <c r="CA154" s="1470">
        <v>13.040601282979605</v>
      </c>
      <c r="CB154" s="1470">
        <v>13.06842899033459</v>
      </c>
      <c r="CC154" s="1470">
        <v>13.096316080020177</v>
      </c>
      <c r="CD154" s="1470">
        <v>13.124262678753999</v>
      </c>
      <c r="CE154" s="1470">
        <v>13.152268913524093</v>
      </c>
      <c r="CF154" s="1470">
        <v>13.180334911589481</v>
      </c>
      <c r="CG154" s="1470">
        <v>13.189447763127433</v>
      </c>
      <c r="CH154" s="1470">
        <v>13.198566915268799</v>
      </c>
      <c r="CI154" s="1470">
        <v>13.207692372369801</v>
      </c>
      <c r="CJ154" s="1470">
        <v>13.216824138789674</v>
      </c>
      <c r="CK154" s="1470">
        <v>13.225962218890665</v>
      </c>
      <c r="CL154" s="1470">
        <v>13.22905962240266</v>
      </c>
      <c r="CM154" s="1470">
        <v>13.232157751299196</v>
      </c>
      <c r="CN154" s="1470">
        <v>13.23525660575015</v>
      </c>
      <c r="CO154" s="1470">
        <v>13.23835618592544</v>
      </c>
      <c r="CP154" s="1470">
        <v>13.241456491995026</v>
      </c>
      <c r="CQ154" s="1470">
        <v>13.246155303510076</v>
      </c>
      <c r="CR154" s="1470">
        <v>13.250855782427021</v>
      </c>
      <c r="CS154" s="1470">
        <v>13.255557929337549</v>
      </c>
      <c r="CT154" s="1470">
        <v>13.260261744833558</v>
      </c>
      <c r="CU154" s="1470">
        <v>13.264967229507157</v>
      </c>
      <c r="CV154" s="1470">
        <v>13.272208990341527</v>
      </c>
      <c r="CW154" s="1470">
        <v>13.279454704679821</v>
      </c>
      <c r="CX154" s="1470">
        <v>13.286704374680379</v>
      </c>
      <c r="CY154" s="1470">
        <v>13.293958002502723</v>
      </c>
      <c r="CZ154" s="1471">
        <v>13.30121559030755</v>
      </c>
    </row>
    <row r="155" spans="1:104" x14ac:dyDescent="0.25">
      <c r="A155" s="1469" t="s">
        <v>283</v>
      </c>
      <c r="B155" s="1470"/>
      <c r="C155" s="1470"/>
      <c r="D155" s="1470"/>
      <c r="E155" s="1470"/>
      <c r="F155" s="1470"/>
      <c r="G155" s="1470"/>
      <c r="H155" s="1470">
        <v>8.2641705904266125</v>
      </c>
      <c r="I155" s="1470">
        <v>10.495609596381577</v>
      </c>
      <c r="J155" s="1470">
        <v>9.3614571685358463</v>
      </c>
      <c r="K155" s="1470">
        <v>8.8987432965993278</v>
      </c>
      <c r="L155" s="1470">
        <v>10.965509816201024</v>
      </c>
      <c r="M155" s="1470">
        <v>6.0111731674040234</v>
      </c>
      <c r="N155" s="1470">
        <v>6.1171751211856922</v>
      </c>
      <c r="O155" s="1470">
        <v>5.6004077154944953</v>
      </c>
      <c r="P155" s="1470">
        <v>4.1590520124961925</v>
      </c>
      <c r="Q155" s="1470">
        <v>4.894763142071362</v>
      </c>
      <c r="R155" s="1470">
        <v>5.8241384234641265</v>
      </c>
      <c r="S155" s="1470">
        <v>3.5390282601113117</v>
      </c>
      <c r="T155" s="1470">
        <v>3.3168400539876552</v>
      </c>
      <c r="U155" s="1470">
        <v>3.8686572087168831</v>
      </c>
      <c r="V155" s="1470">
        <v>4.230424735748624</v>
      </c>
      <c r="W155" s="1470">
        <v>4.6374903322667231</v>
      </c>
      <c r="X155" s="1470">
        <v>5.0398775041324821</v>
      </c>
      <c r="Y155" s="1470">
        <v>5.0452222441273262</v>
      </c>
      <c r="Z155" s="1470">
        <v>4.9894479534735598</v>
      </c>
      <c r="AA155" s="1470">
        <v>5.0008757828968315</v>
      </c>
      <c r="AB155" s="1470">
        <v>5.0866427943161305</v>
      </c>
      <c r="AC155" s="1470">
        <v>5.1985543895300337</v>
      </c>
      <c r="AD155" s="1470">
        <v>5.3142743134013735</v>
      </c>
      <c r="AE155" s="1470">
        <v>5.4069765017212355</v>
      </c>
      <c r="AF155" s="1470">
        <v>5.498883471588238</v>
      </c>
      <c r="AG155" s="1470">
        <v>5.5761078084954727</v>
      </c>
      <c r="AH155" s="1470">
        <v>5.5953977798334869</v>
      </c>
      <c r="AI155" s="1470">
        <v>5.6194116710392619</v>
      </c>
      <c r="AJ155" s="1470">
        <v>5.6053299540498323</v>
      </c>
      <c r="AK155" s="1470">
        <v>5.5496627667157004</v>
      </c>
      <c r="AL155" s="1470">
        <v>5.5482476759527453</v>
      </c>
      <c r="AM155" s="1470">
        <v>5.6344516310034729</v>
      </c>
      <c r="AN155" s="1470">
        <v>5.6381945602887429</v>
      </c>
      <c r="AO155" s="1470">
        <v>5.6485162872871211</v>
      </c>
      <c r="AP155" s="1470">
        <v>5.6430123140383071</v>
      </c>
      <c r="AQ155" s="1470">
        <v>5.6644386648670784</v>
      </c>
      <c r="AR155" s="1470">
        <v>5.6215300420072483</v>
      </c>
      <c r="AS155" s="1470">
        <v>5.6260767200982693</v>
      </c>
      <c r="AT155" s="1470">
        <v>5.6802473044084865</v>
      </c>
      <c r="AU155" s="1470">
        <v>5.7631623345111542</v>
      </c>
      <c r="AV155" s="1470">
        <v>5.819991545472468</v>
      </c>
      <c r="AW155" s="1470">
        <v>5.8947240715184783</v>
      </c>
      <c r="AX155" s="1470">
        <v>5.9518546882819487</v>
      </c>
      <c r="AY155" s="1470">
        <v>6.0145186606208574</v>
      </c>
      <c r="AZ155" s="1470">
        <v>6.1247620979360331</v>
      </c>
      <c r="BA155" s="1470">
        <v>6.1606322318436177</v>
      </c>
      <c r="BB155" s="1470">
        <v>6.238633778680942</v>
      </c>
      <c r="BC155" s="1470">
        <v>6.2733164733478626</v>
      </c>
      <c r="BD155" s="1470">
        <v>6.3081919809530058</v>
      </c>
      <c r="BE155" s="1470">
        <v>6.3432613734093088</v>
      </c>
      <c r="BF155" s="1470">
        <v>6.3785257285888406</v>
      </c>
      <c r="BG155" s="1470">
        <v>6.4139861303559274</v>
      </c>
      <c r="BH155" s="1470">
        <v>6.4484130445592944</v>
      </c>
      <c r="BI155" s="1470">
        <v>6.4830247443854354</v>
      </c>
      <c r="BJ155" s="1470">
        <v>6.5178222216666768</v>
      </c>
      <c r="BK155" s="1470">
        <v>6.5528064735589808</v>
      </c>
      <c r="BL155" s="1470">
        <v>6.5879785025705191</v>
      </c>
      <c r="BM155" s="1470">
        <v>6.6190485794679574</v>
      </c>
      <c r="BN155" s="1470">
        <v>6.6502651883672899</v>
      </c>
      <c r="BO155" s="1470">
        <v>6.6816290203394662</v>
      </c>
      <c r="BP155" s="1470">
        <v>6.7131407697146503</v>
      </c>
      <c r="BQ155" s="1470">
        <v>6.7448011340975915</v>
      </c>
      <c r="BR155" s="1470">
        <v>6.7719111125525773</v>
      </c>
      <c r="BS155" s="1470">
        <v>6.7991300565526132</v>
      </c>
      <c r="BT155" s="1470">
        <v>6.8264584040725946</v>
      </c>
      <c r="BU155" s="1470">
        <v>6.8538965948478108</v>
      </c>
      <c r="BV155" s="1470">
        <v>6.8814450703810159</v>
      </c>
      <c r="BW155" s="1470">
        <v>6.904293491437457</v>
      </c>
      <c r="BX155" s="1470">
        <v>6.9272177759701634</v>
      </c>
      <c r="BY155" s="1470">
        <v>6.9502181758681845</v>
      </c>
      <c r="BZ155" s="1470">
        <v>6.9732949438569127</v>
      </c>
      <c r="CA155" s="1470">
        <v>6.996448333500866</v>
      </c>
      <c r="CB155" s="1470">
        <v>7.0113782521851409</v>
      </c>
      <c r="CC155" s="1470">
        <v>7.0263400302445289</v>
      </c>
      <c r="CD155" s="1470">
        <v>7.0413337356646508</v>
      </c>
      <c r="CE155" s="1470">
        <v>7.0563594365762032</v>
      </c>
      <c r="CF155" s="1470">
        <v>7.0714172012552687</v>
      </c>
      <c r="CG155" s="1470">
        <v>7.0763063619291211</v>
      </c>
      <c r="CH155" s="1470">
        <v>7.0811989029567863</v>
      </c>
      <c r="CI155" s="1470">
        <v>7.0860948266754322</v>
      </c>
      <c r="CJ155" s="1470">
        <v>7.090994135423843</v>
      </c>
      <c r="CK155" s="1470">
        <v>7.0958968315424205</v>
      </c>
      <c r="CL155" s="1470">
        <v>7.0975586278944007</v>
      </c>
      <c r="CM155" s="1470">
        <v>7.0992208134244059</v>
      </c>
      <c r="CN155" s="1470">
        <v>7.1008833882235782</v>
      </c>
      <c r="CO155" s="1470">
        <v>7.1025463523830812</v>
      </c>
      <c r="CP155" s="1470">
        <v>7.1042097059940996</v>
      </c>
      <c r="CQ155" s="1470">
        <v>7.1067306780935082</v>
      </c>
      <c r="CR155" s="1470">
        <v>7.1092525447752264</v>
      </c>
      <c r="CS155" s="1470">
        <v>7.1117753063567024</v>
      </c>
      <c r="CT155" s="1470">
        <v>7.1142989631554965</v>
      </c>
      <c r="CU155" s="1470">
        <v>7.1168235154892816</v>
      </c>
      <c r="CV155" s="1470">
        <v>7.1207088122192239</v>
      </c>
      <c r="CW155" s="1470">
        <v>7.1245962300542702</v>
      </c>
      <c r="CX155" s="1470">
        <v>7.1284857701523974</v>
      </c>
      <c r="CY155" s="1470">
        <v>7.1323774336722154</v>
      </c>
      <c r="CZ155" s="1471">
        <v>7.1362712217729669</v>
      </c>
    </row>
    <row r="156" spans="1:104" x14ac:dyDescent="0.25">
      <c r="A156" s="1469" t="s">
        <v>1087</v>
      </c>
      <c r="B156" s="1470"/>
      <c r="C156" s="1470"/>
      <c r="D156" s="1470"/>
      <c r="E156" s="1470"/>
      <c r="F156" s="1470"/>
      <c r="G156" s="1470"/>
      <c r="H156" s="1470">
        <v>8.4160389626855991</v>
      </c>
      <c r="I156" s="1470">
        <v>10.630483084185546</v>
      </c>
      <c r="J156" s="1470">
        <v>10.241695834954719</v>
      </c>
      <c r="K156" s="1470">
        <v>9.4549147526367854</v>
      </c>
      <c r="L156" s="1470">
        <v>10.431438353650302</v>
      </c>
      <c r="M156" s="1470">
        <v>7.3081429877632402</v>
      </c>
      <c r="N156" s="1470">
        <v>6.8860004096407268</v>
      </c>
      <c r="O156" s="1470">
        <v>6.1462564207083838</v>
      </c>
      <c r="P156" s="1470">
        <v>5.0701845410069568</v>
      </c>
      <c r="Q156" s="1470">
        <v>5.147940545971605</v>
      </c>
      <c r="R156" s="1470">
        <v>5.9174075441245835</v>
      </c>
      <c r="S156" s="1470">
        <v>4.3672641892083037</v>
      </c>
      <c r="T156" s="1470">
        <v>3.755553639162041</v>
      </c>
      <c r="U156" s="1470">
        <v>3.3468214009493336</v>
      </c>
      <c r="V156" s="1470">
        <v>3.6078009129373227</v>
      </c>
      <c r="W156" s="1470">
        <v>3.9595869792693468</v>
      </c>
      <c r="X156" s="1470">
        <v>4.2992239274502966</v>
      </c>
      <c r="Y156" s="1470">
        <v>4.3362295461094007</v>
      </c>
      <c r="Z156" s="1470">
        <v>4.2972619462853157</v>
      </c>
      <c r="AA156" s="1470">
        <v>4.3209431537283329</v>
      </c>
      <c r="AB156" s="1470">
        <v>4.4388231525151278</v>
      </c>
      <c r="AC156" s="1470">
        <v>4.5598555906037213</v>
      </c>
      <c r="AD156" s="1470">
        <v>4.6705511366221319</v>
      </c>
      <c r="AE156" s="1470">
        <v>4.7905826799714895</v>
      </c>
      <c r="AF156" s="1470">
        <v>4.8909868291351355</v>
      </c>
      <c r="AG156" s="1470">
        <v>4.9795195705251665</v>
      </c>
      <c r="AH156" s="1470">
        <v>5.0140428564929254</v>
      </c>
      <c r="AI156" s="1470">
        <v>5.034241784322349</v>
      </c>
      <c r="AJ156" s="1470">
        <v>5.0303794300966009</v>
      </c>
      <c r="AK156" s="1470">
        <v>4.9817061843162831</v>
      </c>
      <c r="AL156" s="1470">
        <v>5.005816752854825</v>
      </c>
      <c r="AM156" s="1470">
        <v>5.1117353012541518</v>
      </c>
      <c r="AN156" s="1470">
        <v>5.1218001698488047</v>
      </c>
      <c r="AO156" s="1470">
        <v>5.1563490468752367</v>
      </c>
      <c r="AP156" s="1470">
        <v>5.1654177598155924</v>
      </c>
      <c r="AQ156" s="1470">
        <v>5.1952502995101684</v>
      </c>
      <c r="AR156" s="1470">
        <v>5.1548078964528896</v>
      </c>
      <c r="AS156" s="1470">
        <v>5.1691436283950809</v>
      </c>
      <c r="AT156" s="1470">
        <v>5.2239208155775625</v>
      </c>
      <c r="AU156" s="1470">
        <v>5.3036701369405987</v>
      </c>
      <c r="AV156" s="1470">
        <v>5.3698761013633396</v>
      </c>
      <c r="AW156" s="1470">
        <v>5.4477553798092231</v>
      </c>
      <c r="AX156" s="1470">
        <v>5.5105548899774046</v>
      </c>
      <c r="AY156" s="1470">
        <v>5.5735610242489493</v>
      </c>
      <c r="AZ156" s="1470">
        <v>5.6745566112130543</v>
      </c>
      <c r="BA156" s="1470">
        <v>5.7069198222653581</v>
      </c>
      <c r="BB156" s="1470">
        <v>5.8107835034348891</v>
      </c>
      <c r="BC156" s="1470">
        <v>5.8430876323795795</v>
      </c>
      <c r="BD156" s="1470">
        <v>5.8755713510037442</v>
      </c>
      <c r="BE156" s="1470">
        <v>5.9082356577077126</v>
      </c>
      <c r="BF156" s="1470">
        <v>5.9410815564422617</v>
      </c>
      <c r="BG156" s="1470">
        <v>5.974110056739474</v>
      </c>
      <c r="BH156" s="1470">
        <v>6.006175946840397</v>
      </c>
      <c r="BI156" s="1470">
        <v>6.0384139498247791</v>
      </c>
      <c r="BJ156" s="1470">
        <v>6.0708249895043265</v>
      </c>
      <c r="BK156" s="1470">
        <v>6.1034099946492821</v>
      </c>
      <c r="BL156" s="1470">
        <v>6.1361698990150408</v>
      </c>
      <c r="BM156" s="1470">
        <v>6.1651091662794615</v>
      </c>
      <c r="BN156" s="1470">
        <v>6.1941849162690321</v>
      </c>
      <c r="BO156" s="1470">
        <v>6.2233977926605295</v>
      </c>
      <c r="BP156" s="1470">
        <v>6.2527484421664239</v>
      </c>
      <c r="BQ156" s="1470">
        <v>6.2822375145491964</v>
      </c>
      <c r="BR156" s="1470">
        <v>6.3074882699506478</v>
      </c>
      <c r="BS156" s="1470">
        <v>6.3328405179567433</v>
      </c>
      <c r="BT156" s="1470">
        <v>6.3582946665057261</v>
      </c>
      <c r="BU156" s="1470">
        <v>6.3838511251755019</v>
      </c>
      <c r="BV156" s="1470">
        <v>6.4095103051902287</v>
      </c>
      <c r="BW156" s="1470">
        <v>6.4307917640583545</v>
      </c>
      <c r="BX156" s="1470">
        <v>6.4521438836275307</v>
      </c>
      <c r="BY156" s="1470">
        <v>6.473566898512062</v>
      </c>
      <c r="BZ156" s="1470">
        <v>6.4950610441052419</v>
      </c>
      <c r="CA156" s="1470">
        <v>6.5166265565819383</v>
      </c>
      <c r="CB156" s="1470">
        <v>6.5305325700258869</v>
      </c>
      <c r="CC156" s="1470">
        <v>6.5444682579046409</v>
      </c>
      <c r="CD156" s="1470">
        <v>6.5584336835413142</v>
      </c>
      <c r="CE156" s="1470">
        <v>6.5724289103941489</v>
      </c>
      <c r="CF156" s="1470">
        <v>6.5864540020568016</v>
      </c>
      <c r="CG156" s="1470">
        <v>6.5910078603528843</v>
      </c>
      <c r="CH156" s="1470">
        <v>6.5955648671755291</v>
      </c>
      <c r="CI156" s="1470">
        <v>6.6001250247016205</v>
      </c>
      <c r="CJ156" s="1470">
        <v>6.6046883351095476</v>
      </c>
      <c r="CK156" s="1470">
        <v>6.6092548005792047</v>
      </c>
      <c r="CL156" s="1470">
        <v>6.6108026296665843</v>
      </c>
      <c r="CM156" s="1470">
        <v>6.6123508212418631</v>
      </c>
      <c r="CN156" s="1470">
        <v>6.6138993753899316</v>
      </c>
      <c r="CO156" s="1470">
        <v>6.6154482921957012</v>
      </c>
      <c r="CP156" s="1470">
        <v>6.6169975717441041</v>
      </c>
      <c r="CQ156" s="1470">
        <v>6.6193456536491393</v>
      </c>
      <c r="CR156" s="1470">
        <v>6.6216945687853457</v>
      </c>
      <c r="CS156" s="1470">
        <v>6.6240443174483996</v>
      </c>
      <c r="CT156" s="1470">
        <v>6.6263948999340831</v>
      </c>
      <c r="CU156" s="1470">
        <v>6.6287463165382841</v>
      </c>
      <c r="CV156" s="1470">
        <v>6.6323651566473876</v>
      </c>
      <c r="CW156" s="1470">
        <v>6.6359859723945851</v>
      </c>
      <c r="CX156" s="1470">
        <v>6.6396087648584388</v>
      </c>
      <c r="CY156" s="1470">
        <v>6.6432335351180996</v>
      </c>
      <c r="CZ156" s="1471">
        <v>6.6468602842533091</v>
      </c>
    </row>
    <row r="157" spans="1:104" x14ac:dyDescent="0.25">
      <c r="A157" s="1469" t="s">
        <v>1082</v>
      </c>
      <c r="B157" s="1470"/>
      <c r="C157" s="1470"/>
      <c r="D157" s="1470"/>
      <c r="E157" s="1470"/>
      <c r="F157" s="1470"/>
      <c r="G157" s="1470"/>
      <c r="H157" s="1470">
        <v>5.0967849132778742</v>
      </c>
      <c r="I157" s="1470">
        <v>5.0967849132778742</v>
      </c>
      <c r="J157" s="1470">
        <v>5.0967849132778742</v>
      </c>
      <c r="K157" s="1470">
        <v>5.0967849132778742</v>
      </c>
      <c r="L157" s="1470">
        <v>5.0967849132778742</v>
      </c>
      <c r="M157" s="1470">
        <v>5.0967849132778742</v>
      </c>
      <c r="N157" s="1470">
        <v>5.0967849132778742</v>
      </c>
      <c r="O157" s="1470">
        <v>5.0967849132778742</v>
      </c>
      <c r="P157" s="1470">
        <v>5.0967849132778742</v>
      </c>
      <c r="Q157" s="1470">
        <v>5.0967849132778742</v>
      </c>
      <c r="R157" s="1470">
        <v>5.0967849132778742</v>
      </c>
      <c r="S157" s="1470">
        <v>5.0967849132778742</v>
      </c>
      <c r="T157" s="1470">
        <v>5.0967849132778742</v>
      </c>
      <c r="U157" s="1470">
        <v>5.0967849132778742</v>
      </c>
      <c r="V157" s="1470">
        <v>5.0967849132778742</v>
      </c>
      <c r="W157" s="1470">
        <v>5.0967849132778742</v>
      </c>
      <c r="X157" s="1470">
        <v>5.0967849132778742</v>
      </c>
      <c r="Y157" s="1470">
        <v>5.0967849132778742</v>
      </c>
      <c r="Z157" s="1470">
        <v>5.0967849132778742</v>
      </c>
      <c r="AA157" s="1470">
        <v>5.0967849132778742</v>
      </c>
      <c r="AB157" s="1470">
        <v>5.0967849132778742</v>
      </c>
      <c r="AC157" s="1470">
        <v>5.0967849132778742</v>
      </c>
      <c r="AD157" s="1470">
        <v>5.0967849132778742</v>
      </c>
      <c r="AE157" s="1470">
        <v>5.0967849132778742</v>
      </c>
      <c r="AF157" s="1470">
        <v>5.0967849132778742</v>
      </c>
      <c r="AG157" s="1470">
        <v>5.0967849132778742</v>
      </c>
      <c r="AH157" s="1470">
        <v>5.0967849132778742</v>
      </c>
      <c r="AI157" s="1470">
        <v>5.0967849132778742</v>
      </c>
      <c r="AJ157" s="1470">
        <v>5.0967849132778742</v>
      </c>
      <c r="AK157" s="1470">
        <v>5.0967849132778742</v>
      </c>
      <c r="AL157" s="1470">
        <v>5.0967849132778742</v>
      </c>
      <c r="AM157" s="1470">
        <v>5.0967849132778742</v>
      </c>
      <c r="AN157" s="1470">
        <v>5.0967849132778742</v>
      </c>
      <c r="AO157" s="1470">
        <v>5.0967849132778742</v>
      </c>
      <c r="AP157" s="1470">
        <v>5.0967849132778742</v>
      </c>
      <c r="AQ157" s="1470">
        <v>5.0967849132778742</v>
      </c>
      <c r="AR157" s="1470">
        <v>5.0967849132778742</v>
      </c>
      <c r="AS157" s="1470">
        <v>5.0967849132778742</v>
      </c>
      <c r="AT157" s="1470">
        <v>5.0967849132778742</v>
      </c>
      <c r="AU157" s="1470">
        <v>5.0967849132778742</v>
      </c>
      <c r="AV157" s="1470">
        <v>5.0967849132778742</v>
      </c>
      <c r="AW157" s="1470">
        <v>5.0967849132778742</v>
      </c>
      <c r="AX157" s="1470">
        <v>5.0967849132778742</v>
      </c>
      <c r="AY157" s="1470">
        <v>5.0967849132778742</v>
      </c>
      <c r="AZ157" s="1470">
        <v>5.0967849132778742</v>
      </c>
      <c r="BA157" s="1470">
        <v>5.0967849132778742</v>
      </c>
      <c r="BB157" s="1470">
        <v>5.0967849132778742</v>
      </c>
      <c r="BC157" s="1470">
        <v>5.1179587571540939</v>
      </c>
      <c r="BD157" s="1470">
        <v>5.1392205646528959</v>
      </c>
      <c r="BE157" s="1470">
        <v>5.1605707012062227</v>
      </c>
      <c r="BF157" s="1470">
        <v>5.1820095337641501</v>
      </c>
      <c r="BG157" s="1470">
        <v>5.2035374308011946</v>
      </c>
      <c r="BH157" s="1470">
        <v>5.2223240063357927</v>
      </c>
      <c r="BI157" s="1470">
        <v>5.2411784079262249</v>
      </c>
      <c r="BJ157" s="1470">
        <v>5.2601008804480855</v>
      </c>
      <c r="BK157" s="1470">
        <v>5.2790916696610548</v>
      </c>
      <c r="BL157" s="1470">
        <v>5.2981510222120916</v>
      </c>
      <c r="BM157" s="1470">
        <v>5.3113630812048802</v>
      </c>
      <c r="BN157" s="1470">
        <v>5.3246080872582748</v>
      </c>
      <c r="BO157" s="1470">
        <v>5.3378861225327325</v>
      </c>
      <c r="BP157" s="1470">
        <v>5.3511972693935945</v>
      </c>
      <c r="BQ157" s="1470">
        <v>5.3645416104115968</v>
      </c>
      <c r="BR157" s="1470">
        <v>5.3779717491778074</v>
      </c>
      <c r="BS157" s="1470">
        <v>5.3914355103185612</v>
      </c>
      <c r="BT157" s="1470">
        <v>5.4049329780075288</v>
      </c>
      <c r="BU157" s="1470">
        <v>5.4184642366291094</v>
      </c>
      <c r="BV157" s="1470">
        <v>5.4320293707789578</v>
      </c>
      <c r="BW157" s="1470">
        <v>5.4450858323773135</v>
      </c>
      <c r="BX157" s="1470">
        <v>5.458173676572823</v>
      </c>
      <c r="BY157" s="1470">
        <v>5.471292978796904</v>
      </c>
      <c r="BZ157" s="1470">
        <v>5.4844438146622805</v>
      </c>
      <c r="CA157" s="1470">
        <v>5.4976262599634209</v>
      </c>
      <c r="CB157" s="1470">
        <v>5.509165721372697</v>
      </c>
      <c r="CC157" s="1470">
        <v>5.5207294039936956</v>
      </c>
      <c r="CD157" s="1470">
        <v>5.5323173586664938</v>
      </c>
      <c r="CE157" s="1470">
        <v>5.5439296363378796</v>
      </c>
      <c r="CF157" s="1470">
        <v>5.5555662880615797</v>
      </c>
      <c r="CG157" s="1470">
        <v>5.5698816197819898</v>
      </c>
      <c r="CH157" s="1470">
        <v>5.5842338386011479</v>
      </c>
      <c r="CI157" s="1470">
        <v>5.598623039568059</v>
      </c>
      <c r="CJ157" s="1470">
        <v>5.6130493179766479</v>
      </c>
      <c r="CK157" s="1470">
        <v>5.6275127693663878</v>
      </c>
      <c r="CL157" s="1470">
        <v>5.6395580019552014</v>
      </c>
      <c r="CM157" s="1470">
        <v>5.6516290163830023</v>
      </c>
      <c r="CN157" s="1470">
        <v>5.6637258678337163</v>
      </c>
      <c r="CO157" s="1470">
        <v>5.6758486116093856</v>
      </c>
      <c r="CP157" s="1470">
        <v>5.6879973031304223</v>
      </c>
      <c r="CQ157" s="1470">
        <v>5.6991168854631553</v>
      </c>
      <c r="CR157" s="1470">
        <v>5.7102582056949531</v>
      </c>
      <c r="CS157" s="1470">
        <v>5.7214213063216786</v>
      </c>
      <c r="CT157" s="1470">
        <v>5.732606229922272</v>
      </c>
      <c r="CU157" s="1470">
        <v>5.7438130191589121</v>
      </c>
      <c r="CV157" s="1470">
        <v>5.7570440466225028</v>
      </c>
      <c r="CW157" s="1470">
        <v>5.7703055521130002</v>
      </c>
      <c r="CX157" s="1470">
        <v>5.7835976058373566</v>
      </c>
      <c r="CY157" s="1470">
        <v>5.796920278164249</v>
      </c>
      <c r="CZ157" s="1471">
        <v>5.8102736396244499</v>
      </c>
    </row>
    <row r="158" spans="1:104" x14ac:dyDescent="0.25">
      <c r="A158" s="1469" t="s">
        <v>1088</v>
      </c>
      <c r="B158" s="1470"/>
      <c r="C158" s="1470"/>
      <c r="D158" s="1470"/>
      <c r="E158" s="1470"/>
      <c r="F158" s="1470"/>
      <c r="G158" s="1470"/>
      <c r="H158" s="1470" t="e">
        <v>#N/A</v>
      </c>
      <c r="I158" s="1470" t="e">
        <v>#N/A</v>
      </c>
      <c r="J158" s="1470" t="e">
        <v>#N/A</v>
      </c>
      <c r="K158" s="1470" t="e">
        <v>#N/A</v>
      </c>
      <c r="L158" s="1470">
        <v>2.2148742453355847</v>
      </c>
      <c r="M158" s="1470">
        <v>2.3408877437334223</v>
      </c>
      <c r="N158" s="1470">
        <v>2.3629142410275352</v>
      </c>
      <c r="O158" s="1470">
        <v>2.4181318326423913</v>
      </c>
      <c r="P158" s="1470">
        <v>2.3501923436687169</v>
      </c>
      <c r="Q158" s="1470">
        <v>2.2749877363600257</v>
      </c>
      <c r="R158" s="1470">
        <v>2.2671813119268305</v>
      </c>
      <c r="S158" s="1470">
        <v>2.0920368648072634</v>
      </c>
      <c r="T158" s="1470">
        <v>1.9706687398025258</v>
      </c>
      <c r="U158" s="1470">
        <v>2.067600203211962</v>
      </c>
      <c r="V158" s="1470">
        <v>2.1142782942327232</v>
      </c>
      <c r="W158" s="1470">
        <v>2.1573963846468813</v>
      </c>
      <c r="X158" s="1470">
        <v>2.1900363582596567</v>
      </c>
      <c r="Y158" s="1470">
        <v>2.1929897559939948</v>
      </c>
      <c r="Z158" s="1470">
        <v>2.2028650611910647</v>
      </c>
      <c r="AA158" s="1470">
        <v>2.2090827406317772</v>
      </c>
      <c r="AB158" s="1470">
        <v>2.2092997907220093</v>
      </c>
      <c r="AC158" s="1470">
        <v>2.2079918032786887</v>
      </c>
      <c r="AD158" s="1470">
        <v>2.2065492258230841</v>
      </c>
      <c r="AE158" s="1470">
        <v>2.1995552842692714</v>
      </c>
      <c r="AF158" s="1470">
        <v>2.1903510334996437</v>
      </c>
      <c r="AG158" s="1470">
        <v>2.1795345460335755</v>
      </c>
      <c r="AH158" s="1470">
        <v>2.1771697426487315</v>
      </c>
      <c r="AI158" s="1470">
        <v>2.177831318906295</v>
      </c>
      <c r="AJ158" s="1470">
        <v>2.1809505846135182</v>
      </c>
      <c r="AK158" s="1470">
        <v>2.1861806387528246</v>
      </c>
      <c r="AL158" s="1470">
        <v>2.1973402359685172</v>
      </c>
      <c r="AM158" s="1470">
        <v>2.2020565733003745</v>
      </c>
      <c r="AN158" s="1470">
        <v>2.2177912831167257</v>
      </c>
      <c r="AO158" s="1470">
        <v>2.2206593773221517</v>
      </c>
      <c r="AP158" s="1470">
        <v>2.2289385587115755</v>
      </c>
      <c r="AQ158" s="1470">
        <v>2.2351116907538557</v>
      </c>
      <c r="AR158" s="1470">
        <v>2.2481536525075447</v>
      </c>
      <c r="AS158" s="1470">
        <v>2.2492673374683427</v>
      </c>
      <c r="AT158" s="1470">
        <v>2.2496910116619402</v>
      </c>
      <c r="AU158" s="1470">
        <v>2.2544263053335558</v>
      </c>
      <c r="AV158" s="1470">
        <v>2.2540196918457411</v>
      </c>
      <c r="AW158" s="1470">
        <v>2.2546357728878843</v>
      </c>
      <c r="AX158" s="1470">
        <v>2.2490256441364247</v>
      </c>
      <c r="AY158" s="1470">
        <v>2.2531477002168603</v>
      </c>
      <c r="AZ158" s="1470">
        <v>2.2540841434009193</v>
      </c>
      <c r="BA158" s="1470">
        <v>2.2596705767276806</v>
      </c>
      <c r="BB158" s="1470">
        <v>2.2620458060993922</v>
      </c>
      <c r="BC158" s="1470">
        <v>2.2703711301923084</v>
      </c>
      <c r="BD158" s="1470">
        <v>2.2787270951418623</v>
      </c>
      <c r="BE158" s="1470">
        <v>2.2871138137198912</v>
      </c>
      <c r="BF158" s="1470">
        <v>2.2955313991132824</v>
      </c>
      <c r="BG158" s="1470">
        <v>2.3039799649255008</v>
      </c>
      <c r="BH158" s="1470">
        <v>2.3125787529279784</v>
      </c>
      <c r="BI158" s="1470">
        <v>2.3212096328567045</v>
      </c>
      <c r="BJ158" s="1470">
        <v>2.3298727244834101</v>
      </c>
      <c r="BK158" s="1470">
        <v>2.338568148026833</v>
      </c>
      <c r="BL158" s="1470">
        <v>2.3472960241543843</v>
      </c>
      <c r="BM158" s="1470">
        <v>2.3559838582312191</v>
      </c>
      <c r="BN158" s="1470">
        <v>2.3647038478010849</v>
      </c>
      <c r="BO158" s="1470">
        <v>2.3734561118781943</v>
      </c>
      <c r="BP158" s="1470">
        <v>2.3822407699172565</v>
      </c>
      <c r="BQ158" s="1470">
        <v>2.3910579418151077</v>
      </c>
      <c r="BR158" s="1470">
        <v>2.3997099382358895</v>
      </c>
      <c r="BS158" s="1470">
        <v>2.4083932417365861</v>
      </c>
      <c r="BT158" s="1470">
        <v>2.4171079656012542</v>
      </c>
      <c r="BU158" s="1470">
        <v>2.4258542235238663</v>
      </c>
      <c r="BV158" s="1470">
        <v>2.434632129609795</v>
      </c>
      <c r="BW158" s="1470">
        <v>2.4428635118796533</v>
      </c>
      <c r="BX158" s="1470">
        <v>2.4511227240845761</v>
      </c>
      <c r="BY158" s="1470">
        <v>2.4594098603163279</v>
      </c>
      <c r="BZ158" s="1470">
        <v>2.467725014984794</v>
      </c>
      <c r="CA158" s="1470">
        <v>2.476068282819055</v>
      </c>
      <c r="CB158" s="1470">
        <v>2.4831576550549128</v>
      </c>
      <c r="CC158" s="1470">
        <v>2.4902673252765117</v>
      </c>
      <c r="CD158" s="1470">
        <v>2.4973973516001715</v>
      </c>
      <c r="CE158" s="1470">
        <v>2.5045477923086086</v>
      </c>
      <c r="CF158" s="1470">
        <v>2.5117187058514112</v>
      </c>
      <c r="CG158" s="1470">
        <v>2.5171937058097216</v>
      </c>
      <c r="CH158" s="1470">
        <v>2.5226806400759916</v>
      </c>
      <c r="CI158" s="1470">
        <v>2.5281795346644143</v>
      </c>
      <c r="CJ158" s="1470">
        <v>2.5336904156458884</v>
      </c>
      <c r="CK158" s="1470">
        <v>2.539213309148141</v>
      </c>
      <c r="CL158" s="1470">
        <v>2.5429573704375228</v>
      </c>
      <c r="CM158" s="1470">
        <v>2.5467069523323964</v>
      </c>
      <c r="CN158" s="1470">
        <v>2.5504620629728754</v>
      </c>
      <c r="CO158" s="1470">
        <v>2.554222710511076</v>
      </c>
      <c r="CP158" s="1470">
        <v>2.5579889031111347</v>
      </c>
      <c r="CQ158" s="1470">
        <v>2.5592501421168059</v>
      </c>
      <c r="CR158" s="1470">
        <v>2.5605120029875006</v>
      </c>
      <c r="CS158" s="1470">
        <v>2.5617744860298348</v>
      </c>
      <c r="CT158" s="1470">
        <v>2.5630375915505756</v>
      </c>
      <c r="CU158" s="1470">
        <v>2.564301319856642</v>
      </c>
      <c r="CV158" s="1470">
        <v>2.5624850697467836</v>
      </c>
      <c r="CW158" s="1470">
        <v>2.5606701060553489</v>
      </c>
      <c r="CX158" s="1470">
        <v>2.5588564278711901</v>
      </c>
      <c r="CY158" s="1470">
        <v>2.5570440342838041</v>
      </c>
      <c r="CZ158" s="1471">
        <v>2.555232924383334</v>
      </c>
    </row>
    <row r="159" spans="1:104" x14ac:dyDescent="0.25">
      <c r="A159" s="1469" t="s">
        <v>683</v>
      </c>
      <c r="B159" s="1470"/>
      <c r="C159" s="1470"/>
      <c r="D159" s="1470"/>
      <c r="E159" s="1470"/>
      <c r="F159" s="1470"/>
      <c r="G159" s="1470"/>
      <c r="H159" s="1470">
        <v>28.373013628420669</v>
      </c>
      <c r="I159" s="1470">
        <v>29.17093293229123</v>
      </c>
      <c r="J159" s="1470">
        <v>30.878569780545078</v>
      </c>
      <c r="K159" s="1470">
        <v>30.682595180991225</v>
      </c>
      <c r="L159" s="1470">
        <v>31.992353762541459</v>
      </c>
      <c r="M159" s="1470">
        <v>31.4429334181984</v>
      </c>
      <c r="N159" s="1470">
        <v>31.156600892671783</v>
      </c>
      <c r="O159" s="1470">
        <v>30.676058322376605</v>
      </c>
      <c r="P159" s="1470">
        <v>29.679126186318804</v>
      </c>
      <c r="Q159" s="1470">
        <v>29.700131988890092</v>
      </c>
      <c r="R159" s="1470">
        <v>30.54196479432273</v>
      </c>
      <c r="S159" s="1470">
        <v>29.932211922183079</v>
      </c>
      <c r="T159" s="1470">
        <v>28.972214109999999</v>
      </c>
      <c r="U159" s="1470">
        <v>29.128232055928784</v>
      </c>
      <c r="V159" s="1470">
        <v>28.995688380521983</v>
      </c>
      <c r="W159" s="1470">
        <v>29.39475155821113</v>
      </c>
      <c r="X159" s="1470">
        <v>29.885964346916182</v>
      </c>
      <c r="Y159" s="1470">
        <v>30.089071101439163</v>
      </c>
      <c r="Z159" s="1470">
        <v>31.081689502737298</v>
      </c>
      <c r="AA159" s="1470">
        <v>31.400245105473072</v>
      </c>
      <c r="AB159" s="1470">
        <v>31.337976372818122</v>
      </c>
      <c r="AC159" s="1470">
        <v>31.854564117923594</v>
      </c>
      <c r="AD159" s="1470">
        <v>32.189964324168578</v>
      </c>
      <c r="AE159" s="1470">
        <v>32.274661250208517</v>
      </c>
      <c r="AF159" s="1470">
        <v>32.347049824843424</v>
      </c>
      <c r="AG159" s="1470">
        <v>32.398275541772193</v>
      </c>
      <c r="AH159" s="1470">
        <v>32.473329377777105</v>
      </c>
      <c r="AI159" s="1470">
        <v>32.424485524938959</v>
      </c>
      <c r="AJ159" s="1470">
        <v>32.33705604252286</v>
      </c>
      <c r="AK159" s="1470">
        <v>32.213589610409308</v>
      </c>
      <c r="AL159" s="1470">
        <v>32.123147965605618</v>
      </c>
      <c r="AM159" s="1470">
        <v>32.189031672252469</v>
      </c>
      <c r="AN159" s="1470">
        <v>32.20134665837643</v>
      </c>
      <c r="AO159" s="1470">
        <v>32.137342472816606</v>
      </c>
      <c r="AP159" s="1470">
        <v>32.106067355666433</v>
      </c>
      <c r="AQ159" s="1470">
        <v>32.055398007309563</v>
      </c>
      <c r="AR159" s="1470">
        <v>31.985796962436115</v>
      </c>
      <c r="AS159" s="1470">
        <v>31.883579639374592</v>
      </c>
      <c r="AT159" s="1470">
        <v>31.88043762605966</v>
      </c>
      <c r="AU159" s="1470">
        <v>31.921825950470875</v>
      </c>
      <c r="AV159" s="1470">
        <v>31.967798865652629</v>
      </c>
      <c r="AW159" s="1470">
        <v>32.011030694105337</v>
      </c>
      <c r="AX159" s="1470">
        <v>32.04019407500644</v>
      </c>
      <c r="AY159" s="1470">
        <v>32.084258086774547</v>
      </c>
      <c r="AZ159" s="1470">
        <v>32.12290532445671</v>
      </c>
      <c r="BA159" s="1470">
        <v>32.1438833578502</v>
      </c>
      <c r="BB159" s="1470">
        <v>32.210559439498944</v>
      </c>
      <c r="BC159" s="1470">
        <v>32.212518425109167</v>
      </c>
      <c r="BD159" s="1470">
        <v>32.214477529861206</v>
      </c>
      <c r="BE159" s="1470">
        <v>32.216436753762309</v>
      </c>
      <c r="BF159" s="1470">
        <v>32.218396096819724</v>
      </c>
      <c r="BG159" s="1470">
        <v>32.220355559040698</v>
      </c>
      <c r="BH159" s="1470">
        <v>32.225068562587758</v>
      </c>
      <c r="BI159" s="1470">
        <v>32.229782255525173</v>
      </c>
      <c r="BJ159" s="1470">
        <v>32.234496637953782</v>
      </c>
      <c r="BK159" s="1470">
        <v>32.239211709974448</v>
      </c>
      <c r="BL159" s="1470">
        <v>32.243927471688032</v>
      </c>
      <c r="BM159" s="1470">
        <v>32.234738373564198</v>
      </c>
      <c r="BN159" s="1470">
        <v>32.225551894213289</v>
      </c>
      <c r="BO159" s="1470">
        <v>32.216368032888994</v>
      </c>
      <c r="BP159" s="1470">
        <v>32.207186788845206</v>
      </c>
      <c r="BQ159" s="1470">
        <v>32.198008161336034</v>
      </c>
      <c r="BR159" s="1470">
        <v>32.188328675270981</v>
      </c>
      <c r="BS159" s="1470">
        <v>32.178652099089362</v>
      </c>
      <c r="BT159" s="1470">
        <v>32.168978431916393</v>
      </c>
      <c r="BU159" s="1470">
        <v>32.15930767287756</v>
      </c>
      <c r="BV159" s="1470">
        <v>32.14963982109861</v>
      </c>
      <c r="BW159" s="1470">
        <v>32.135484213462775</v>
      </c>
      <c r="BX159" s="1470">
        <v>32.121334838594358</v>
      </c>
      <c r="BY159" s="1470">
        <v>32.107191693749044</v>
      </c>
      <c r="BZ159" s="1470">
        <v>32.093054776183735</v>
      </c>
      <c r="CA159" s="1470">
        <v>32.078924083156537</v>
      </c>
      <c r="CB159" s="1470">
        <v>32.05322936592912</v>
      </c>
      <c r="CC159" s="1470">
        <v>32.027555229768936</v>
      </c>
      <c r="CD159" s="1470">
        <v>32.001901658190874</v>
      </c>
      <c r="CE159" s="1470">
        <v>31.976268634723027</v>
      </c>
      <c r="CF159" s="1470">
        <v>31.950656142906677</v>
      </c>
      <c r="CG159" s="1470">
        <v>31.915373500092528</v>
      </c>
      <c r="CH159" s="1470">
        <v>31.880129819385399</v>
      </c>
      <c r="CI159" s="1470">
        <v>31.844925057760001</v>
      </c>
      <c r="CJ159" s="1470">
        <v>31.809759172238564</v>
      </c>
      <c r="CK159" s="1470">
        <v>31.774632119890772</v>
      </c>
      <c r="CL159" s="1470">
        <v>31.736335048107414</v>
      </c>
      <c r="CM159" s="1470">
        <v>31.698084134709202</v>
      </c>
      <c r="CN159" s="1470">
        <v>31.659879324062725</v>
      </c>
      <c r="CO159" s="1470">
        <v>31.621720560601634</v>
      </c>
      <c r="CP159" s="1470">
        <v>31.583607788826551</v>
      </c>
      <c r="CQ159" s="1470">
        <v>31.539463246970023</v>
      </c>
      <c r="CR159" s="1470">
        <v>31.495380406125889</v>
      </c>
      <c r="CS159" s="1470">
        <v>31.451359180054389</v>
      </c>
      <c r="CT159" s="1470">
        <v>31.407399482636293</v>
      </c>
      <c r="CU159" s="1470">
        <v>31.363501227872742</v>
      </c>
      <c r="CV159" s="1470">
        <v>31.320648715953933</v>
      </c>
      <c r="CW159" s="1470">
        <v>31.277854754187555</v>
      </c>
      <c r="CX159" s="1470">
        <v>31.235119262575491</v>
      </c>
      <c r="CY159" s="1470">
        <v>31.192442161228929</v>
      </c>
      <c r="CZ159" s="1471">
        <v>31.1498233703682</v>
      </c>
    </row>
    <row r="160" spans="1:104" x14ac:dyDescent="0.25">
      <c r="A160" s="1469" t="s">
        <v>698</v>
      </c>
      <c r="B160" s="1470"/>
      <c r="C160" s="1470"/>
      <c r="D160" s="1470"/>
      <c r="E160" s="1470"/>
      <c r="F160" s="1470"/>
      <c r="G160" s="1470"/>
      <c r="H160" s="1470">
        <v>18.232352698801531</v>
      </c>
      <c r="I160" s="1470">
        <v>19.279059481202857</v>
      </c>
      <c r="J160" s="1470">
        <v>20.106975671052609</v>
      </c>
      <c r="K160" s="1470">
        <v>20.31728323383771</v>
      </c>
      <c r="L160" s="1470">
        <v>21.702415417864383</v>
      </c>
      <c r="M160" s="1470">
        <v>21.137326303769196</v>
      </c>
      <c r="N160" s="1470">
        <v>20.699724047437488</v>
      </c>
      <c r="O160" s="1470">
        <v>20.430734156114106</v>
      </c>
      <c r="P160" s="1470">
        <v>19.619402543384187</v>
      </c>
      <c r="Q160" s="1470">
        <v>19.94482547791937</v>
      </c>
      <c r="R160" s="1470">
        <v>20.190684361237558</v>
      </c>
      <c r="S160" s="1470">
        <v>19.439058682545589</v>
      </c>
      <c r="T160" s="1470">
        <v>18.777772519999996</v>
      </c>
      <c r="U160" s="1470">
        <v>19.537493744407882</v>
      </c>
      <c r="V160" s="1470">
        <v>19.094688812726531</v>
      </c>
      <c r="W160" s="1470">
        <v>19.340880484069093</v>
      </c>
      <c r="X160" s="1470">
        <v>19.700726786066333</v>
      </c>
      <c r="Y160" s="1470">
        <v>19.809231927025674</v>
      </c>
      <c r="Z160" s="1470">
        <v>20.448628319255093</v>
      </c>
      <c r="AA160" s="1470">
        <v>20.513438149254636</v>
      </c>
      <c r="AB160" s="1470">
        <v>20.459361398826221</v>
      </c>
      <c r="AC160" s="1470">
        <v>20.950622526197662</v>
      </c>
      <c r="AD160" s="1470">
        <v>21.163384692376518</v>
      </c>
      <c r="AE160" s="1470">
        <v>21.285322295688569</v>
      </c>
      <c r="AF160" s="1470">
        <v>21.423623959296947</v>
      </c>
      <c r="AG160" s="1470">
        <v>21.53228264660833</v>
      </c>
      <c r="AH160" s="1470">
        <v>21.607771530610695</v>
      </c>
      <c r="AI160" s="1470">
        <v>21.635145433038627</v>
      </c>
      <c r="AJ160" s="1470">
        <v>21.585785019942069</v>
      </c>
      <c r="AK160" s="1470">
        <v>21.508628925857963</v>
      </c>
      <c r="AL160" s="1470">
        <v>21.446118499871098</v>
      </c>
      <c r="AM160" s="1470">
        <v>21.521952389257063</v>
      </c>
      <c r="AN160" s="1470">
        <v>21.600204159779199</v>
      </c>
      <c r="AO160" s="1470">
        <v>21.583872325260458</v>
      </c>
      <c r="AP160" s="1470">
        <v>21.588666383585327</v>
      </c>
      <c r="AQ160" s="1470">
        <v>21.605374501448264</v>
      </c>
      <c r="AR160" s="1470">
        <v>21.554715579078266</v>
      </c>
      <c r="AS160" s="1470">
        <v>21.491324631109631</v>
      </c>
      <c r="AT160" s="1470">
        <v>21.516251270074765</v>
      </c>
      <c r="AU160" s="1470">
        <v>21.58191413536343</v>
      </c>
      <c r="AV160" s="1470">
        <v>21.663232093841465</v>
      </c>
      <c r="AW160" s="1470">
        <v>21.742367229796333</v>
      </c>
      <c r="AX160" s="1470">
        <v>21.822824570449338</v>
      </c>
      <c r="AY160" s="1470">
        <v>21.895024529503647</v>
      </c>
      <c r="AZ160" s="1470">
        <v>21.976239175929997</v>
      </c>
      <c r="BA160" s="1470">
        <v>22.046603213478718</v>
      </c>
      <c r="BB160" s="1470">
        <v>22.114819497732821</v>
      </c>
      <c r="BC160" s="1470">
        <v>22.13487665280584</v>
      </c>
      <c r="BD160" s="1470">
        <v>22.15495199882406</v>
      </c>
      <c r="BE160" s="1470">
        <v>22.175045552285859</v>
      </c>
      <c r="BF160" s="1470">
        <v>22.195157329704575</v>
      </c>
      <c r="BG160" s="1470">
        <v>22.215287347608523</v>
      </c>
      <c r="BH160" s="1470">
        <v>22.237407284551185</v>
      </c>
      <c r="BI160" s="1470">
        <v>22.259549246489641</v>
      </c>
      <c r="BJ160" s="1470">
        <v>22.281713255354351</v>
      </c>
      <c r="BK160" s="1470">
        <v>22.303899333097611</v>
      </c>
      <c r="BL160" s="1470">
        <v>22.326107501693581</v>
      </c>
      <c r="BM160" s="1470">
        <v>22.336823207612067</v>
      </c>
      <c r="BN160" s="1470">
        <v>22.347544056673097</v>
      </c>
      <c r="BO160" s="1470">
        <v>22.358270051345187</v>
      </c>
      <c r="BP160" s="1470">
        <v>22.369001194098043</v>
      </c>
      <c r="BQ160" s="1470">
        <v>22.379737487402554</v>
      </c>
      <c r="BR160" s="1470">
        <v>22.390100389733625</v>
      </c>
      <c r="BS160" s="1470">
        <v>22.400468090590362</v>
      </c>
      <c r="BT160" s="1470">
        <v>22.410840592194713</v>
      </c>
      <c r="BU160" s="1470">
        <v>22.421217896769658</v>
      </c>
      <c r="BV160" s="1470">
        <v>22.431600006539206</v>
      </c>
      <c r="BW160" s="1470">
        <v>22.438377931004013</v>
      </c>
      <c r="BX160" s="1470">
        <v>22.44515790348412</v>
      </c>
      <c r="BY160" s="1470">
        <v>22.451939924598356</v>
      </c>
      <c r="BZ160" s="1470">
        <v>22.458723994965737</v>
      </c>
      <c r="CA160" s="1470">
        <v>22.465510115205461</v>
      </c>
      <c r="CB160" s="1470">
        <v>22.462969438648798</v>
      </c>
      <c r="CC160" s="1470">
        <v>22.46042904942313</v>
      </c>
      <c r="CD160" s="1470">
        <v>22.45788894749596</v>
      </c>
      <c r="CE160" s="1470">
        <v>22.455349132834797</v>
      </c>
      <c r="CF160" s="1470">
        <v>22.452809605407158</v>
      </c>
      <c r="CG160" s="1470">
        <v>22.442624812220661</v>
      </c>
      <c r="CH160" s="1470">
        <v>22.432444638946507</v>
      </c>
      <c r="CI160" s="1470">
        <v>22.422269083489063</v>
      </c>
      <c r="CJ160" s="1470">
        <v>22.412098143753649</v>
      </c>
      <c r="CK160" s="1470">
        <v>22.401931817646531</v>
      </c>
      <c r="CL160" s="1470">
        <v>22.389459823741635</v>
      </c>
      <c r="CM160" s="1470">
        <v>22.376994773462549</v>
      </c>
      <c r="CN160" s="1470">
        <v>22.364536662943497</v>
      </c>
      <c r="CO160" s="1470">
        <v>22.352085488320853</v>
      </c>
      <c r="CP160" s="1470">
        <v>22.339641245733144</v>
      </c>
      <c r="CQ160" s="1470">
        <v>22.322592014179389</v>
      </c>
      <c r="CR160" s="1470">
        <v>22.305555794307125</v>
      </c>
      <c r="CS160" s="1470">
        <v>22.288532576186064</v>
      </c>
      <c r="CT160" s="1470">
        <v>22.271522349893491</v>
      </c>
      <c r="CU160" s="1470">
        <v>22.254525105514261</v>
      </c>
      <c r="CV160" s="1470">
        <v>22.238544472899552</v>
      </c>
      <c r="CW160" s="1470">
        <v>22.222575315731635</v>
      </c>
      <c r="CX160" s="1470">
        <v>22.206617625770171</v>
      </c>
      <c r="CY160" s="1470">
        <v>22.190671394780733</v>
      </c>
      <c r="CZ160" s="1471">
        <v>22.174736614534808</v>
      </c>
    </row>
    <row r="161" spans="1:104" x14ac:dyDescent="0.25">
      <c r="A161" s="1472" t="s">
        <v>684</v>
      </c>
      <c r="B161" s="1473"/>
      <c r="C161" s="1473"/>
      <c r="D161" s="1473"/>
      <c r="E161" s="1473"/>
      <c r="F161" s="1473"/>
      <c r="G161" s="1473"/>
      <c r="H161" s="1473">
        <v>31.081820315099751</v>
      </c>
      <c r="I161" s="1473">
        <v>31.795307521355493</v>
      </c>
      <c r="J161" s="1473">
        <v>33.946842042036877</v>
      </c>
      <c r="K161" s="1473">
        <v>33.862138723062856</v>
      </c>
      <c r="L161" s="1473">
        <v>35.110516897292094</v>
      </c>
      <c r="M161" s="1473">
        <v>35.620882248372396</v>
      </c>
      <c r="N161" s="1473">
        <v>35.284315436843215</v>
      </c>
      <c r="O161" s="1473">
        <v>35.109707376782602</v>
      </c>
      <c r="P161" s="1473">
        <v>34.944303180720262</v>
      </c>
      <c r="Q161" s="1473">
        <v>35.113313940081568</v>
      </c>
      <c r="R161" s="1473">
        <v>35.603854676435802</v>
      </c>
      <c r="S161" s="1473">
        <v>35.586699324775935</v>
      </c>
      <c r="T161" s="1473">
        <v>34.861101349999998</v>
      </c>
      <c r="U161" s="1473">
        <v>34.664653819323334</v>
      </c>
      <c r="V161" s="1473">
        <v>34.410290069910978</v>
      </c>
      <c r="W161" s="1473">
        <v>34.908531869398402</v>
      </c>
      <c r="X161" s="1473">
        <v>35.616671532127199</v>
      </c>
      <c r="Y161" s="1473">
        <v>35.947520321196222</v>
      </c>
      <c r="Z161" s="1473">
        <v>36.987705865849776</v>
      </c>
      <c r="AA161" s="1473">
        <v>37.546039262370911</v>
      </c>
      <c r="AB161" s="1473">
        <v>37.510823122184988</v>
      </c>
      <c r="AC161" s="1473">
        <v>38.008797637281816</v>
      </c>
      <c r="AD161" s="1473">
        <v>38.419808048103611</v>
      </c>
      <c r="AE161" s="1473">
        <v>38.480927078752217</v>
      </c>
      <c r="AF161" s="1473">
        <v>38.529894147798792</v>
      </c>
      <c r="AG161" s="1473">
        <v>38.610432052895767</v>
      </c>
      <c r="AH161" s="1473">
        <v>38.669048846696292</v>
      </c>
      <c r="AI161" s="1473">
        <v>38.631731396248163</v>
      </c>
      <c r="AJ161" s="1473">
        <v>38.567872226687491</v>
      </c>
      <c r="AK161" s="1473">
        <v>38.465126969563705</v>
      </c>
      <c r="AL161" s="1473">
        <v>38.413723063041203</v>
      </c>
      <c r="AM161" s="1473">
        <v>38.515467425425761</v>
      </c>
      <c r="AN161" s="1473">
        <v>38.527084818246614</v>
      </c>
      <c r="AO161" s="1473">
        <v>38.521472793861179</v>
      </c>
      <c r="AP161" s="1473">
        <v>38.546973809920992</v>
      </c>
      <c r="AQ161" s="1473">
        <v>38.560691565187064</v>
      </c>
      <c r="AR161" s="1473">
        <v>38.568356561168315</v>
      </c>
      <c r="AS161" s="1473">
        <v>38.569368829711408</v>
      </c>
      <c r="AT161" s="1473">
        <v>38.651143635977618</v>
      </c>
      <c r="AU161" s="1473">
        <v>38.781520601750053</v>
      </c>
      <c r="AV161" s="1473">
        <v>38.929117506558889</v>
      </c>
      <c r="AW161" s="1473">
        <v>39.08758776785308</v>
      </c>
      <c r="AX161" s="1473">
        <v>39.228047610742941</v>
      </c>
      <c r="AY161" s="1473">
        <v>39.393119417357944</v>
      </c>
      <c r="AZ161" s="1473">
        <v>39.595269824540118</v>
      </c>
      <c r="BA161" s="1473">
        <v>39.769550621009692</v>
      </c>
      <c r="BB161" s="1473">
        <v>39.980674011616443</v>
      </c>
      <c r="BC161" s="1473">
        <v>39.983105560972888</v>
      </c>
      <c r="BD161" s="1473">
        <v>39.985537258211586</v>
      </c>
      <c r="BE161" s="1473">
        <v>39.987969103341534</v>
      </c>
      <c r="BF161" s="1473">
        <v>39.990401096371727</v>
      </c>
      <c r="BG161" s="1473">
        <v>39.99283323731116</v>
      </c>
      <c r="BH161" s="1473">
        <v>39.998683153044055</v>
      </c>
      <c r="BI161" s="1473">
        <v>40.00453392446812</v>
      </c>
      <c r="BJ161" s="1473">
        <v>40.010385551708517</v>
      </c>
      <c r="BK161" s="1473">
        <v>40.016238034890421</v>
      </c>
      <c r="BL161" s="1473">
        <v>40.022091374139045</v>
      </c>
      <c r="BM161" s="1473">
        <v>40.01068560090993</v>
      </c>
      <c r="BN161" s="1473">
        <v>39.999283078177193</v>
      </c>
      <c r="BO161" s="1473">
        <v>39.987883805014484</v>
      </c>
      <c r="BP161" s="1473">
        <v>39.976487780495717</v>
      </c>
      <c r="BQ161" s="1473">
        <v>39.965095003695069</v>
      </c>
      <c r="BR161" s="1473">
        <v>39.953080546830584</v>
      </c>
      <c r="BS161" s="1473">
        <v>39.941069701797218</v>
      </c>
      <c r="BT161" s="1473">
        <v>39.929062467509169</v>
      </c>
      <c r="BU161" s="1473">
        <v>39.917058842880955</v>
      </c>
      <c r="BV161" s="1473">
        <v>39.905058826827435</v>
      </c>
      <c r="BW161" s="1473">
        <v>39.887488478960996</v>
      </c>
      <c r="BX161" s="1473">
        <v>39.869925867384971</v>
      </c>
      <c r="BY161" s="1473">
        <v>39.852370988693046</v>
      </c>
      <c r="BZ161" s="1473">
        <v>39.8348238394804</v>
      </c>
      <c r="CA161" s="1473">
        <v>39.817284416343718</v>
      </c>
      <c r="CB161" s="1473">
        <v>39.785391393336162</v>
      </c>
      <c r="CC161" s="1473">
        <v>39.75352391614198</v>
      </c>
      <c r="CD161" s="1473">
        <v>39.721681964299371</v>
      </c>
      <c r="CE161" s="1473">
        <v>39.689865517362925</v>
      </c>
      <c r="CF161" s="1473">
        <v>39.658074554903607</v>
      </c>
      <c r="CG161" s="1473">
        <v>39.614280722534119</v>
      </c>
      <c r="CH161" s="1473">
        <v>39.57053525105394</v>
      </c>
      <c r="CI161" s="1473">
        <v>39.526838087058842</v>
      </c>
      <c r="CJ161" s="1473">
        <v>39.48318917720357</v>
      </c>
      <c r="CK161" s="1473">
        <v>39.439588468201791</v>
      </c>
      <c r="CL161" s="1473">
        <v>39.392053039782866</v>
      </c>
      <c r="CM161" s="1473">
        <v>39.344574904480901</v>
      </c>
      <c r="CN161" s="1473">
        <v>39.297153993242112</v>
      </c>
      <c r="CO161" s="1473">
        <v>39.249790237095944</v>
      </c>
      <c r="CP161" s="1473">
        <v>39.202483567154964</v>
      </c>
      <c r="CQ161" s="1473">
        <v>39.147690090479308</v>
      </c>
      <c r="CR161" s="1473">
        <v>39.092973198877175</v>
      </c>
      <c r="CS161" s="1473">
        <v>39.038332785305279</v>
      </c>
      <c r="CT161" s="1473">
        <v>38.983768742869955</v>
      </c>
      <c r="CU161" s="1473">
        <v>38.929280964826951</v>
      </c>
      <c r="CV161" s="1473">
        <v>38.876091192919297</v>
      </c>
      <c r="CW161" s="1473">
        <v>38.822974095147039</v>
      </c>
      <c r="CX161" s="1473">
        <v>38.769929572214203</v>
      </c>
      <c r="CY161" s="1473">
        <v>38.716957524960492</v>
      </c>
      <c r="CZ161" s="1474">
        <v>38.66405785436109</v>
      </c>
    </row>
    <row r="202" spans="1:2" ht="13.8" x14ac:dyDescent="0.25">
      <c r="A202" s="2"/>
      <c r="B202" s="2"/>
    </row>
    <row r="203" spans="1:2" ht="13.8" x14ac:dyDescent="0.25">
      <c r="A203" s="2"/>
      <c r="B203" s="2"/>
    </row>
    <row r="249" spans="1:29" x14ac:dyDescent="0.25">
      <c r="A249" s="33"/>
    </row>
    <row r="251" spans="1:29" x14ac:dyDescent="0.25">
      <c r="AC251" s="28"/>
    </row>
    <row r="252" spans="1:29" x14ac:dyDescent="0.25">
      <c r="AC252" s="28"/>
    </row>
    <row r="253" spans="1:29" x14ac:dyDescent="0.25">
      <c r="AC253" s="28"/>
    </row>
    <row r="254" spans="1:29" x14ac:dyDescent="0.25">
      <c r="AC254" s="28"/>
    </row>
    <row r="257" spans="29:29" x14ac:dyDescent="0.25">
      <c r="AC257" s="28"/>
    </row>
    <row r="258" spans="29:29" x14ac:dyDescent="0.25">
      <c r="AC258" s="28"/>
    </row>
    <row r="259" spans="29:29" x14ac:dyDescent="0.25">
      <c r="AC259" s="28"/>
    </row>
    <row r="260" spans="29:29" x14ac:dyDescent="0.25">
      <c r="AC260" s="28"/>
    </row>
    <row r="263" spans="29:29" x14ac:dyDescent="0.25">
      <c r="AC263" s="28"/>
    </row>
    <row r="264" spans="29:29" x14ac:dyDescent="0.25">
      <c r="AC264" s="28"/>
    </row>
    <row r="265" spans="29:29" x14ac:dyDescent="0.25">
      <c r="AC265" s="28"/>
    </row>
    <row r="266" spans="29:29" x14ac:dyDescent="0.25">
      <c r="AC266" s="28"/>
    </row>
    <row r="267" spans="29:29" x14ac:dyDescent="0.25">
      <c r="AC267" s="28"/>
    </row>
    <row r="268" spans="29:29" x14ac:dyDescent="0.25">
      <c r="AC268" s="28"/>
    </row>
    <row r="270" spans="29:29" x14ac:dyDescent="0.25">
      <c r="AC270" s="28"/>
    </row>
    <row r="273" spans="29:29" x14ac:dyDescent="0.25">
      <c r="AC273" s="28"/>
    </row>
    <row r="274" spans="29:29" x14ac:dyDescent="0.25">
      <c r="AC274" s="28"/>
    </row>
    <row r="275" spans="29:29" x14ac:dyDescent="0.25">
      <c r="AC275" s="28"/>
    </row>
    <row r="276" spans="29:29" x14ac:dyDescent="0.25">
      <c r="AC276" s="28"/>
    </row>
    <row r="277" spans="29:29" x14ac:dyDescent="0.25">
      <c r="AC277" s="28"/>
    </row>
    <row r="278" spans="29:29" x14ac:dyDescent="0.25">
      <c r="AC278" s="28"/>
    </row>
    <row r="279" spans="29:29" x14ac:dyDescent="0.25">
      <c r="AC279" s="28"/>
    </row>
    <row r="280" spans="29:29" x14ac:dyDescent="0.25">
      <c r="AC280" s="28"/>
    </row>
    <row r="283" spans="29:29" x14ac:dyDescent="0.25">
      <c r="AC283" s="28"/>
    </row>
    <row r="284" spans="29:29" x14ac:dyDescent="0.25">
      <c r="AC284" s="28"/>
    </row>
    <row r="285" spans="29:29" x14ac:dyDescent="0.25">
      <c r="AC285" s="28"/>
    </row>
    <row r="286" spans="29:29" x14ac:dyDescent="0.25">
      <c r="AC286" s="28"/>
    </row>
    <row r="289" spans="29:29" x14ac:dyDescent="0.25">
      <c r="AC289" s="28"/>
    </row>
    <row r="290" spans="29:29" x14ac:dyDescent="0.25">
      <c r="AC290" s="28"/>
    </row>
    <row r="291" spans="29:29" x14ac:dyDescent="0.25">
      <c r="AC291" s="28"/>
    </row>
    <row r="292" spans="29:29" x14ac:dyDescent="0.25">
      <c r="AC292" s="28"/>
    </row>
    <row r="293" spans="29:29" x14ac:dyDescent="0.25">
      <c r="AC293" s="28"/>
    </row>
    <row r="294" spans="29:29" x14ac:dyDescent="0.25">
      <c r="AC294" s="28"/>
    </row>
    <row r="295" spans="29:29" x14ac:dyDescent="0.25">
      <c r="AC295" s="28"/>
    </row>
    <row r="296" spans="29:29" x14ac:dyDescent="0.25">
      <c r="AC296" s="28"/>
    </row>
    <row r="297" spans="29:29" x14ac:dyDescent="0.25">
      <c r="AC297" s="28"/>
    </row>
    <row r="299" spans="29:29" x14ac:dyDescent="0.25">
      <c r="AC299" s="28"/>
    </row>
    <row r="303" spans="29:29" x14ac:dyDescent="0.25">
      <c r="AC303" s="28"/>
    </row>
    <row r="304" spans="29:29" x14ac:dyDescent="0.25">
      <c r="AC304" s="28"/>
    </row>
    <row r="305" spans="29:29" x14ac:dyDescent="0.25">
      <c r="AC305" s="28"/>
    </row>
    <row r="306" spans="29:29" x14ac:dyDescent="0.25">
      <c r="AC306" s="28"/>
    </row>
    <row r="307" spans="29:29" x14ac:dyDescent="0.25">
      <c r="AC307" s="28"/>
    </row>
    <row r="308" spans="29:29" x14ac:dyDescent="0.25">
      <c r="AC308" s="28"/>
    </row>
    <row r="309" spans="29:29" x14ac:dyDescent="0.25">
      <c r="AC309" s="28"/>
    </row>
  </sheetData>
  <phoneticPr fontId="4"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indexed="51"/>
  </sheetPr>
  <dimension ref="A1:CZ8"/>
  <sheetViews>
    <sheetView workbookViewId="0"/>
  </sheetViews>
  <sheetFormatPr defaultRowHeight="13.2" x14ac:dyDescent="0.25"/>
  <cols>
    <col min="1" max="1" width="27.88671875" customWidth="1"/>
    <col min="2" max="2" width="12.6640625" customWidth="1"/>
    <col min="3" max="3" width="19.88671875" customWidth="1"/>
    <col min="4" max="4" width="28.33203125" customWidth="1"/>
    <col min="5" max="5" width="16.5546875" customWidth="1"/>
    <col min="6" max="6" width="11.44140625" customWidth="1"/>
    <col min="7" max="7" width="9.6640625" customWidth="1"/>
    <col min="8" max="8" width="10.33203125" customWidth="1"/>
    <col min="9" max="9" width="10.44140625" customWidth="1"/>
    <col min="10" max="10" width="9.5546875" customWidth="1"/>
    <col min="11" max="12" width="10" customWidth="1"/>
    <col min="13" max="13" width="10.6640625" customWidth="1"/>
    <col min="14" max="14" width="9.5546875" customWidth="1"/>
    <col min="15" max="15" width="10.6640625" customWidth="1"/>
    <col min="16" max="16" width="10.33203125" customWidth="1"/>
    <col min="17" max="17" width="9.5546875" customWidth="1"/>
    <col min="18" max="18" width="9.6640625" customWidth="1"/>
    <col min="19" max="19" width="10" customWidth="1"/>
    <col min="20" max="21" width="9.6640625" customWidth="1"/>
    <col min="22" max="22" width="10" customWidth="1"/>
    <col min="23" max="24" width="9.6640625" customWidth="1"/>
    <col min="25" max="25" width="10" customWidth="1"/>
    <col min="26" max="26" width="9.6640625" customWidth="1"/>
    <col min="27" max="27" width="10.6640625" customWidth="1"/>
    <col min="28" max="28" width="10.33203125" customWidth="1"/>
    <col min="29" max="29" width="10" customWidth="1"/>
    <col min="30" max="30" width="9.6640625" customWidth="1"/>
    <col min="31" max="31" width="10.33203125" customWidth="1"/>
    <col min="32" max="32" width="10.44140625" customWidth="1"/>
    <col min="33" max="33" width="9.5546875" customWidth="1"/>
    <col min="34" max="34" width="10" customWidth="1"/>
    <col min="35" max="35" width="9.33203125" customWidth="1"/>
    <col min="36" max="36" width="10" customWidth="1"/>
    <col min="37" max="37" width="10.33203125" customWidth="1"/>
    <col min="38" max="38" width="9.6640625" customWidth="1"/>
    <col min="39" max="39" width="9.5546875" customWidth="1"/>
    <col min="40" max="40" width="9.6640625" customWidth="1"/>
    <col min="41" max="41" width="10.33203125" customWidth="1"/>
    <col min="42" max="44" width="9.6640625" customWidth="1"/>
    <col min="45" max="45" width="9.33203125" customWidth="1"/>
    <col min="46" max="46" width="9.5546875" customWidth="1"/>
    <col min="47" max="47" width="9.6640625" customWidth="1"/>
    <col min="48" max="48" width="10.33203125" customWidth="1"/>
    <col min="49" max="49" width="10.44140625" customWidth="1"/>
    <col min="50" max="50" width="9.5546875" customWidth="1"/>
    <col min="51" max="52" width="9.6640625" customWidth="1"/>
    <col min="53" max="54" width="9.5546875" customWidth="1"/>
    <col min="55" max="55" width="9.6640625" customWidth="1"/>
    <col min="56" max="56" width="9.5546875" customWidth="1"/>
    <col min="57" max="59" width="9.6640625" customWidth="1"/>
    <col min="60" max="60" width="9.5546875" customWidth="1"/>
    <col min="61" max="61" width="9.6640625" customWidth="1"/>
    <col min="62" max="62" width="9.5546875" customWidth="1"/>
    <col min="63" max="63" width="9.6640625" customWidth="1"/>
    <col min="64" max="64" width="10.33203125" customWidth="1"/>
    <col min="65" max="65" width="9.6640625" customWidth="1"/>
    <col min="66" max="66" width="10.33203125" customWidth="1"/>
    <col min="67" max="67" width="9.5546875" customWidth="1"/>
    <col min="68" max="68" width="9.6640625" customWidth="1"/>
    <col min="69" max="69" width="9.5546875" customWidth="1"/>
    <col min="70" max="70" width="9.6640625" customWidth="1"/>
    <col min="71" max="71" width="10.33203125" customWidth="1"/>
    <col min="72" max="72" width="9.6640625" customWidth="1"/>
    <col min="73" max="74" width="9.5546875" customWidth="1"/>
  </cols>
  <sheetData>
    <row r="1" spans="1:104" ht="54" thickTop="1" thickBot="1" x14ac:dyDescent="0.3">
      <c r="A1" s="223" t="s">
        <v>1051</v>
      </c>
      <c r="B1" s="224" t="s">
        <v>1050</v>
      </c>
      <c r="C1" s="896" t="s">
        <v>678</v>
      </c>
      <c r="D1" s="896" t="s">
        <v>823</v>
      </c>
      <c r="E1" s="225">
        <v>2001</v>
      </c>
      <c r="F1" s="226">
        <v>2002</v>
      </c>
      <c r="G1" s="226">
        <v>2003</v>
      </c>
      <c r="H1" s="226">
        <v>2004</v>
      </c>
      <c r="I1" s="226">
        <v>2005</v>
      </c>
      <c r="J1" s="226">
        <v>2006</v>
      </c>
      <c r="K1" s="226">
        <v>2007</v>
      </c>
      <c r="L1" s="226">
        <v>2008</v>
      </c>
      <c r="M1" s="226">
        <v>2009</v>
      </c>
      <c r="N1" s="226">
        <v>2010</v>
      </c>
      <c r="O1" s="226">
        <v>2011</v>
      </c>
      <c r="P1" s="226">
        <v>2012</v>
      </c>
      <c r="Q1" s="226">
        <v>2013</v>
      </c>
      <c r="R1" s="226">
        <v>2014</v>
      </c>
      <c r="S1" s="226">
        <v>2015</v>
      </c>
      <c r="T1" s="226">
        <v>2016</v>
      </c>
      <c r="U1" s="226">
        <v>2017</v>
      </c>
      <c r="V1" s="226">
        <v>2018</v>
      </c>
      <c r="W1" s="226">
        <v>2019</v>
      </c>
      <c r="X1" s="226">
        <v>2020</v>
      </c>
      <c r="Y1" s="226">
        <v>2021</v>
      </c>
      <c r="Z1" s="226">
        <v>2022</v>
      </c>
      <c r="AA1" s="226">
        <v>2023</v>
      </c>
      <c r="AB1" s="226">
        <v>2024</v>
      </c>
      <c r="AC1" s="226">
        <v>2025</v>
      </c>
      <c r="AD1" s="226">
        <v>2026</v>
      </c>
      <c r="AE1" s="226">
        <v>2027</v>
      </c>
      <c r="AF1" s="226">
        <v>2028</v>
      </c>
      <c r="AG1" s="226">
        <v>2029</v>
      </c>
      <c r="AH1" s="226">
        <v>2030</v>
      </c>
      <c r="AI1" s="226">
        <v>2031</v>
      </c>
      <c r="AJ1" s="226">
        <v>2032</v>
      </c>
      <c r="AK1" s="226">
        <v>2033</v>
      </c>
      <c r="AL1" s="226">
        <v>2034</v>
      </c>
      <c r="AM1" s="226">
        <v>2035</v>
      </c>
      <c r="AN1" s="226">
        <v>2036</v>
      </c>
      <c r="AO1" s="226">
        <v>2037</v>
      </c>
      <c r="AP1" s="226">
        <v>2038</v>
      </c>
      <c r="AQ1" s="226">
        <v>2039</v>
      </c>
      <c r="AR1" s="226">
        <v>2040</v>
      </c>
      <c r="AS1" s="226">
        <v>2041</v>
      </c>
      <c r="AT1" s="226">
        <v>2042</v>
      </c>
      <c r="AU1" s="226">
        <v>2043</v>
      </c>
      <c r="AV1" s="226">
        <v>2044</v>
      </c>
      <c r="AW1" s="226">
        <v>2045</v>
      </c>
      <c r="AX1" s="226">
        <v>2046</v>
      </c>
      <c r="AY1" s="226">
        <v>2047</v>
      </c>
      <c r="AZ1" s="226">
        <v>2048</v>
      </c>
      <c r="BA1" s="226">
        <v>2049</v>
      </c>
      <c r="BB1" s="226">
        <v>2050</v>
      </c>
      <c r="BC1" s="226">
        <v>2051</v>
      </c>
      <c r="BD1" s="226">
        <v>2052</v>
      </c>
      <c r="BE1" s="226">
        <v>2053</v>
      </c>
      <c r="BF1" s="226">
        <v>2054</v>
      </c>
      <c r="BG1" s="226">
        <v>2055</v>
      </c>
      <c r="BH1" s="226">
        <v>2056</v>
      </c>
      <c r="BI1" s="226">
        <v>2057</v>
      </c>
      <c r="BJ1" s="226">
        <v>2058</v>
      </c>
      <c r="BK1" s="226">
        <v>2059</v>
      </c>
      <c r="BL1" s="226">
        <v>2060</v>
      </c>
      <c r="BM1" s="226">
        <v>2061</v>
      </c>
      <c r="BN1" s="226">
        <v>2062</v>
      </c>
      <c r="BO1" s="226">
        <v>2063</v>
      </c>
      <c r="BP1" s="226">
        <v>2064</v>
      </c>
      <c r="BQ1" s="226">
        <v>2065</v>
      </c>
      <c r="BR1" s="226">
        <v>2066</v>
      </c>
      <c r="BS1" s="226">
        <v>2067</v>
      </c>
      <c r="BT1" s="226">
        <v>2068</v>
      </c>
      <c r="BU1" s="226">
        <v>2069</v>
      </c>
      <c r="BV1" s="227">
        <v>2070</v>
      </c>
      <c r="BW1">
        <f>+BV1+1</f>
        <v>2071</v>
      </c>
      <c r="BX1">
        <f t="shared" ref="BX1:CZ1" si="0">+BW1+1</f>
        <v>2072</v>
      </c>
      <c r="BY1">
        <f t="shared" si="0"/>
        <v>2073</v>
      </c>
      <c r="BZ1">
        <f t="shared" si="0"/>
        <v>2074</v>
      </c>
      <c r="CA1">
        <f t="shared" si="0"/>
        <v>2075</v>
      </c>
      <c r="CB1">
        <f t="shared" si="0"/>
        <v>2076</v>
      </c>
      <c r="CC1">
        <f t="shared" si="0"/>
        <v>2077</v>
      </c>
      <c r="CD1">
        <f t="shared" si="0"/>
        <v>2078</v>
      </c>
      <c r="CE1">
        <f t="shared" si="0"/>
        <v>2079</v>
      </c>
      <c r="CF1">
        <f t="shared" si="0"/>
        <v>2080</v>
      </c>
      <c r="CG1">
        <f t="shared" si="0"/>
        <v>2081</v>
      </c>
      <c r="CH1">
        <f t="shared" si="0"/>
        <v>2082</v>
      </c>
      <c r="CI1">
        <f t="shared" si="0"/>
        <v>2083</v>
      </c>
      <c r="CJ1">
        <f t="shared" si="0"/>
        <v>2084</v>
      </c>
      <c r="CK1">
        <f t="shared" si="0"/>
        <v>2085</v>
      </c>
      <c r="CL1">
        <f t="shared" si="0"/>
        <v>2086</v>
      </c>
      <c r="CM1">
        <f t="shared" si="0"/>
        <v>2087</v>
      </c>
      <c r="CN1">
        <f t="shared" si="0"/>
        <v>2088</v>
      </c>
      <c r="CO1">
        <f t="shared" si="0"/>
        <v>2089</v>
      </c>
      <c r="CP1">
        <f t="shared" si="0"/>
        <v>2090</v>
      </c>
      <c r="CQ1">
        <f t="shared" si="0"/>
        <v>2091</v>
      </c>
      <c r="CR1">
        <f t="shared" si="0"/>
        <v>2092</v>
      </c>
      <c r="CS1">
        <f t="shared" si="0"/>
        <v>2093</v>
      </c>
      <c r="CT1">
        <f t="shared" si="0"/>
        <v>2094</v>
      </c>
      <c r="CU1">
        <f t="shared" si="0"/>
        <v>2095</v>
      </c>
      <c r="CV1">
        <f t="shared" si="0"/>
        <v>2096</v>
      </c>
      <c r="CW1">
        <f t="shared" si="0"/>
        <v>2097</v>
      </c>
      <c r="CX1">
        <f t="shared" si="0"/>
        <v>2098</v>
      </c>
      <c r="CY1">
        <f t="shared" si="0"/>
        <v>2099</v>
      </c>
      <c r="CZ1">
        <f t="shared" si="0"/>
        <v>2100</v>
      </c>
    </row>
    <row r="2" spans="1:104" ht="13.8" thickTop="1" x14ac:dyDescent="0.25">
      <c r="A2" t="s">
        <v>1046</v>
      </c>
      <c r="B2" s="463" t="s">
        <v>707</v>
      </c>
      <c r="C2">
        <v>2005</v>
      </c>
      <c r="D2">
        <f t="shared" ref="D2:D8"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BP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ref="BQ2:BV2" si="4">0.000079485*($D$2)</f>
        <v>1.1334993860117458E-4</v>
      </c>
      <c r="BR2">
        <f t="shared" si="4"/>
        <v>1.1334993860117458E-4</v>
      </c>
      <c r="BS2">
        <f t="shared" si="4"/>
        <v>1.1334993860117458E-4</v>
      </c>
      <c r="BT2">
        <f t="shared" si="4"/>
        <v>1.1334993860117458E-4</v>
      </c>
      <c r="BU2">
        <f t="shared" si="4"/>
        <v>1.1334993860117458E-4</v>
      </c>
      <c r="BV2">
        <f t="shared" si="4"/>
        <v>1.1334993860117458E-4</v>
      </c>
      <c r="BW2">
        <f>+BV2</f>
        <v>1.1334993860117458E-4</v>
      </c>
      <c r="BX2">
        <f t="shared" ref="BX2:CZ8" si="5">+BW2</f>
        <v>1.1334993860117458E-4</v>
      </c>
      <c r="BY2">
        <f t="shared" si="5"/>
        <v>1.1334993860117458E-4</v>
      </c>
      <c r="BZ2">
        <f t="shared" si="5"/>
        <v>1.1334993860117458E-4</v>
      </c>
      <c r="CA2">
        <f t="shared" si="5"/>
        <v>1.1334993860117458E-4</v>
      </c>
      <c r="CB2">
        <f t="shared" si="5"/>
        <v>1.1334993860117458E-4</v>
      </c>
      <c r="CC2">
        <f t="shared" si="5"/>
        <v>1.1334993860117458E-4</v>
      </c>
      <c r="CD2">
        <f t="shared" si="5"/>
        <v>1.1334993860117458E-4</v>
      </c>
      <c r="CE2">
        <f t="shared" si="5"/>
        <v>1.1334993860117458E-4</v>
      </c>
      <c r="CF2">
        <f t="shared" si="5"/>
        <v>1.1334993860117458E-4</v>
      </c>
      <c r="CG2">
        <f t="shared" si="5"/>
        <v>1.1334993860117458E-4</v>
      </c>
      <c r="CH2">
        <f t="shared" si="5"/>
        <v>1.1334993860117458E-4</v>
      </c>
      <c r="CI2">
        <f t="shared" si="5"/>
        <v>1.1334993860117458E-4</v>
      </c>
      <c r="CJ2">
        <f t="shared" si="5"/>
        <v>1.1334993860117458E-4</v>
      </c>
      <c r="CK2">
        <f t="shared" si="5"/>
        <v>1.1334993860117458E-4</v>
      </c>
      <c r="CL2">
        <f t="shared" si="5"/>
        <v>1.1334993860117458E-4</v>
      </c>
      <c r="CM2">
        <f t="shared" si="5"/>
        <v>1.1334993860117458E-4</v>
      </c>
      <c r="CN2">
        <f t="shared" si="5"/>
        <v>1.1334993860117458E-4</v>
      </c>
      <c r="CO2">
        <f t="shared" si="5"/>
        <v>1.1334993860117458E-4</v>
      </c>
      <c r="CP2">
        <f t="shared" si="5"/>
        <v>1.1334993860117458E-4</v>
      </c>
      <c r="CQ2">
        <f t="shared" si="5"/>
        <v>1.1334993860117458E-4</v>
      </c>
      <c r="CR2">
        <f t="shared" si="5"/>
        <v>1.1334993860117458E-4</v>
      </c>
      <c r="CS2">
        <f t="shared" si="5"/>
        <v>1.1334993860117458E-4</v>
      </c>
      <c r="CT2">
        <f t="shared" si="5"/>
        <v>1.1334993860117458E-4</v>
      </c>
      <c r="CU2">
        <f t="shared" si="5"/>
        <v>1.1334993860117458E-4</v>
      </c>
      <c r="CV2">
        <f t="shared" si="5"/>
        <v>1.1334993860117458E-4</v>
      </c>
      <c r="CW2">
        <f t="shared" si="5"/>
        <v>1.1334993860117458E-4</v>
      </c>
      <c r="CX2">
        <f t="shared" si="5"/>
        <v>1.1334993860117458E-4</v>
      </c>
      <c r="CY2">
        <f t="shared" si="5"/>
        <v>1.1334993860117458E-4</v>
      </c>
      <c r="CZ2">
        <f t="shared" si="5"/>
        <v>1.1334993860117458E-4</v>
      </c>
    </row>
    <row r="3" spans="1:104" x14ac:dyDescent="0.25">
      <c r="A3" t="s">
        <v>1047</v>
      </c>
      <c r="B3" s="463" t="s">
        <v>707</v>
      </c>
      <c r="C3">
        <v>2005</v>
      </c>
      <c r="D3">
        <f t="shared" si="1"/>
        <v>1.4260544580886279</v>
      </c>
      <c r="E3">
        <f t="shared" ref="E3:AJ3" si="6">0.0049962*($D$3)</f>
        <v>7.1248532835024025E-3</v>
      </c>
      <c r="F3">
        <f t="shared" si="6"/>
        <v>7.1248532835024025E-3</v>
      </c>
      <c r="G3">
        <f t="shared" si="6"/>
        <v>7.1248532835024025E-3</v>
      </c>
      <c r="H3">
        <f t="shared" si="6"/>
        <v>7.1248532835024025E-3</v>
      </c>
      <c r="I3">
        <f t="shared" si="6"/>
        <v>7.1248532835024025E-3</v>
      </c>
      <c r="J3">
        <f t="shared" si="6"/>
        <v>7.1248532835024025E-3</v>
      </c>
      <c r="K3">
        <f t="shared" si="6"/>
        <v>7.1248532835024025E-3</v>
      </c>
      <c r="L3">
        <f t="shared" si="6"/>
        <v>7.1248532835024025E-3</v>
      </c>
      <c r="M3">
        <f t="shared" si="6"/>
        <v>7.1248532835024025E-3</v>
      </c>
      <c r="N3">
        <f t="shared" si="6"/>
        <v>7.1248532835024025E-3</v>
      </c>
      <c r="O3">
        <f t="shared" si="6"/>
        <v>7.1248532835024025E-3</v>
      </c>
      <c r="P3">
        <f t="shared" si="6"/>
        <v>7.1248532835024025E-3</v>
      </c>
      <c r="Q3">
        <f t="shared" si="6"/>
        <v>7.1248532835024025E-3</v>
      </c>
      <c r="R3">
        <f t="shared" si="6"/>
        <v>7.1248532835024025E-3</v>
      </c>
      <c r="S3">
        <f t="shared" si="6"/>
        <v>7.1248532835024025E-3</v>
      </c>
      <c r="T3">
        <f t="shared" si="6"/>
        <v>7.1248532835024025E-3</v>
      </c>
      <c r="U3">
        <f t="shared" si="6"/>
        <v>7.1248532835024025E-3</v>
      </c>
      <c r="V3">
        <f t="shared" si="6"/>
        <v>7.1248532835024025E-3</v>
      </c>
      <c r="W3">
        <f t="shared" si="6"/>
        <v>7.1248532835024025E-3</v>
      </c>
      <c r="X3">
        <f t="shared" si="6"/>
        <v>7.1248532835024025E-3</v>
      </c>
      <c r="Y3">
        <f t="shared" si="6"/>
        <v>7.1248532835024025E-3</v>
      </c>
      <c r="Z3">
        <f t="shared" si="6"/>
        <v>7.1248532835024025E-3</v>
      </c>
      <c r="AA3">
        <f t="shared" si="6"/>
        <v>7.1248532835024025E-3</v>
      </c>
      <c r="AB3">
        <f t="shared" si="6"/>
        <v>7.1248532835024025E-3</v>
      </c>
      <c r="AC3">
        <f t="shared" si="6"/>
        <v>7.1248532835024025E-3</v>
      </c>
      <c r="AD3">
        <f t="shared" si="6"/>
        <v>7.1248532835024025E-3</v>
      </c>
      <c r="AE3">
        <f t="shared" si="6"/>
        <v>7.1248532835024025E-3</v>
      </c>
      <c r="AF3">
        <f t="shared" si="6"/>
        <v>7.1248532835024025E-3</v>
      </c>
      <c r="AG3">
        <f t="shared" si="6"/>
        <v>7.1248532835024025E-3</v>
      </c>
      <c r="AH3">
        <f t="shared" si="6"/>
        <v>7.1248532835024025E-3</v>
      </c>
      <c r="AI3">
        <f t="shared" si="6"/>
        <v>7.1248532835024025E-3</v>
      </c>
      <c r="AJ3">
        <f t="shared" si="6"/>
        <v>7.1248532835024025E-3</v>
      </c>
      <c r="AK3">
        <f t="shared" ref="AK3:BP3" si="7">0.0049962*($D$3)</f>
        <v>7.1248532835024025E-3</v>
      </c>
      <c r="AL3">
        <f t="shared" si="7"/>
        <v>7.1248532835024025E-3</v>
      </c>
      <c r="AM3">
        <f t="shared" si="7"/>
        <v>7.1248532835024025E-3</v>
      </c>
      <c r="AN3">
        <f t="shared" si="7"/>
        <v>7.1248532835024025E-3</v>
      </c>
      <c r="AO3">
        <f t="shared" si="7"/>
        <v>7.1248532835024025E-3</v>
      </c>
      <c r="AP3">
        <f t="shared" si="7"/>
        <v>7.1248532835024025E-3</v>
      </c>
      <c r="AQ3">
        <f t="shared" si="7"/>
        <v>7.1248532835024025E-3</v>
      </c>
      <c r="AR3">
        <f t="shared" si="7"/>
        <v>7.1248532835024025E-3</v>
      </c>
      <c r="AS3">
        <f t="shared" si="7"/>
        <v>7.1248532835024025E-3</v>
      </c>
      <c r="AT3">
        <f t="shared" si="7"/>
        <v>7.1248532835024025E-3</v>
      </c>
      <c r="AU3">
        <f t="shared" si="7"/>
        <v>7.1248532835024025E-3</v>
      </c>
      <c r="AV3">
        <f t="shared" si="7"/>
        <v>7.1248532835024025E-3</v>
      </c>
      <c r="AW3">
        <f t="shared" si="7"/>
        <v>7.1248532835024025E-3</v>
      </c>
      <c r="AX3">
        <f t="shared" si="7"/>
        <v>7.1248532835024025E-3</v>
      </c>
      <c r="AY3">
        <f t="shared" si="7"/>
        <v>7.1248532835024025E-3</v>
      </c>
      <c r="AZ3">
        <f t="shared" si="7"/>
        <v>7.1248532835024025E-3</v>
      </c>
      <c r="BA3">
        <f t="shared" si="7"/>
        <v>7.1248532835024025E-3</v>
      </c>
      <c r="BB3">
        <f t="shared" si="7"/>
        <v>7.1248532835024025E-3</v>
      </c>
      <c r="BC3">
        <f t="shared" si="7"/>
        <v>7.1248532835024025E-3</v>
      </c>
      <c r="BD3">
        <f t="shared" si="7"/>
        <v>7.1248532835024025E-3</v>
      </c>
      <c r="BE3">
        <f t="shared" si="7"/>
        <v>7.1248532835024025E-3</v>
      </c>
      <c r="BF3">
        <f t="shared" si="7"/>
        <v>7.1248532835024025E-3</v>
      </c>
      <c r="BG3">
        <f t="shared" si="7"/>
        <v>7.1248532835024025E-3</v>
      </c>
      <c r="BH3">
        <f t="shared" si="7"/>
        <v>7.1248532835024025E-3</v>
      </c>
      <c r="BI3">
        <f t="shared" si="7"/>
        <v>7.1248532835024025E-3</v>
      </c>
      <c r="BJ3">
        <f t="shared" si="7"/>
        <v>7.1248532835024025E-3</v>
      </c>
      <c r="BK3">
        <f t="shared" si="7"/>
        <v>7.1248532835024025E-3</v>
      </c>
      <c r="BL3">
        <f t="shared" si="7"/>
        <v>7.1248532835024025E-3</v>
      </c>
      <c r="BM3">
        <f t="shared" si="7"/>
        <v>7.1248532835024025E-3</v>
      </c>
      <c r="BN3">
        <f t="shared" si="7"/>
        <v>7.1248532835024025E-3</v>
      </c>
      <c r="BO3">
        <f t="shared" si="7"/>
        <v>7.1248532835024025E-3</v>
      </c>
      <c r="BP3">
        <f t="shared" si="7"/>
        <v>7.1248532835024025E-3</v>
      </c>
      <c r="BQ3">
        <f t="shared" ref="BQ3:BV3" si="8">0.0049962*($D$3)</f>
        <v>7.1248532835024025E-3</v>
      </c>
      <c r="BR3">
        <f t="shared" si="8"/>
        <v>7.1248532835024025E-3</v>
      </c>
      <c r="BS3">
        <f t="shared" si="8"/>
        <v>7.1248532835024025E-3</v>
      </c>
      <c r="BT3">
        <f t="shared" si="8"/>
        <v>7.1248532835024025E-3</v>
      </c>
      <c r="BU3">
        <f t="shared" si="8"/>
        <v>7.1248532835024025E-3</v>
      </c>
      <c r="BV3">
        <f t="shared" si="8"/>
        <v>7.1248532835024025E-3</v>
      </c>
      <c r="BW3">
        <f t="shared" ref="BW3:CL8" si="9">+BV3</f>
        <v>7.1248532835024025E-3</v>
      </c>
      <c r="BX3">
        <f t="shared" si="9"/>
        <v>7.1248532835024025E-3</v>
      </c>
      <c r="BY3">
        <f t="shared" si="9"/>
        <v>7.1248532835024025E-3</v>
      </c>
      <c r="BZ3">
        <f t="shared" si="9"/>
        <v>7.1248532835024025E-3</v>
      </c>
      <c r="CA3">
        <f t="shared" si="9"/>
        <v>7.1248532835024025E-3</v>
      </c>
      <c r="CB3">
        <f t="shared" si="9"/>
        <v>7.1248532835024025E-3</v>
      </c>
      <c r="CC3">
        <f t="shared" si="9"/>
        <v>7.1248532835024025E-3</v>
      </c>
      <c r="CD3">
        <f t="shared" si="9"/>
        <v>7.1248532835024025E-3</v>
      </c>
      <c r="CE3">
        <f t="shared" si="9"/>
        <v>7.1248532835024025E-3</v>
      </c>
      <c r="CF3">
        <f t="shared" si="9"/>
        <v>7.1248532835024025E-3</v>
      </c>
      <c r="CG3">
        <f t="shared" si="9"/>
        <v>7.1248532835024025E-3</v>
      </c>
      <c r="CH3">
        <f t="shared" si="9"/>
        <v>7.1248532835024025E-3</v>
      </c>
      <c r="CI3">
        <f t="shared" si="9"/>
        <v>7.1248532835024025E-3</v>
      </c>
      <c r="CJ3">
        <f t="shared" si="9"/>
        <v>7.1248532835024025E-3</v>
      </c>
      <c r="CK3">
        <f t="shared" si="9"/>
        <v>7.1248532835024025E-3</v>
      </c>
      <c r="CL3">
        <f t="shared" si="9"/>
        <v>7.1248532835024025E-3</v>
      </c>
      <c r="CM3">
        <f t="shared" si="5"/>
        <v>7.1248532835024025E-3</v>
      </c>
      <c r="CN3">
        <f t="shared" si="5"/>
        <v>7.1248532835024025E-3</v>
      </c>
      <c r="CO3">
        <f t="shared" si="5"/>
        <v>7.1248532835024025E-3</v>
      </c>
      <c r="CP3">
        <f t="shared" si="5"/>
        <v>7.1248532835024025E-3</v>
      </c>
      <c r="CQ3">
        <f t="shared" si="5"/>
        <v>7.1248532835024025E-3</v>
      </c>
      <c r="CR3">
        <f t="shared" si="5"/>
        <v>7.1248532835024025E-3</v>
      </c>
      <c r="CS3">
        <f t="shared" si="5"/>
        <v>7.1248532835024025E-3</v>
      </c>
      <c r="CT3">
        <f t="shared" si="5"/>
        <v>7.1248532835024025E-3</v>
      </c>
      <c r="CU3">
        <f t="shared" si="5"/>
        <v>7.1248532835024025E-3</v>
      </c>
      <c r="CV3">
        <f t="shared" si="5"/>
        <v>7.1248532835024025E-3</v>
      </c>
      <c r="CW3">
        <f t="shared" si="5"/>
        <v>7.1248532835024025E-3</v>
      </c>
      <c r="CX3">
        <f t="shared" si="5"/>
        <v>7.1248532835024025E-3</v>
      </c>
      <c r="CY3">
        <f t="shared" si="5"/>
        <v>7.1248532835024025E-3</v>
      </c>
      <c r="CZ3">
        <f t="shared" si="5"/>
        <v>7.1248532835024025E-3</v>
      </c>
    </row>
    <row r="4" spans="1:104" x14ac:dyDescent="0.25">
      <c r="A4" t="s">
        <v>1048</v>
      </c>
      <c r="B4" s="463" t="s">
        <v>707</v>
      </c>
      <c r="C4">
        <v>2005</v>
      </c>
      <c r="D4">
        <f t="shared" si="1"/>
        <v>1.4260544580886279</v>
      </c>
      <c r="E4">
        <f t="shared" ref="E4:AJ4" si="10">0.0016654*($D$4)</f>
        <v>2.374951094500801E-3</v>
      </c>
      <c r="F4">
        <f t="shared" si="10"/>
        <v>2.374951094500801E-3</v>
      </c>
      <c r="G4">
        <f t="shared" si="10"/>
        <v>2.374951094500801E-3</v>
      </c>
      <c r="H4">
        <f t="shared" si="10"/>
        <v>2.374951094500801E-3</v>
      </c>
      <c r="I4">
        <f t="shared" si="10"/>
        <v>2.374951094500801E-3</v>
      </c>
      <c r="J4">
        <f t="shared" si="10"/>
        <v>2.374951094500801E-3</v>
      </c>
      <c r="K4">
        <f t="shared" si="10"/>
        <v>2.374951094500801E-3</v>
      </c>
      <c r="L4">
        <f t="shared" si="10"/>
        <v>2.374951094500801E-3</v>
      </c>
      <c r="M4">
        <f t="shared" si="10"/>
        <v>2.374951094500801E-3</v>
      </c>
      <c r="N4">
        <f t="shared" si="10"/>
        <v>2.374951094500801E-3</v>
      </c>
      <c r="O4">
        <f t="shared" si="10"/>
        <v>2.374951094500801E-3</v>
      </c>
      <c r="P4">
        <f t="shared" si="10"/>
        <v>2.374951094500801E-3</v>
      </c>
      <c r="Q4">
        <f t="shared" si="10"/>
        <v>2.374951094500801E-3</v>
      </c>
      <c r="R4">
        <f t="shared" si="10"/>
        <v>2.374951094500801E-3</v>
      </c>
      <c r="S4">
        <f t="shared" si="10"/>
        <v>2.374951094500801E-3</v>
      </c>
      <c r="T4">
        <f t="shared" si="10"/>
        <v>2.374951094500801E-3</v>
      </c>
      <c r="U4">
        <f t="shared" si="10"/>
        <v>2.374951094500801E-3</v>
      </c>
      <c r="V4">
        <f t="shared" si="10"/>
        <v>2.374951094500801E-3</v>
      </c>
      <c r="W4">
        <f t="shared" si="10"/>
        <v>2.374951094500801E-3</v>
      </c>
      <c r="X4">
        <f t="shared" si="10"/>
        <v>2.374951094500801E-3</v>
      </c>
      <c r="Y4">
        <f t="shared" si="10"/>
        <v>2.374951094500801E-3</v>
      </c>
      <c r="Z4">
        <f t="shared" si="10"/>
        <v>2.374951094500801E-3</v>
      </c>
      <c r="AA4">
        <f t="shared" si="10"/>
        <v>2.374951094500801E-3</v>
      </c>
      <c r="AB4">
        <f t="shared" si="10"/>
        <v>2.374951094500801E-3</v>
      </c>
      <c r="AC4">
        <f t="shared" si="10"/>
        <v>2.374951094500801E-3</v>
      </c>
      <c r="AD4">
        <f t="shared" si="10"/>
        <v>2.374951094500801E-3</v>
      </c>
      <c r="AE4">
        <f t="shared" si="10"/>
        <v>2.374951094500801E-3</v>
      </c>
      <c r="AF4">
        <f t="shared" si="10"/>
        <v>2.374951094500801E-3</v>
      </c>
      <c r="AG4">
        <f t="shared" si="10"/>
        <v>2.374951094500801E-3</v>
      </c>
      <c r="AH4">
        <f t="shared" si="10"/>
        <v>2.374951094500801E-3</v>
      </c>
      <c r="AI4">
        <f t="shared" si="10"/>
        <v>2.374951094500801E-3</v>
      </c>
      <c r="AJ4">
        <f t="shared" si="10"/>
        <v>2.374951094500801E-3</v>
      </c>
      <c r="AK4">
        <f t="shared" ref="AK4:BP4" si="11">0.0016654*($D$4)</f>
        <v>2.374951094500801E-3</v>
      </c>
      <c r="AL4">
        <f t="shared" si="11"/>
        <v>2.374951094500801E-3</v>
      </c>
      <c r="AM4">
        <f t="shared" si="11"/>
        <v>2.374951094500801E-3</v>
      </c>
      <c r="AN4">
        <f t="shared" si="11"/>
        <v>2.374951094500801E-3</v>
      </c>
      <c r="AO4">
        <f t="shared" si="11"/>
        <v>2.374951094500801E-3</v>
      </c>
      <c r="AP4">
        <f t="shared" si="11"/>
        <v>2.374951094500801E-3</v>
      </c>
      <c r="AQ4">
        <f t="shared" si="11"/>
        <v>2.374951094500801E-3</v>
      </c>
      <c r="AR4">
        <f t="shared" si="11"/>
        <v>2.374951094500801E-3</v>
      </c>
      <c r="AS4">
        <f t="shared" si="11"/>
        <v>2.374951094500801E-3</v>
      </c>
      <c r="AT4">
        <f t="shared" si="11"/>
        <v>2.374951094500801E-3</v>
      </c>
      <c r="AU4">
        <f t="shared" si="11"/>
        <v>2.374951094500801E-3</v>
      </c>
      <c r="AV4">
        <f t="shared" si="11"/>
        <v>2.374951094500801E-3</v>
      </c>
      <c r="AW4">
        <f t="shared" si="11"/>
        <v>2.374951094500801E-3</v>
      </c>
      <c r="AX4">
        <f t="shared" si="11"/>
        <v>2.374951094500801E-3</v>
      </c>
      <c r="AY4">
        <f t="shared" si="11"/>
        <v>2.374951094500801E-3</v>
      </c>
      <c r="AZ4">
        <f t="shared" si="11"/>
        <v>2.374951094500801E-3</v>
      </c>
      <c r="BA4">
        <f t="shared" si="11"/>
        <v>2.374951094500801E-3</v>
      </c>
      <c r="BB4">
        <f t="shared" si="11"/>
        <v>2.374951094500801E-3</v>
      </c>
      <c r="BC4">
        <f t="shared" si="11"/>
        <v>2.374951094500801E-3</v>
      </c>
      <c r="BD4">
        <f t="shared" si="11"/>
        <v>2.374951094500801E-3</v>
      </c>
      <c r="BE4">
        <f t="shared" si="11"/>
        <v>2.374951094500801E-3</v>
      </c>
      <c r="BF4">
        <f t="shared" si="11"/>
        <v>2.374951094500801E-3</v>
      </c>
      <c r="BG4">
        <f t="shared" si="11"/>
        <v>2.374951094500801E-3</v>
      </c>
      <c r="BH4">
        <f t="shared" si="11"/>
        <v>2.374951094500801E-3</v>
      </c>
      <c r="BI4">
        <f t="shared" si="11"/>
        <v>2.374951094500801E-3</v>
      </c>
      <c r="BJ4">
        <f t="shared" si="11"/>
        <v>2.374951094500801E-3</v>
      </c>
      <c r="BK4">
        <f t="shared" si="11"/>
        <v>2.374951094500801E-3</v>
      </c>
      <c r="BL4">
        <f t="shared" si="11"/>
        <v>2.374951094500801E-3</v>
      </c>
      <c r="BM4">
        <f t="shared" si="11"/>
        <v>2.374951094500801E-3</v>
      </c>
      <c r="BN4">
        <f t="shared" si="11"/>
        <v>2.374951094500801E-3</v>
      </c>
      <c r="BO4">
        <f t="shared" si="11"/>
        <v>2.374951094500801E-3</v>
      </c>
      <c r="BP4">
        <f t="shared" si="11"/>
        <v>2.374951094500801E-3</v>
      </c>
      <c r="BQ4">
        <f t="shared" ref="BQ4:BV4" si="12">0.0016654*($D$4)</f>
        <v>2.374951094500801E-3</v>
      </c>
      <c r="BR4">
        <f t="shared" si="12"/>
        <v>2.374951094500801E-3</v>
      </c>
      <c r="BS4">
        <f t="shared" si="12"/>
        <v>2.374951094500801E-3</v>
      </c>
      <c r="BT4">
        <f t="shared" si="12"/>
        <v>2.374951094500801E-3</v>
      </c>
      <c r="BU4">
        <f t="shared" si="12"/>
        <v>2.374951094500801E-3</v>
      </c>
      <c r="BV4">
        <f t="shared" si="12"/>
        <v>2.374951094500801E-3</v>
      </c>
      <c r="BW4">
        <f t="shared" si="9"/>
        <v>2.374951094500801E-3</v>
      </c>
      <c r="BX4">
        <f t="shared" si="5"/>
        <v>2.374951094500801E-3</v>
      </c>
      <c r="BY4">
        <f t="shared" si="5"/>
        <v>2.374951094500801E-3</v>
      </c>
      <c r="BZ4">
        <f t="shared" si="5"/>
        <v>2.374951094500801E-3</v>
      </c>
      <c r="CA4">
        <f t="shared" si="5"/>
        <v>2.374951094500801E-3</v>
      </c>
      <c r="CB4">
        <f t="shared" si="5"/>
        <v>2.374951094500801E-3</v>
      </c>
      <c r="CC4">
        <f t="shared" si="5"/>
        <v>2.374951094500801E-3</v>
      </c>
      <c r="CD4">
        <f t="shared" si="5"/>
        <v>2.374951094500801E-3</v>
      </c>
      <c r="CE4">
        <f t="shared" si="5"/>
        <v>2.374951094500801E-3</v>
      </c>
      <c r="CF4">
        <f t="shared" si="5"/>
        <v>2.374951094500801E-3</v>
      </c>
      <c r="CG4">
        <f t="shared" si="5"/>
        <v>2.374951094500801E-3</v>
      </c>
      <c r="CH4">
        <f t="shared" si="5"/>
        <v>2.374951094500801E-3</v>
      </c>
      <c r="CI4">
        <f t="shared" si="5"/>
        <v>2.374951094500801E-3</v>
      </c>
      <c r="CJ4">
        <f t="shared" si="5"/>
        <v>2.374951094500801E-3</v>
      </c>
      <c r="CK4">
        <f t="shared" si="5"/>
        <v>2.374951094500801E-3</v>
      </c>
      <c r="CL4">
        <f t="shared" si="5"/>
        <v>2.374951094500801E-3</v>
      </c>
      <c r="CM4">
        <f t="shared" si="5"/>
        <v>2.374951094500801E-3</v>
      </c>
      <c r="CN4">
        <f t="shared" si="5"/>
        <v>2.374951094500801E-3</v>
      </c>
      <c r="CO4">
        <f t="shared" si="5"/>
        <v>2.374951094500801E-3</v>
      </c>
      <c r="CP4">
        <f t="shared" si="5"/>
        <v>2.374951094500801E-3</v>
      </c>
      <c r="CQ4">
        <f t="shared" si="5"/>
        <v>2.374951094500801E-3</v>
      </c>
      <c r="CR4">
        <f t="shared" si="5"/>
        <v>2.374951094500801E-3</v>
      </c>
      <c r="CS4">
        <f t="shared" si="5"/>
        <v>2.374951094500801E-3</v>
      </c>
      <c r="CT4">
        <f t="shared" si="5"/>
        <v>2.374951094500801E-3</v>
      </c>
      <c r="CU4">
        <f t="shared" si="5"/>
        <v>2.374951094500801E-3</v>
      </c>
      <c r="CV4">
        <f t="shared" si="5"/>
        <v>2.374951094500801E-3</v>
      </c>
      <c r="CW4">
        <f t="shared" si="5"/>
        <v>2.374951094500801E-3</v>
      </c>
      <c r="CX4">
        <f t="shared" si="5"/>
        <v>2.374951094500801E-3</v>
      </c>
      <c r="CY4">
        <f t="shared" si="5"/>
        <v>2.374951094500801E-3</v>
      </c>
      <c r="CZ4">
        <f t="shared" si="5"/>
        <v>2.374951094500801E-3</v>
      </c>
    </row>
    <row r="5" spans="1:104" x14ac:dyDescent="0.25">
      <c r="A5" t="s">
        <v>1049</v>
      </c>
      <c r="B5" s="463" t="s">
        <v>268</v>
      </c>
      <c r="C5">
        <v>2005</v>
      </c>
      <c r="D5">
        <f t="shared" si="1"/>
        <v>1.4260544580886279</v>
      </c>
      <c r="E5">
        <f t="shared" ref="E5:AJ5" si="13">0.02*($D$5)</f>
        <v>2.8521089161772557E-2</v>
      </c>
      <c r="F5">
        <f t="shared" si="13"/>
        <v>2.8521089161772557E-2</v>
      </c>
      <c r="G5">
        <f t="shared" si="13"/>
        <v>2.8521089161772557E-2</v>
      </c>
      <c r="H5">
        <f t="shared" si="13"/>
        <v>2.8521089161772557E-2</v>
      </c>
      <c r="I5">
        <f t="shared" si="13"/>
        <v>2.8521089161772557E-2</v>
      </c>
      <c r="J5">
        <f t="shared" si="13"/>
        <v>2.8521089161772557E-2</v>
      </c>
      <c r="K5">
        <f t="shared" si="13"/>
        <v>2.8521089161772557E-2</v>
      </c>
      <c r="L5">
        <f t="shared" si="13"/>
        <v>2.8521089161772557E-2</v>
      </c>
      <c r="M5">
        <f t="shared" si="13"/>
        <v>2.8521089161772557E-2</v>
      </c>
      <c r="N5">
        <f t="shared" si="13"/>
        <v>2.8521089161772557E-2</v>
      </c>
      <c r="O5">
        <f t="shared" si="13"/>
        <v>2.8521089161772557E-2</v>
      </c>
      <c r="P5">
        <f t="shared" si="13"/>
        <v>2.8521089161772557E-2</v>
      </c>
      <c r="Q5">
        <f t="shared" si="13"/>
        <v>2.8521089161772557E-2</v>
      </c>
      <c r="R5">
        <f t="shared" si="13"/>
        <v>2.8521089161772557E-2</v>
      </c>
      <c r="S5">
        <f t="shared" si="13"/>
        <v>2.8521089161772557E-2</v>
      </c>
      <c r="T5">
        <f t="shared" si="13"/>
        <v>2.8521089161772557E-2</v>
      </c>
      <c r="U5">
        <f t="shared" si="13"/>
        <v>2.8521089161772557E-2</v>
      </c>
      <c r="V5">
        <f t="shared" si="13"/>
        <v>2.8521089161772557E-2</v>
      </c>
      <c r="W5">
        <f t="shared" si="13"/>
        <v>2.8521089161772557E-2</v>
      </c>
      <c r="X5">
        <f t="shared" si="13"/>
        <v>2.8521089161772557E-2</v>
      </c>
      <c r="Y5">
        <f t="shared" si="13"/>
        <v>2.8521089161772557E-2</v>
      </c>
      <c r="Z5">
        <f t="shared" si="13"/>
        <v>2.8521089161772557E-2</v>
      </c>
      <c r="AA5">
        <f t="shared" si="13"/>
        <v>2.8521089161772557E-2</v>
      </c>
      <c r="AB5">
        <f t="shared" si="13"/>
        <v>2.8521089161772557E-2</v>
      </c>
      <c r="AC5">
        <f t="shared" si="13"/>
        <v>2.8521089161772557E-2</v>
      </c>
      <c r="AD5">
        <f t="shared" si="13"/>
        <v>2.8521089161772557E-2</v>
      </c>
      <c r="AE5">
        <f t="shared" si="13"/>
        <v>2.8521089161772557E-2</v>
      </c>
      <c r="AF5">
        <f t="shared" si="13"/>
        <v>2.8521089161772557E-2</v>
      </c>
      <c r="AG5">
        <f t="shared" si="13"/>
        <v>2.8521089161772557E-2</v>
      </c>
      <c r="AH5">
        <f t="shared" si="13"/>
        <v>2.8521089161772557E-2</v>
      </c>
      <c r="AI5">
        <f t="shared" si="13"/>
        <v>2.8521089161772557E-2</v>
      </c>
      <c r="AJ5">
        <f t="shared" si="13"/>
        <v>2.8521089161772557E-2</v>
      </c>
      <c r="AK5">
        <f t="shared" ref="AK5:BP5" si="14">0.02*($D$5)</f>
        <v>2.8521089161772557E-2</v>
      </c>
      <c r="AL5">
        <f t="shared" si="14"/>
        <v>2.8521089161772557E-2</v>
      </c>
      <c r="AM5">
        <f t="shared" si="14"/>
        <v>2.8521089161772557E-2</v>
      </c>
      <c r="AN5">
        <f t="shared" si="14"/>
        <v>2.8521089161772557E-2</v>
      </c>
      <c r="AO5">
        <f t="shared" si="14"/>
        <v>2.8521089161772557E-2</v>
      </c>
      <c r="AP5">
        <f t="shared" si="14"/>
        <v>2.8521089161772557E-2</v>
      </c>
      <c r="AQ5">
        <f t="shared" si="14"/>
        <v>2.8521089161772557E-2</v>
      </c>
      <c r="AR5">
        <f t="shared" si="14"/>
        <v>2.8521089161772557E-2</v>
      </c>
      <c r="AS5">
        <f t="shared" si="14"/>
        <v>2.8521089161772557E-2</v>
      </c>
      <c r="AT5">
        <f t="shared" si="14"/>
        <v>2.8521089161772557E-2</v>
      </c>
      <c r="AU5">
        <f t="shared" si="14"/>
        <v>2.8521089161772557E-2</v>
      </c>
      <c r="AV5">
        <f t="shared" si="14"/>
        <v>2.8521089161772557E-2</v>
      </c>
      <c r="AW5">
        <f t="shared" si="14"/>
        <v>2.8521089161772557E-2</v>
      </c>
      <c r="AX5">
        <f t="shared" si="14"/>
        <v>2.8521089161772557E-2</v>
      </c>
      <c r="AY5">
        <f t="shared" si="14"/>
        <v>2.8521089161772557E-2</v>
      </c>
      <c r="AZ5">
        <f t="shared" si="14"/>
        <v>2.8521089161772557E-2</v>
      </c>
      <c r="BA5">
        <f t="shared" si="14"/>
        <v>2.8521089161772557E-2</v>
      </c>
      <c r="BB5">
        <f t="shared" si="14"/>
        <v>2.8521089161772557E-2</v>
      </c>
      <c r="BC5">
        <f t="shared" si="14"/>
        <v>2.8521089161772557E-2</v>
      </c>
      <c r="BD5">
        <f t="shared" si="14"/>
        <v>2.8521089161772557E-2</v>
      </c>
      <c r="BE5">
        <f t="shared" si="14"/>
        <v>2.8521089161772557E-2</v>
      </c>
      <c r="BF5">
        <f t="shared" si="14"/>
        <v>2.8521089161772557E-2</v>
      </c>
      <c r="BG5">
        <f t="shared" si="14"/>
        <v>2.8521089161772557E-2</v>
      </c>
      <c r="BH5">
        <f t="shared" si="14"/>
        <v>2.8521089161772557E-2</v>
      </c>
      <c r="BI5">
        <f t="shared" si="14"/>
        <v>2.8521089161772557E-2</v>
      </c>
      <c r="BJ5">
        <f t="shared" si="14"/>
        <v>2.8521089161772557E-2</v>
      </c>
      <c r="BK5">
        <f t="shared" si="14"/>
        <v>2.8521089161772557E-2</v>
      </c>
      <c r="BL5">
        <f t="shared" si="14"/>
        <v>2.8521089161772557E-2</v>
      </c>
      <c r="BM5">
        <f t="shared" si="14"/>
        <v>2.8521089161772557E-2</v>
      </c>
      <c r="BN5">
        <f t="shared" si="14"/>
        <v>2.8521089161772557E-2</v>
      </c>
      <c r="BO5">
        <f t="shared" si="14"/>
        <v>2.8521089161772557E-2</v>
      </c>
      <c r="BP5">
        <f t="shared" si="14"/>
        <v>2.8521089161772557E-2</v>
      </c>
      <c r="BQ5">
        <f t="shared" ref="BQ5:BV5" si="15">0.02*($D$5)</f>
        <v>2.8521089161772557E-2</v>
      </c>
      <c r="BR5">
        <f t="shared" si="15"/>
        <v>2.8521089161772557E-2</v>
      </c>
      <c r="BS5">
        <f t="shared" si="15"/>
        <v>2.8521089161772557E-2</v>
      </c>
      <c r="BT5">
        <f t="shared" si="15"/>
        <v>2.8521089161772557E-2</v>
      </c>
      <c r="BU5">
        <f t="shared" si="15"/>
        <v>2.8521089161772557E-2</v>
      </c>
      <c r="BV5">
        <f t="shared" si="15"/>
        <v>2.8521089161772557E-2</v>
      </c>
      <c r="BW5">
        <f t="shared" si="9"/>
        <v>2.8521089161772557E-2</v>
      </c>
      <c r="BX5">
        <f t="shared" si="5"/>
        <v>2.8521089161772557E-2</v>
      </c>
      <c r="BY5">
        <f t="shared" si="5"/>
        <v>2.8521089161772557E-2</v>
      </c>
      <c r="BZ5">
        <f t="shared" si="5"/>
        <v>2.8521089161772557E-2</v>
      </c>
      <c r="CA5">
        <f t="shared" si="5"/>
        <v>2.8521089161772557E-2</v>
      </c>
      <c r="CB5">
        <f t="shared" si="5"/>
        <v>2.8521089161772557E-2</v>
      </c>
      <c r="CC5">
        <f t="shared" si="5"/>
        <v>2.8521089161772557E-2</v>
      </c>
      <c r="CD5">
        <f t="shared" si="5"/>
        <v>2.8521089161772557E-2</v>
      </c>
      <c r="CE5">
        <f t="shared" si="5"/>
        <v>2.8521089161772557E-2</v>
      </c>
      <c r="CF5">
        <f t="shared" si="5"/>
        <v>2.8521089161772557E-2</v>
      </c>
      <c r="CG5">
        <f t="shared" si="5"/>
        <v>2.8521089161772557E-2</v>
      </c>
      <c r="CH5">
        <f t="shared" si="5"/>
        <v>2.8521089161772557E-2</v>
      </c>
      <c r="CI5">
        <f t="shared" si="5"/>
        <v>2.8521089161772557E-2</v>
      </c>
      <c r="CJ5">
        <f t="shared" si="5"/>
        <v>2.8521089161772557E-2</v>
      </c>
      <c r="CK5">
        <f t="shared" si="5"/>
        <v>2.8521089161772557E-2</v>
      </c>
      <c r="CL5">
        <f t="shared" si="5"/>
        <v>2.8521089161772557E-2</v>
      </c>
      <c r="CM5">
        <f t="shared" si="5"/>
        <v>2.8521089161772557E-2</v>
      </c>
      <c r="CN5">
        <f t="shared" si="5"/>
        <v>2.8521089161772557E-2</v>
      </c>
      <c r="CO5">
        <f t="shared" si="5"/>
        <v>2.8521089161772557E-2</v>
      </c>
      <c r="CP5">
        <f t="shared" si="5"/>
        <v>2.8521089161772557E-2</v>
      </c>
      <c r="CQ5">
        <f t="shared" si="5"/>
        <v>2.8521089161772557E-2</v>
      </c>
      <c r="CR5">
        <f t="shared" si="5"/>
        <v>2.8521089161772557E-2</v>
      </c>
      <c r="CS5">
        <f t="shared" si="5"/>
        <v>2.8521089161772557E-2</v>
      </c>
      <c r="CT5">
        <f t="shared" si="5"/>
        <v>2.8521089161772557E-2</v>
      </c>
      <c r="CU5">
        <f t="shared" si="5"/>
        <v>2.8521089161772557E-2</v>
      </c>
      <c r="CV5">
        <f t="shared" si="5"/>
        <v>2.8521089161772557E-2</v>
      </c>
      <c r="CW5">
        <f t="shared" si="5"/>
        <v>2.8521089161772557E-2</v>
      </c>
      <c r="CX5">
        <f t="shared" si="5"/>
        <v>2.8521089161772557E-2</v>
      </c>
      <c r="CY5">
        <f t="shared" si="5"/>
        <v>2.8521089161772557E-2</v>
      </c>
      <c r="CZ5">
        <f t="shared" si="5"/>
        <v>2.8521089161772557E-2</v>
      </c>
    </row>
    <row r="6" spans="1:104" x14ac:dyDescent="0.25">
      <c r="A6" t="s">
        <v>674</v>
      </c>
      <c r="B6" s="463" t="s">
        <v>268</v>
      </c>
      <c r="C6">
        <v>2005</v>
      </c>
      <c r="D6">
        <f t="shared" si="1"/>
        <v>1.4260544580886279</v>
      </c>
      <c r="E6">
        <f t="shared" ref="E6:AJ6" si="16">0*($D$6)</f>
        <v>0</v>
      </c>
      <c r="F6">
        <f t="shared" si="16"/>
        <v>0</v>
      </c>
      <c r="G6">
        <f t="shared" si="16"/>
        <v>0</v>
      </c>
      <c r="H6">
        <f t="shared" si="16"/>
        <v>0</v>
      </c>
      <c r="I6">
        <f t="shared" si="16"/>
        <v>0</v>
      </c>
      <c r="J6">
        <f t="shared" si="16"/>
        <v>0</v>
      </c>
      <c r="K6">
        <f t="shared" si="16"/>
        <v>0</v>
      </c>
      <c r="L6">
        <f t="shared" si="16"/>
        <v>0</v>
      </c>
      <c r="M6">
        <f t="shared" si="16"/>
        <v>0</v>
      </c>
      <c r="N6">
        <f t="shared" si="16"/>
        <v>0</v>
      </c>
      <c r="O6">
        <f t="shared" si="16"/>
        <v>0</v>
      </c>
      <c r="P6">
        <f t="shared" si="16"/>
        <v>0</v>
      </c>
      <c r="Q6">
        <f t="shared" si="16"/>
        <v>0</v>
      </c>
      <c r="R6">
        <f t="shared" si="16"/>
        <v>0</v>
      </c>
      <c r="S6">
        <f t="shared" si="16"/>
        <v>0</v>
      </c>
      <c r="T6">
        <f t="shared" si="16"/>
        <v>0</v>
      </c>
      <c r="U6">
        <f t="shared" si="16"/>
        <v>0</v>
      </c>
      <c r="V6">
        <f t="shared" si="16"/>
        <v>0</v>
      </c>
      <c r="W6">
        <f t="shared" si="16"/>
        <v>0</v>
      </c>
      <c r="X6">
        <f t="shared" si="16"/>
        <v>0</v>
      </c>
      <c r="Y6">
        <f t="shared" si="16"/>
        <v>0</v>
      </c>
      <c r="Z6">
        <f t="shared" si="16"/>
        <v>0</v>
      </c>
      <c r="AA6">
        <f t="shared" si="16"/>
        <v>0</v>
      </c>
      <c r="AB6">
        <f t="shared" si="16"/>
        <v>0</v>
      </c>
      <c r="AC6">
        <f t="shared" si="16"/>
        <v>0</v>
      </c>
      <c r="AD6">
        <f t="shared" si="16"/>
        <v>0</v>
      </c>
      <c r="AE6">
        <f t="shared" si="16"/>
        <v>0</v>
      </c>
      <c r="AF6">
        <f t="shared" si="16"/>
        <v>0</v>
      </c>
      <c r="AG6">
        <f t="shared" si="16"/>
        <v>0</v>
      </c>
      <c r="AH6">
        <f t="shared" si="16"/>
        <v>0</v>
      </c>
      <c r="AI6">
        <f t="shared" si="16"/>
        <v>0</v>
      </c>
      <c r="AJ6">
        <f t="shared" si="16"/>
        <v>0</v>
      </c>
      <c r="AK6">
        <f t="shared" ref="AK6:BP6" si="17">0*($D$6)</f>
        <v>0</v>
      </c>
      <c r="AL6">
        <f t="shared" si="17"/>
        <v>0</v>
      </c>
      <c r="AM6">
        <f t="shared" si="17"/>
        <v>0</v>
      </c>
      <c r="AN6">
        <f t="shared" si="17"/>
        <v>0</v>
      </c>
      <c r="AO6">
        <f t="shared" si="17"/>
        <v>0</v>
      </c>
      <c r="AP6">
        <f t="shared" si="17"/>
        <v>0</v>
      </c>
      <c r="AQ6">
        <f t="shared" si="17"/>
        <v>0</v>
      </c>
      <c r="AR6">
        <f t="shared" si="17"/>
        <v>0</v>
      </c>
      <c r="AS6">
        <f t="shared" si="17"/>
        <v>0</v>
      </c>
      <c r="AT6">
        <f t="shared" si="17"/>
        <v>0</v>
      </c>
      <c r="AU6">
        <f t="shared" si="17"/>
        <v>0</v>
      </c>
      <c r="AV6">
        <f t="shared" si="17"/>
        <v>0</v>
      </c>
      <c r="AW6">
        <f t="shared" si="17"/>
        <v>0</v>
      </c>
      <c r="AX6">
        <f t="shared" si="17"/>
        <v>0</v>
      </c>
      <c r="AY6">
        <f t="shared" si="17"/>
        <v>0</v>
      </c>
      <c r="AZ6">
        <f t="shared" si="17"/>
        <v>0</v>
      </c>
      <c r="BA6">
        <f t="shared" si="17"/>
        <v>0</v>
      </c>
      <c r="BB6">
        <f t="shared" si="17"/>
        <v>0</v>
      </c>
      <c r="BC6">
        <f t="shared" si="17"/>
        <v>0</v>
      </c>
      <c r="BD6">
        <f t="shared" si="17"/>
        <v>0</v>
      </c>
      <c r="BE6">
        <f t="shared" si="17"/>
        <v>0</v>
      </c>
      <c r="BF6">
        <f t="shared" si="17"/>
        <v>0</v>
      </c>
      <c r="BG6">
        <f t="shared" si="17"/>
        <v>0</v>
      </c>
      <c r="BH6">
        <f t="shared" si="17"/>
        <v>0</v>
      </c>
      <c r="BI6">
        <f t="shared" si="17"/>
        <v>0</v>
      </c>
      <c r="BJ6">
        <f t="shared" si="17"/>
        <v>0</v>
      </c>
      <c r="BK6">
        <f t="shared" si="17"/>
        <v>0</v>
      </c>
      <c r="BL6">
        <f t="shared" si="17"/>
        <v>0</v>
      </c>
      <c r="BM6">
        <f t="shared" si="17"/>
        <v>0</v>
      </c>
      <c r="BN6">
        <f t="shared" si="17"/>
        <v>0</v>
      </c>
      <c r="BO6">
        <f t="shared" si="17"/>
        <v>0</v>
      </c>
      <c r="BP6">
        <f t="shared" si="17"/>
        <v>0</v>
      </c>
      <c r="BQ6">
        <f t="shared" ref="BQ6:BV6" si="18">0*($D$6)</f>
        <v>0</v>
      </c>
      <c r="BR6">
        <f t="shared" si="18"/>
        <v>0</v>
      </c>
      <c r="BS6">
        <f t="shared" si="18"/>
        <v>0</v>
      </c>
      <c r="BT6">
        <f t="shared" si="18"/>
        <v>0</v>
      </c>
      <c r="BU6">
        <f t="shared" si="18"/>
        <v>0</v>
      </c>
      <c r="BV6">
        <f t="shared" si="18"/>
        <v>0</v>
      </c>
      <c r="BW6">
        <f t="shared" si="9"/>
        <v>0</v>
      </c>
      <c r="BX6">
        <f t="shared" si="5"/>
        <v>0</v>
      </c>
      <c r="BY6">
        <f t="shared" si="5"/>
        <v>0</v>
      </c>
      <c r="BZ6">
        <f t="shared" si="5"/>
        <v>0</v>
      </c>
      <c r="CA6">
        <f t="shared" si="5"/>
        <v>0</v>
      </c>
      <c r="CB6">
        <f t="shared" si="5"/>
        <v>0</v>
      </c>
      <c r="CC6">
        <f t="shared" si="5"/>
        <v>0</v>
      </c>
      <c r="CD6">
        <f t="shared" si="5"/>
        <v>0</v>
      </c>
      <c r="CE6">
        <f t="shared" si="5"/>
        <v>0</v>
      </c>
      <c r="CF6">
        <f t="shared" si="5"/>
        <v>0</v>
      </c>
      <c r="CG6">
        <f t="shared" si="5"/>
        <v>0</v>
      </c>
      <c r="CH6">
        <f t="shared" si="5"/>
        <v>0</v>
      </c>
      <c r="CI6">
        <f t="shared" si="5"/>
        <v>0</v>
      </c>
      <c r="CJ6">
        <f t="shared" si="5"/>
        <v>0</v>
      </c>
      <c r="CK6">
        <f t="shared" si="5"/>
        <v>0</v>
      </c>
      <c r="CL6">
        <f t="shared" si="5"/>
        <v>0</v>
      </c>
      <c r="CM6">
        <f t="shared" si="5"/>
        <v>0</v>
      </c>
      <c r="CN6">
        <f t="shared" si="5"/>
        <v>0</v>
      </c>
      <c r="CO6">
        <f t="shared" si="5"/>
        <v>0</v>
      </c>
      <c r="CP6">
        <f t="shared" si="5"/>
        <v>0</v>
      </c>
      <c r="CQ6">
        <f t="shared" si="5"/>
        <v>0</v>
      </c>
      <c r="CR6">
        <f t="shared" si="5"/>
        <v>0</v>
      </c>
      <c r="CS6">
        <f t="shared" si="5"/>
        <v>0</v>
      </c>
      <c r="CT6">
        <f t="shared" si="5"/>
        <v>0</v>
      </c>
      <c r="CU6">
        <f t="shared" si="5"/>
        <v>0</v>
      </c>
      <c r="CV6">
        <f t="shared" si="5"/>
        <v>0</v>
      </c>
      <c r="CW6">
        <f t="shared" si="5"/>
        <v>0</v>
      </c>
      <c r="CX6">
        <f t="shared" si="5"/>
        <v>0</v>
      </c>
      <c r="CY6">
        <f t="shared" si="5"/>
        <v>0</v>
      </c>
      <c r="CZ6">
        <f t="shared" si="5"/>
        <v>0</v>
      </c>
    </row>
    <row r="7" spans="1:104" x14ac:dyDescent="0.25">
      <c r="A7" s="463" t="s">
        <v>1089</v>
      </c>
      <c r="B7" s="463" t="s">
        <v>268</v>
      </c>
      <c r="C7">
        <v>2007</v>
      </c>
      <c r="D7">
        <f t="shared" si="1"/>
        <v>1.3138219380226268</v>
      </c>
      <c r="E7">
        <f t="shared" ref="E7:AJ7" si="19">0.0135*($D$7)</f>
        <v>1.7736596163305463E-2</v>
      </c>
      <c r="F7">
        <f t="shared" si="19"/>
        <v>1.7736596163305463E-2</v>
      </c>
      <c r="G7">
        <f t="shared" si="19"/>
        <v>1.7736596163305463E-2</v>
      </c>
      <c r="H7">
        <f t="shared" si="19"/>
        <v>1.7736596163305463E-2</v>
      </c>
      <c r="I7">
        <f t="shared" si="19"/>
        <v>1.7736596163305463E-2</v>
      </c>
      <c r="J7">
        <f t="shared" si="19"/>
        <v>1.7736596163305463E-2</v>
      </c>
      <c r="K7">
        <f t="shared" si="19"/>
        <v>1.7736596163305463E-2</v>
      </c>
      <c r="L7">
        <f t="shared" si="19"/>
        <v>1.7736596163305463E-2</v>
      </c>
      <c r="M7">
        <f t="shared" si="19"/>
        <v>1.7736596163305463E-2</v>
      </c>
      <c r="N7">
        <f t="shared" si="19"/>
        <v>1.7736596163305463E-2</v>
      </c>
      <c r="O7">
        <f t="shared" si="19"/>
        <v>1.7736596163305463E-2</v>
      </c>
      <c r="P7">
        <f t="shared" si="19"/>
        <v>1.7736596163305463E-2</v>
      </c>
      <c r="Q7">
        <f t="shared" si="19"/>
        <v>1.7736596163305463E-2</v>
      </c>
      <c r="R7">
        <f t="shared" si="19"/>
        <v>1.7736596163305463E-2</v>
      </c>
      <c r="S7">
        <f t="shared" si="19"/>
        <v>1.7736596163305463E-2</v>
      </c>
      <c r="T7">
        <f t="shared" si="19"/>
        <v>1.7736596163305463E-2</v>
      </c>
      <c r="U7">
        <f t="shared" si="19"/>
        <v>1.7736596163305463E-2</v>
      </c>
      <c r="V7">
        <f t="shared" si="19"/>
        <v>1.7736596163305463E-2</v>
      </c>
      <c r="W7">
        <f t="shared" si="19"/>
        <v>1.7736596163305463E-2</v>
      </c>
      <c r="X7">
        <f t="shared" si="19"/>
        <v>1.7736596163305463E-2</v>
      </c>
      <c r="Y7">
        <f t="shared" si="19"/>
        <v>1.7736596163305463E-2</v>
      </c>
      <c r="Z7">
        <f t="shared" si="19"/>
        <v>1.7736596163305463E-2</v>
      </c>
      <c r="AA7">
        <f t="shared" si="19"/>
        <v>1.7736596163305463E-2</v>
      </c>
      <c r="AB7">
        <f t="shared" si="19"/>
        <v>1.7736596163305463E-2</v>
      </c>
      <c r="AC7">
        <f t="shared" si="19"/>
        <v>1.7736596163305463E-2</v>
      </c>
      <c r="AD7">
        <f t="shared" si="19"/>
        <v>1.7736596163305463E-2</v>
      </c>
      <c r="AE7">
        <f t="shared" si="19"/>
        <v>1.7736596163305463E-2</v>
      </c>
      <c r="AF7">
        <f t="shared" si="19"/>
        <v>1.7736596163305463E-2</v>
      </c>
      <c r="AG7">
        <f t="shared" si="19"/>
        <v>1.7736596163305463E-2</v>
      </c>
      <c r="AH7">
        <f t="shared" si="19"/>
        <v>1.7736596163305463E-2</v>
      </c>
      <c r="AI7">
        <f t="shared" si="19"/>
        <v>1.7736596163305463E-2</v>
      </c>
      <c r="AJ7">
        <f t="shared" si="19"/>
        <v>1.7736596163305463E-2</v>
      </c>
      <c r="AK7">
        <f t="shared" ref="AK7:BP7" si="20">0.0135*($D$7)</f>
        <v>1.7736596163305463E-2</v>
      </c>
      <c r="AL7">
        <f t="shared" si="20"/>
        <v>1.7736596163305463E-2</v>
      </c>
      <c r="AM7">
        <f t="shared" si="20"/>
        <v>1.7736596163305463E-2</v>
      </c>
      <c r="AN7">
        <f t="shared" si="20"/>
        <v>1.7736596163305463E-2</v>
      </c>
      <c r="AO7">
        <f t="shared" si="20"/>
        <v>1.7736596163305463E-2</v>
      </c>
      <c r="AP7">
        <f t="shared" si="20"/>
        <v>1.7736596163305463E-2</v>
      </c>
      <c r="AQ7">
        <f t="shared" si="20"/>
        <v>1.7736596163305463E-2</v>
      </c>
      <c r="AR7">
        <f t="shared" si="20"/>
        <v>1.7736596163305463E-2</v>
      </c>
      <c r="AS7">
        <f t="shared" si="20"/>
        <v>1.7736596163305463E-2</v>
      </c>
      <c r="AT7">
        <f t="shared" si="20"/>
        <v>1.7736596163305463E-2</v>
      </c>
      <c r="AU7">
        <f t="shared" si="20"/>
        <v>1.7736596163305463E-2</v>
      </c>
      <c r="AV7">
        <f t="shared" si="20"/>
        <v>1.7736596163305463E-2</v>
      </c>
      <c r="AW7">
        <f t="shared" si="20"/>
        <v>1.7736596163305463E-2</v>
      </c>
      <c r="AX7">
        <f t="shared" si="20"/>
        <v>1.7736596163305463E-2</v>
      </c>
      <c r="AY7">
        <f t="shared" si="20"/>
        <v>1.7736596163305463E-2</v>
      </c>
      <c r="AZ7">
        <f t="shared" si="20"/>
        <v>1.7736596163305463E-2</v>
      </c>
      <c r="BA7">
        <f t="shared" si="20"/>
        <v>1.7736596163305463E-2</v>
      </c>
      <c r="BB7">
        <f t="shared" si="20"/>
        <v>1.7736596163305463E-2</v>
      </c>
      <c r="BC7">
        <f t="shared" si="20"/>
        <v>1.7736596163305463E-2</v>
      </c>
      <c r="BD7">
        <f t="shared" si="20"/>
        <v>1.7736596163305463E-2</v>
      </c>
      <c r="BE7">
        <f t="shared" si="20"/>
        <v>1.7736596163305463E-2</v>
      </c>
      <c r="BF7">
        <f t="shared" si="20"/>
        <v>1.7736596163305463E-2</v>
      </c>
      <c r="BG7">
        <f t="shared" si="20"/>
        <v>1.7736596163305463E-2</v>
      </c>
      <c r="BH7">
        <f t="shared" si="20"/>
        <v>1.7736596163305463E-2</v>
      </c>
      <c r="BI7">
        <f t="shared" si="20"/>
        <v>1.7736596163305463E-2</v>
      </c>
      <c r="BJ7">
        <f t="shared" si="20"/>
        <v>1.7736596163305463E-2</v>
      </c>
      <c r="BK7">
        <f t="shared" si="20"/>
        <v>1.7736596163305463E-2</v>
      </c>
      <c r="BL7">
        <f t="shared" si="20"/>
        <v>1.7736596163305463E-2</v>
      </c>
      <c r="BM7">
        <f t="shared" si="20"/>
        <v>1.7736596163305463E-2</v>
      </c>
      <c r="BN7">
        <f t="shared" si="20"/>
        <v>1.7736596163305463E-2</v>
      </c>
      <c r="BO7">
        <f t="shared" si="20"/>
        <v>1.7736596163305463E-2</v>
      </c>
      <c r="BP7">
        <f t="shared" si="20"/>
        <v>1.7736596163305463E-2</v>
      </c>
      <c r="BQ7">
        <f t="shared" ref="BQ7:BV7" si="21">0.0135*($D$7)</f>
        <v>1.7736596163305463E-2</v>
      </c>
      <c r="BR7">
        <f t="shared" si="21"/>
        <v>1.7736596163305463E-2</v>
      </c>
      <c r="BS7">
        <f t="shared" si="21"/>
        <v>1.7736596163305463E-2</v>
      </c>
      <c r="BT7">
        <f t="shared" si="21"/>
        <v>1.7736596163305463E-2</v>
      </c>
      <c r="BU7">
        <f t="shared" si="21"/>
        <v>1.7736596163305463E-2</v>
      </c>
      <c r="BV7">
        <f t="shared" si="21"/>
        <v>1.7736596163305463E-2</v>
      </c>
      <c r="BW7">
        <f t="shared" si="9"/>
        <v>1.7736596163305463E-2</v>
      </c>
      <c r="BX7">
        <f t="shared" si="5"/>
        <v>1.7736596163305463E-2</v>
      </c>
      <c r="BY7">
        <f t="shared" si="5"/>
        <v>1.7736596163305463E-2</v>
      </c>
      <c r="BZ7">
        <f t="shared" si="5"/>
        <v>1.7736596163305463E-2</v>
      </c>
      <c r="CA7">
        <f t="shared" si="5"/>
        <v>1.7736596163305463E-2</v>
      </c>
      <c r="CB7">
        <f t="shared" si="5"/>
        <v>1.7736596163305463E-2</v>
      </c>
      <c r="CC7">
        <f t="shared" si="5"/>
        <v>1.7736596163305463E-2</v>
      </c>
      <c r="CD7">
        <f t="shared" si="5"/>
        <v>1.7736596163305463E-2</v>
      </c>
      <c r="CE7">
        <f t="shared" si="5"/>
        <v>1.7736596163305463E-2</v>
      </c>
      <c r="CF7">
        <f t="shared" si="5"/>
        <v>1.7736596163305463E-2</v>
      </c>
      <c r="CG7">
        <f t="shared" si="5"/>
        <v>1.7736596163305463E-2</v>
      </c>
      <c r="CH7">
        <f t="shared" si="5"/>
        <v>1.7736596163305463E-2</v>
      </c>
      <c r="CI7">
        <f t="shared" si="5"/>
        <v>1.7736596163305463E-2</v>
      </c>
      <c r="CJ7">
        <f t="shared" si="5"/>
        <v>1.7736596163305463E-2</v>
      </c>
      <c r="CK7">
        <f t="shared" si="5"/>
        <v>1.7736596163305463E-2</v>
      </c>
      <c r="CL7">
        <f t="shared" si="5"/>
        <v>1.7736596163305463E-2</v>
      </c>
      <c r="CM7">
        <f t="shared" si="5"/>
        <v>1.7736596163305463E-2</v>
      </c>
      <c r="CN7">
        <f t="shared" si="5"/>
        <v>1.7736596163305463E-2</v>
      </c>
      <c r="CO7">
        <f t="shared" si="5"/>
        <v>1.7736596163305463E-2</v>
      </c>
      <c r="CP7">
        <f t="shared" si="5"/>
        <v>1.7736596163305463E-2</v>
      </c>
      <c r="CQ7">
        <f t="shared" si="5"/>
        <v>1.7736596163305463E-2</v>
      </c>
      <c r="CR7">
        <f t="shared" si="5"/>
        <v>1.7736596163305463E-2</v>
      </c>
      <c r="CS7">
        <f t="shared" si="5"/>
        <v>1.7736596163305463E-2</v>
      </c>
      <c r="CT7">
        <f t="shared" si="5"/>
        <v>1.7736596163305463E-2</v>
      </c>
      <c r="CU7">
        <f t="shared" si="5"/>
        <v>1.7736596163305463E-2</v>
      </c>
      <c r="CV7">
        <f t="shared" si="5"/>
        <v>1.7736596163305463E-2</v>
      </c>
      <c r="CW7">
        <f t="shared" si="5"/>
        <v>1.7736596163305463E-2</v>
      </c>
      <c r="CX7">
        <f t="shared" si="5"/>
        <v>1.7736596163305463E-2</v>
      </c>
      <c r="CY7">
        <f t="shared" si="5"/>
        <v>1.7736596163305463E-2</v>
      </c>
      <c r="CZ7">
        <f t="shared" si="5"/>
        <v>1.7736596163305463E-2</v>
      </c>
    </row>
    <row r="8" spans="1:104" x14ac:dyDescent="0.25">
      <c r="A8" s="463" t="s">
        <v>822</v>
      </c>
      <c r="B8" s="463" t="s">
        <v>268</v>
      </c>
      <c r="C8">
        <v>2002</v>
      </c>
      <c r="D8">
        <f t="shared" si="1"/>
        <v>1.6980292434837889</v>
      </c>
      <c r="E8">
        <f t="shared" ref="E8:AJ8" si="22">0.0256*($D$8)</f>
        <v>4.3469548633185001E-2</v>
      </c>
      <c r="F8">
        <f t="shared" si="22"/>
        <v>4.3469548633185001E-2</v>
      </c>
      <c r="G8">
        <f t="shared" si="22"/>
        <v>4.3469548633185001E-2</v>
      </c>
      <c r="H8">
        <f t="shared" si="22"/>
        <v>4.3469548633185001E-2</v>
      </c>
      <c r="I8">
        <f t="shared" si="22"/>
        <v>4.3469548633185001E-2</v>
      </c>
      <c r="J8">
        <f t="shared" si="22"/>
        <v>4.3469548633185001E-2</v>
      </c>
      <c r="K8">
        <f t="shared" si="22"/>
        <v>4.3469548633185001E-2</v>
      </c>
      <c r="L8">
        <f t="shared" si="22"/>
        <v>4.3469548633185001E-2</v>
      </c>
      <c r="M8">
        <f t="shared" si="22"/>
        <v>4.3469548633185001E-2</v>
      </c>
      <c r="N8">
        <f t="shared" si="22"/>
        <v>4.3469548633185001E-2</v>
      </c>
      <c r="O8">
        <f t="shared" si="22"/>
        <v>4.3469548633185001E-2</v>
      </c>
      <c r="P8">
        <f t="shared" si="22"/>
        <v>4.3469548633185001E-2</v>
      </c>
      <c r="Q8">
        <f t="shared" si="22"/>
        <v>4.3469548633185001E-2</v>
      </c>
      <c r="R8">
        <f t="shared" si="22"/>
        <v>4.3469548633185001E-2</v>
      </c>
      <c r="S8">
        <f t="shared" si="22"/>
        <v>4.3469548633185001E-2</v>
      </c>
      <c r="T8">
        <f t="shared" si="22"/>
        <v>4.3469548633185001E-2</v>
      </c>
      <c r="U8">
        <f t="shared" si="22"/>
        <v>4.3469548633185001E-2</v>
      </c>
      <c r="V8">
        <f t="shared" si="22"/>
        <v>4.3469548633185001E-2</v>
      </c>
      <c r="W8">
        <f t="shared" si="22"/>
        <v>4.3469548633185001E-2</v>
      </c>
      <c r="X8">
        <f t="shared" si="22"/>
        <v>4.3469548633185001E-2</v>
      </c>
      <c r="Y8">
        <f t="shared" si="22"/>
        <v>4.3469548633185001E-2</v>
      </c>
      <c r="Z8">
        <f t="shared" si="22"/>
        <v>4.3469548633185001E-2</v>
      </c>
      <c r="AA8">
        <f t="shared" si="22"/>
        <v>4.3469548633185001E-2</v>
      </c>
      <c r="AB8">
        <f t="shared" si="22"/>
        <v>4.3469548633185001E-2</v>
      </c>
      <c r="AC8">
        <f t="shared" si="22"/>
        <v>4.3469548633185001E-2</v>
      </c>
      <c r="AD8">
        <f t="shared" si="22"/>
        <v>4.3469548633185001E-2</v>
      </c>
      <c r="AE8">
        <f t="shared" si="22"/>
        <v>4.3469548633185001E-2</v>
      </c>
      <c r="AF8">
        <f t="shared" si="22"/>
        <v>4.3469548633185001E-2</v>
      </c>
      <c r="AG8">
        <f t="shared" si="22"/>
        <v>4.3469548633185001E-2</v>
      </c>
      <c r="AH8">
        <f t="shared" si="22"/>
        <v>4.3469548633185001E-2</v>
      </c>
      <c r="AI8">
        <f t="shared" si="22"/>
        <v>4.3469548633185001E-2</v>
      </c>
      <c r="AJ8">
        <f t="shared" si="22"/>
        <v>4.3469548633185001E-2</v>
      </c>
      <c r="AK8">
        <f t="shared" ref="AK8:BP8" si="23">0.0256*($D$8)</f>
        <v>4.3469548633185001E-2</v>
      </c>
      <c r="AL8">
        <f t="shared" si="23"/>
        <v>4.3469548633185001E-2</v>
      </c>
      <c r="AM8">
        <f t="shared" si="23"/>
        <v>4.3469548633185001E-2</v>
      </c>
      <c r="AN8">
        <f t="shared" si="23"/>
        <v>4.3469548633185001E-2</v>
      </c>
      <c r="AO8">
        <f t="shared" si="23"/>
        <v>4.3469548633185001E-2</v>
      </c>
      <c r="AP8">
        <f t="shared" si="23"/>
        <v>4.3469548633185001E-2</v>
      </c>
      <c r="AQ8">
        <f t="shared" si="23"/>
        <v>4.3469548633185001E-2</v>
      </c>
      <c r="AR8">
        <f t="shared" si="23"/>
        <v>4.3469548633185001E-2</v>
      </c>
      <c r="AS8">
        <f t="shared" si="23"/>
        <v>4.3469548633185001E-2</v>
      </c>
      <c r="AT8">
        <f t="shared" si="23"/>
        <v>4.3469548633185001E-2</v>
      </c>
      <c r="AU8">
        <f t="shared" si="23"/>
        <v>4.3469548633185001E-2</v>
      </c>
      <c r="AV8">
        <f t="shared" si="23"/>
        <v>4.3469548633185001E-2</v>
      </c>
      <c r="AW8">
        <f t="shared" si="23"/>
        <v>4.3469548633185001E-2</v>
      </c>
      <c r="AX8">
        <f t="shared" si="23"/>
        <v>4.3469548633185001E-2</v>
      </c>
      <c r="AY8">
        <f t="shared" si="23"/>
        <v>4.3469548633185001E-2</v>
      </c>
      <c r="AZ8">
        <f t="shared" si="23"/>
        <v>4.3469548633185001E-2</v>
      </c>
      <c r="BA8">
        <f t="shared" si="23"/>
        <v>4.3469548633185001E-2</v>
      </c>
      <c r="BB8">
        <f t="shared" si="23"/>
        <v>4.3469548633185001E-2</v>
      </c>
      <c r="BC8">
        <f t="shared" si="23"/>
        <v>4.3469548633185001E-2</v>
      </c>
      <c r="BD8">
        <f t="shared" si="23"/>
        <v>4.3469548633185001E-2</v>
      </c>
      <c r="BE8">
        <f t="shared" si="23"/>
        <v>4.3469548633185001E-2</v>
      </c>
      <c r="BF8">
        <f t="shared" si="23"/>
        <v>4.3469548633185001E-2</v>
      </c>
      <c r="BG8">
        <f t="shared" si="23"/>
        <v>4.3469548633185001E-2</v>
      </c>
      <c r="BH8">
        <f t="shared" si="23"/>
        <v>4.3469548633185001E-2</v>
      </c>
      <c r="BI8">
        <f t="shared" si="23"/>
        <v>4.3469548633185001E-2</v>
      </c>
      <c r="BJ8">
        <f t="shared" si="23"/>
        <v>4.3469548633185001E-2</v>
      </c>
      <c r="BK8">
        <f t="shared" si="23"/>
        <v>4.3469548633185001E-2</v>
      </c>
      <c r="BL8">
        <f t="shared" si="23"/>
        <v>4.3469548633185001E-2</v>
      </c>
      <c r="BM8">
        <f t="shared" si="23"/>
        <v>4.3469548633185001E-2</v>
      </c>
      <c r="BN8">
        <f t="shared" si="23"/>
        <v>4.3469548633185001E-2</v>
      </c>
      <c r="BO8">
        <f t="shared" si="23"/>
        <v>4.3469548633185001E-2</v>
      </c>
      <c r="BP8">
        <f t="shared" si="23"/>
        <v>4.3469548633185001E-2</v>
      </c>
      <c r="BQ8">
        <f t="shared" ref="BQ8:BV8" si="24">0.0256*($D$8)</f>
        <v>4.3469548633185001E-2</v>
      </c>
      <c r="BR8">
        <f t="shared" si="24"/>
        <v>4.3469548633185001E-2</v>
      </c>
      <c r="BS8">
        <f t="shared" si="24"/>
        <v>4.3469548633185001E-2</v>
      </c>
      <c r="BT8">
        <f t="shared" si="24"/>
        <v>4.3469548633185001E-2</v>
      </c>
      <c r="BU8">
        <f t="shared" si="24"/>
        <v>4.3469548633185001E-2</v>
      </c>
      <c r="BV8">
        <f t="shared" si="24"/>
        <v>4.3469548633185001E-2</v>
      </c>
      <c r="BW8">
        <f t="shared" si="9"/>
        <v>4.3469548633185001E-2</v>
      </c>
      <c r="BX8">
        <f t="shared" si="5"/>
        <v>4.3469548633185001E-2</v>
      </c>
      <c r="BY8">
        <f t="shared" si="5"/>
        <v>4.3469548633185001E-2</v>
      </c>
      <c r="BZ8">
        <f t="shared" si="5"/>
        <v>4.3469548633185001E-2</v>
      </c>
      <c r="CA8">
        <f t="shared" si="5"/>
        <v>4.3469548633185001E-2</v>
      </c>
      <c r="CB8">
        <f t="shared" si="5"/>
        <v>4.3469548633185001E-2</v>
      </c>
      <c r="CC8">
        <f t="shared" si="5"/>
        <v>4.3469548633185001E-2</v>
      </c>
      <c r="CD8">
        <f t="shared" si="5"/>
        <v>4.3469548633185001E-2</v>
      </c>
      <c r="CE8">
        <f t="shared" si="5"/>
        <v>4.3469548633185001E-2</v>
      </c>
      <c r="CF8">
        <f t="shared" si="5"/>
        <v>4.3469548633185001E-2</v>
      </c>
      <c r="CG8">
        <f t="shared" si="5"/>
        <v>4.3469548633185001E-2</v>
      </c>
      <c r="CH8">
        <f t="shared" si="5"/>
        <v>4.3469548633185001E-2</v>
      </c>
      <c r="CI8">
        <f t="shared" si="5"/>
        <v>4.3469548633185001E-2</v>
      </c>
      <c r="CJ8">
        <f t="shared" si="5"/>
        <v>4.3469548633185001E-2</v>
      </c>
      <c r="CK8">
        <f t="shared" si="5"/>
        <v>4.3469548633185001E-2</v>
      </c>
      <c r="CL8">
        <f t="shared" si="5"/>
        <v>4.3469548633185001E-2</v>
      </c>
      <c r="CM8">
        <f t="shared" si="5"/>
        <v>4.3469548633185001E-2</v>
      </c>
      <c r="CN8">
        <f t="shared" si="5"/>
        <v>4.3469548633185001E-2</v>
      </c>
      <c r="CO8">
        <f t="shared" si="5"/>
        <v>4.3469548633185001E-2</v>
      </c>
      <c r="CP8">
        <f t="shared" si="5"/>
        <v>4.3469548633185001E-2</v>
      </c>
      <c r="CQ8">
        <f t="shared" si="5"/>
        <v>4.3469548633185001E-2</v>
      </c>
      <c r="CR8">
        <f t="shared" si="5"/>
        <v>4.3469548633185001E-2</v>
      </c>
      <c r="CS8">
        <f t="shared" si="5"/>
        <v>4.3469548633185001E-2</v>
      </c>
      <c r="CT8">
        <f t="shared" si="5"/>
        <v>4.3469548633185001E-2</v>
      </c>
      <c r="CU8">
        <f t="shared" si="5"/>
        <v>4.3469548633185001E-2</v>
      </c>
      <c r="CV8">
        <f t="shared" si="5"/>
        <v>4.3469548633185001E-2</v>
      </c>
      <c r="CW8">
        <f t="shared" si="5"/>
        <v>4.3469548633185001E-2</v>
      </c>
      <c r="CX8">
        <f t="shared" si="5"/>
        <v>4.3469548633185001E-2</v>
      </c>
      <c r="CY8">
        <f t="shared" si="5"/>
        <v>4.3469548633185001E-2</v>
      </c>
      <c r="CZ8">
        <f t="shared" si="5"/>
        <v>4.3469548633185001E-2</v>
      </c>
    </row>
  </sheetData>
  <phoneticPr fontId="4"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51"/>
    <pageSetUpPr fitToPage="1"/>
  </sheetPr>
  <dimension ref="A1:BT929"/>
  <sheetViews>
    <sheetView workbookViewId="0">
      <selection sqref="A1:BT1"/>
    </sheetView>
  </sheetViews>
  <sheetFormatPr defaultRowHeight="13.2" x14ac:dyDescent="0.25"/>
  <cols>
    <col min="1" max="1" width="27.88671875" customWidth="1"/>
    <col min="2" max="2" width="19.88671875" customWidth="1"/>
    <col min="3" max="3" width="16.5546875" customWidth="1"/>
    <col min="4" max="4" width="11.44140625" customWidth="1"/>
    <col min="5" max="5" width="9.6640625" customWidth="1"/>
    <col min="6" max="6" width="10.33203125" customWidth="1"/>
    <col min="7" max="7" width="10.44140625" customWidth="1"/>
    <col min="8" max="8" width="9.5546875" customWidth="1"/>
    <col min="9" max="10" width="10" customWidth="1"/>
    <col min="11" max="11" width="10.6640625" customWidth="1"/>
    <col min="12" max="12" width="9.5546875" customWidth="1"/>
    <col min="13" max="13" width="10.6640625" customWidth="1"/>
    <col min="14" max="14" width="10.33203125" customWidth="1"/>
    <col min="15" max="15" width="9.5546875" customWidth="1"/>
    <col min="16" max="16" width="9.6640625" customWidth="1"/>
    <col min="17" max="17" width="10" customWidth="1"/>
    <col min="18" max="19" width="9.6640625" customWidth="1"/>
    <col min="20" max="20" width="10" customWidth="1"/>
    <col min="21" max="22" width="9.6640625" customWidth="1"/>
    <col min="23" max="23" width="10" customWidth="1"/>
    <col min="24" max="24" width="9.6640625" customWidth="1"/>
    <col min="25" max="25" width="10.6640625" customWidth="1"/>
    <col min="26" max="26" width="10.33203125" customWidth="1"/>
    <col min="27" max="27" width="10" customWidth="1"/>
    <col min="28" max="28" width="9.6640625" customWidth="1"/>
    <col min="29" max="29" width="10.33203125" customWidth="1"/>
    <col min="30" max="30" width="10.44140625" customWidth="1"/>
    <col min="31" max="31" width="9.5546875" customWidth="1"/>
    <col min="32" max="32" width="10" customWidth="1"/>
    <col min="33" max="33" width="9.33203125" customWidth="1"/>
    <col min="34" max="34" width="10" customWidth="1"/>
    <col min="35" max="35" width="10.33203125" customWidth="1"/>
    <col min="36" max="36" width="9.6640625" customWidth="1"/>
    <col min="37" max="37" width="9.5546875" customWidth="1"/>
    <col min="38" max="38" width="9.6640625" customWidth="1"/>
    <col min="39" max="39" width="10.33203125" customWidth="1"/>
    <col min="40" max="42" width="9.6640625" customWidth="1"/>
    <col min="43" max="43" width="9.33203125" customWidth="1"/>
    <col min="44" max="44" width="9.5546875" customWidth="1"/>
    <col min="45" max="45" width="9.6640625" customWidth="1"/>
    <col min="46" max="46" width="10.33203125" customWidth="1"/>
    <col min="47" max="47" width="10.44140625" customWidth="1"/>
    <col min="48" max="48" width="9.5546875" customWidth="1"/>
    <col min="49" max="50" width="9.6640625" customWidth="1"/>
    <col min="51" max="52" width="9.5546875" customWidth="1"/>
    <col min="53" max="53" width="9.6640625" customWidth="1"/>
    <col min="54" max="54" width="9.5546875" customWidth="1"/>
    <col min="55" max="57" width="9.6640625" customWidth="1"/>
    <col min="58" max="58" width="9.5546875" customWidth="1"/>
    <col min="59" max="59" width="9.6640625" customWidth="1"/>
    <col min="60" max="60" width="9.5546875" customWidth="1"/>
    <col min="61" max="61" width="9.6640625" customWidth="1"/>
    <col min="62" max="62" width="10.33203125" customWidth="1"/>
    <col min="63" max="63" width="9.6640625" customWidth="1"/>
    <col min="64" max="64" width="10.33203125" customWidth="1"/>
    <col min="65" max="65" width="9.5546875" customWidth="1"/>
    <col min="66" max="66" width="9.6640625" customWidth="1"/>
    <col min="67" max="67" width="9.5546875" customWidth="1"/>
    <col min="68" max="68" width="9.6640625" customWidth="1"/>
    <col min="69" max="69" width="10.33203125" customWidth="1"/>
    <col min="70" max="70" width="9.6640625" customWidth="1"/>
    <col min="71" max="72" width="9.5546875" customWidth="1"/>
    <col min="73" max="73" width="10" customWidth="1"/>
  </cols>
  <sheetData>
    <row r="1" spans="1:72" ht="15.6" x14ac:dyDescent="0.3">
      <c r="A1" s="1719" t="s">
        <v>743</v>
      </c>
      <c r="B1" s="1719"/>
      <c r="C1" s="1719"/>
      <c r="D1" s="1719"/>
      <c r="E1" s="1719"/>
      <c r="F1" s="1719"/>
      <c r="G1" s="1719"/>
      <c r="H1" s="1719"/>
      <c r="I1" s="1719"/>
      <c r="J1" s="1719"/>
      <c r="K1" s="1719"/>
      <c r="L1" s="1719"/>
      <c r="M1" s="1719"/>
      <c r="N1" s="1719"/>
      <c r="O1" s="1719"/>
      <c r="P1" s="1719"/>
      <c r="Q1" s="1719"/>
      <c r="R1" s="1719"/>
      <c r="S1" s="1719"/>
      <c r="T1" s="1719"/>
      <c r="U1" s="1719"/>
      <c r="V1" s="1719"/>
      <c r="W1" s="1719"/>
      <c r="X1" s="1719"/>
      <c r="Y1" s="1719"/>
      <c r="Z1" s="1719"/>
      <c r="AA1" s="1719"/>
      <c r="AB1" s="1719"/>
      <c r="AC1" s="1719"/>
      <c r="AD1" s="1719"/>
      <c r="AE1" s="1719"/>
      <c r="AF1" s="1719"/>
      <c r="AG1" s="1719"/>
      <c r="AH1" s="1719"/>
      <c r="AI1" s="1719"/>
      <c r="AJ1" s="1719"/>
      <c r="AK1" s="1719"/>
      <c r="AL1" s="1719"/>
      <c r="AM1" s="1719"/>
      <c r="AN1" s="1719"/>
      <c r="AO1" s="1719"/>
      <c r="AP1" s="1719"/>
      <c r="AQ1" s="1719"/>
      <c r="AR1" s="1719"/>
      <c r="AS1" s="1719"/>
      <c r="AT1" s="1719"/>
      <c r="AU1" s="1719"/>
      <c r="AV1" s="1719"/>
      <c r="AW1" s="1719"/>
      <c r="AX1" s="1719"/>
      <c r="AY1" s="1719"/>
      <c r="AZ1" s="1719"/>
      <c r="BA1" s="1719"/>
      <c r="BB1" s="1719"/>
      <c r="BC1" s="1719"/>
      <c r="BD1" s="1719"/>
      <c r="BE1" s="1719"/>
      <c r="BF1" s="1719"/>
      <c r="BG1" s="1719"/>
      <c r="BH1" s="1719"/>
      <c r="BI1" s="1719"/>
      <c r="BJ1" s="1719"/>
      <c r="BK1" s="1719"/>
      <c r="BL1" s="1719"/>
      <c r="BM1" s="1719"/>
      <c r="BN1" s="1719"/>
      <c r="BO1" s="1719"/>
      <c r="BP1" s="1719"/>
      <c r="BQ1" s="1719"/>
      <c r="BR1" s="1719"/>
      <c r="BS1" s="1719"/>
      <c r="BT1" s="1719"/>
    </row>
    <row r="2" spans="1:72" x14ac:dyDescent="0.25">
      <c r="A2" s="1720" t="s">
        <v>744</v>
      </c>
      <c r="B2" s="1720"/>
      <c r="C2" s="1720"/>
      <c r="D2" s="1720"/>
      <c r="E2" s="1720"/>
      <c r="F2" s="1720"/>
      <c r="G2" s="1720"/>
      <c r="H2" s="1720"/>
      <c r="I2" s="1720"/>
      <c r="J2" s="1720"/>
      <c r="K2" s="1720"/>
      <c r="L2" s="1720"/>
      <c r="M2" s="1720"/>
      <c r="N2" s="1720"/>
      <c r="O2" s="1720"/>
      <c r="P2" s="1720"/>
      <c r="Q2" s="1720"/>
      <c r="R2" s="1720"/>
      <c r="S2" s="1720"/>
      <c r="T2" s="1720"/>
      <c r="U2" s="1720"/>
      <c r="V2" s="1720"/>
      <c r="W2" s="1720"/>
      <c r="X2" s="1720"/>
      <c r="Y2" s="1720"/>
      <c r="Z2" s="1720"/>
      <c r="AA2" s="1720"/>
      <c r="AB2" s="1720"/>
      <c r="AC2" s="1720"/>
      <c r="AD2" s="1720"/>
      <c r="AE2" s="1720"/>
      <c r="AF2" s="1720"/>
      <c r="AG2" s="1720"/>
      <c r="AH2" s="1720"/>
      <c r="AI2" s="1720"/>
      <c r="AJ2" s="1720"/>
      <c r="AK2" s="1720"/>
      <c r="AL2" s="1720"/>
      <c r="AM2" s="1720"/>
      <c r="AN2" s="1720"/>
      <c r="AO2" s="1720"/>
      <c r="AP2" s="1720"/>
      <c r="AQ2" s="1720"/>
      <c r="AR2" s="1720"/>
      <c r="AS2" s="1720"/>
      <c r="AT2" s="1720"/>
      <c r="AU2" s="1720"/>
      <c r="AV2" s="1720"/>
      <c r="AW2" s="1720"/>
      <c r="AX2" s="1720"/>
      <c r="AY2" s="1720"/>
      <c r="AZ2" s="1720"/>
      <c r="BA2" s="1720"/>
      <c r="BB2" s="1720"/>
      <c r="BC2" s="1720"/>
      <c r="BD2" s="1720"/>
      <c r="BE2" s="1720"/>
      <c r="BF2" s="1720"/>
      <c r="BG2" s="1720"/>
      <c r="BH2" s="1720"/>
      <c r="BI2" s="1720"/>
      <c r="BJ2" s="1720"/>
      <c r="BK2" s="1720"/>
      <c r="BL2" s="1720"/>
      <c r="BM2" s="1720"/>
      <c r="BN2" s="1720"/>
      <c r="BO2" s="1720"/>
      <c r="BP2" s="1720"/>
      <c r="BQ2" s="1720"/>
      <c r="BR2" s="1720"/>
      <c r="BS2" s="1720"/>
      <c r="BT2" s="1720"/>
    </row>
    <row r="3" spans="1:72" ht="13.8" thickBot="1" x14ac:dyDescent="0.3">
      <c r="A3" s="1721"/>
      <c r="B3" s="1721"/>
      <c r="C3" s="1721"/>
      <c r="D3" s="1721"/>
      <c r="E3" s="1721"/>
      <c r="F3" s="1721"/>
      <c r="G3" s="1721"/>
      <c r="H3" s="1721"/>
      <c r="I3" s="1721"/>
      <c r="J3" s="1721"/>
      <c r="K3" s="1721"/>
      <c r="L3" s="1721"/>
      <c r="M3" s="1721"/>
      <c r="N3" s="1721"/>
      <c r="O3" s="1721"/>
      <c r="P3" s="1721"/>
      <c r="Q3" s="1721"/>
      <c r="R3" s="1721"/>
      <c r="S3" s="1721"/>
      <c r="T3" s="1721"/>
      <c r="U3" s="1721"/>
      <c r="V3" s="1721"/>
      <c r="W3" s="1721"/>
      <c r="X3" s="1721"/>
      <c r="Y3" s="1721"/>
      <c r="Z3" s="1721"/>
      <c r="AA3" s="1721"/>
      <c r="AB3" s="1721"/>
      <c r="AC3" s="1721"/>
      <c r="AD3" s="1721"/>
      <c r="AE3" s="1721"/>
      <c r="AF3" s="1721"/>
      <c r="AG3" s="1721"/>
      <c r="AH3" s="1721"/>
      <c r="AI3" s="1721"/>
      <c r="AJ3" s="1721"/>
      <c r="AK3" s="1721"/>
      <c r="AL3" s="1721"/>
      <c r="AM3" s="1721"/>
      <c r="AN3" s="1721"/>
      <c r="AO3" s="1721"/>
      <c r="AP3" s="1721"/>
      <c r="AQ3" s="1721"/>
      <c r="AR3" s="1721"/>
      <c r="AS3" s="1721"/>
      <c r="AT3" s="1721"/>
      <c r="AU3" s="1721"/>
      <c r="AV3" s="1721"/>
      <c r="AW3" s="1721"/>
      <c r="AX3" s="1721"/>
      <c r="AY3" s="1721"/>
      <c r="AZ3" s="1721"/>
      <c r="BA3" s="1721"/>
      <c r="BB3" s="1721"/>
      <c r="BC3" s="1721"/>
      <c r="BD3" s="1721"/>
      <c r="BE3" s="1721"/>
      <c r="BF3" s="1721"/>
      <c r="BG3" s="1721"/>
      <c r="BH3" s="1721"/>
      <c r="BI3" s="1721"/>
      <c r="BJ3" s="1721"/>
      <c r="BK3" s="1721"/>
      <c r="BL3" s="1721"/>
      <c r="BM3" s="1721"/>
      <c r="BN3" s="1721"/>
      <c r="BO3" s="1721"/>
      <c r="BP3" s="1721"/>
      <c r="BQ3" s="1721"/>
      <c r="BR3" s="1721"/>
      <c r="BS3" s="1721"/>
      <c r="BT3" s="1721"/>
    </row>
    <row r="4" spans="1:72" x14ac:dyDescent="0.25">
      <c r="A4" s="907"/>
      <c r="B4" s="908" t="s">
        <v>1050</v>
      </c>
      <c r="C4" s="909">
        <v>2001</v>
      </c>
      <c r="D4" s="909">
        <v>2002</v>
      </c>
      <c r="E4" s="909">
        <v>2003</v>
      </c>
      <c r="F4" s="909">
        <v>2004</v>
      </c>
      <c r="G4" s="909">
        <v>2005</v>
      </c>
      <c r="H4" s="909">
        <v>2006</v>
      </c>
      <c r="I4" s="909">
        <v>2007</v>
      </c>
      <c r="J4" s="909">
        <v>2008</v>
      </c>
      <c r="K4" s="909">
        <v>2009</v>
      </c>
      <c r="L4" s="909">
        <v>2010</v>
      </c>
      <c r="M4" s="909">
        <v>2011</v>
      </c>
      <c r="N4" s="909">
        <v>2012</v>
      </c>
      <c r="O4" s="909">
        <v>2013</v>
      </c>
      <c r="P4" s="909">
        <v>2014</v>
      </c>
      <c r="Q4" s="909">
        <v>2015</v>
      </c>
      <c r="R4" s="909">
        <v>2016</v>
      </c>
      <c r="S4" s="909">
        <v>2017</v>
      </c>
      <c r="T4" s="909">
        <v>2018</v>
      </c>
      <c r="U4" s="909">
        <v>2019</v>
      </c>
      <c r="V4" s="909">
        <v>2020</v>
      </c>
      <c r="W4" s="909">
        <v>2021</v>
      </c>
      <c r="X4" s="909">
        <v>2022</v>
      </c>
      <c r="Y4" s="909">
        <v>2023</v>
      </c>
      <c r="Z4" s="909">
        <v>2024</v>
      </c>
      <c r="AA4" s="909">
        <v>2025</v>
      </c>
      <c r="AB4" s="909">
        <v>2026</v>
      </c>
      <c r="AC4" s="909">
        <v>2027</v>
      </c>
      <c r="AD4" s="909">
        <v>2028</v>
      </c>
      <c r="AE4" s="909">
        <v>2029</v>
      </c>
      <c r="AF4" s="909">
        <v>2030</v>
      </c>
      <c r="AG4" s="909">
        <v>2031</v>
      </c>
      <c r="AH4" s="909">
        <v>2032</v>
      </c>
      <c r="AI4" s="909">
        <v>2033</v>
      </c>
      <c r="AJ4" s="909">
        <v>2034</v>
      </c>
      <c r="AK4" s="909">
        <v>2035</v>
      </c>
      <c r="AL4" s="909">
        <v>2036</v>
      </c>
      <c r="AM4" s="909">
        <v>2037</v>
      </c>
      <c r="AN4" s="909">
        <v>2038</v>
      </c>
      <c r="AO4" s="909">
        <v>2039</v>
      </c>
      <c r="AP4" s="909">
        <v>2040</v>
      </c>
      <c r="AQ4" s="909">
        <v>2041</v>
      </c>
      <c r="AR4" s="909">
        <v>2042</v>
      </c>
      <c r="AS4" s="909">
        <v>2043</v>
      </c>
      <c r="AT4" s="909">
        <v>2044</v>
      </c>
      <c r="AU4" s="909">
        <v>2045</v>
      </c>
      <c r="AV4" s="909">
        <v>2046</v>
      </c>
      <c r="AW4" s="909">
        <v>2047</v>
      </c>
      <c r="AX4" s="909">
        <v>2048</v>
      </c>
      <c r="AY4" s="909">
        <v>2049</v>
      </c>
      <c r="AZ4" s="909">
        <v>2050</v>
      </c>
      <c r="BA4" s="909">
        <v>2051</v>
      </c>
      <c r="BB4" s="909">
        <v>2052</v>
      </c>
      <c r="BC4" s="909">
        <v>2053</v>
      </c>
      <c r="BD4" s="909">
        <v>2054</v>
      </c>
      <c r="BE4" s="909">
        <v>2056</v>
      </c>
      <c r="BF4" s="909">
        <v>2056</v>
      </c>
      <c r="BG4" s="909">
        <v>2057</v>
      </c>
      <c r="BH4" s="909">
        <v>2058</v>
      </c>
      <c r="BI4" s="909">
        <v>2059</v>
      </c>
      <c r="BJ4" s="909">
        <v>2060</v>
      </c>
      <c r="BK4" s="909">
        <v>2061</v>
      </c>
      <c r="BL4" s="909">
        <v>2062</v>
      </c>
      <c r="BM4" s="909">
        <v>2063</v>
      </c>
      <c r="BN4" s="909">
        <v>2064</v>
      </c>
      <c r="BO4" s="909">
        <v>2065</v>
      </c>
      <c r="BP4" s="909">
        <v>2066</v>
      </c>
      <c r="BQ4" s="909">
        <v>2067</v>
      </c>
      <c r="BR4" s="909">
        <v>2068</v>
      </c>
      <c r="BS4" s="909">
        <v>2069</v>
      </c>
      <c r="BT4" s="910">
        <v>2070</v>
      </c>
    </row>
    <row r="5" spans="1:72" x14ac:dyDescent="0.25">
      <c r="A5" s="1722" t="s">
        <v>745</v>
      </c>
      <c r="B5" s="1723"/>
      <c r="C5" s="1723"/>
      <c r="D5" s="1723"/>
      <c r="E5" s="1723"/>
      <c r="F5" s="1723"/>
      <c r="G5" s="1723"/>
      <c r="H5" s="1723"/>
      <c r="I5" s="1723"/>
      <c r="J5" s="1723"/>
      <c r="K5" s="1723"/>
      <c r="L5" s="1723"/>
      <c r="M5" s="1723"/>
      <c r="N5" s="1723"/>
      <c r="O5" s="1723"/>
      <c r="P5" s="1723"/>
      <c r="Q5" s="1723"/>
      <c r="R5" s="1723"/>
      <c r="S5" s="1723"/>
      <c r="T5" s="1723"/>
      <c r="U5" s="1723"/>
      <c r="V5" s="1723"/>
      <c r="W5" s="1723"/>
      <c r="X5" s="1723"/>
      <c r="Y5" s="1723"/>
      <c r="Z5" s="1723"/>
      <c r="AA5" s="1723"/>
      <c r="AB5" s="1723"/>
      <c r="AC5" s="1723"/>
      <c r="AD5" s="1723"/>
      <c r="AE5" s="1723"/>
      <c r="AF5" s="1723"/>
      <c r="AG5" s="1723"/>
      <c r="AH5" s="1723"/>
      <c r="AI5" s="1723"/>
      <c r="AJ5" s="1723"/>
      <c r="AK5" s="1723"/>
      <c r="AL5" s="1723"/>
      <c r="AM5" s="1723"/>
      <c r="AN5" s="1723"/>
      <c r="AO5" s="1723"/>
      <c r="AP5" s="1723"/>
      <c r="AQ5" s="1723"/>
      <c r="AR5" s="1723"/>
      <c r="AS5" s="1723"/>
      <c r="AT5" s="1723"/>
      <c r="AU5" s="1723"/>
      <c r="AV5" s="1723"/>
      <c r="AW5" s="1723"/>
      <c r="AX5" s="1723"/>
      <c r="AY5" s="1723"/>
      <c r="AZ5" s="1723"/>
      <c r="BA5" s="1723"/>
      <c r="BB5" s="1723"/>
      <c r="BC5" s="1723"/>
      <c r="BD5" s="1723"/>
      <c r="BE5" s="1723"/>
      <c r="BF5" s="1723"/>
      <c r="BG5" s="1723"/>
      <c r="BH5" s="1723"/>
      <c r="BI5" s="1723"/>
      <c r="BJ5" s="1723"/>
      <c r="BK5" s="1723"/>
      <c r="BL5" s="1723"/>
      <c r="BM5" s="1723"/>
      <c r="BN5" s="1723"/>
      <c r="BO5" s="1723"/>
      <c r="BP5" s="1723"/>
      <c r="BQ5" s="1723"/>
      <c r="BR5" s="1723"/>
      <c r="BS5" s="1723"/>
      <c r="BT5" s="1724"/>
    </row>
    <row r="6" spans="1:72" x14ac:dyDescent="0.25">
      <c r="A6" s="911" t="s">
        <v>746</v>
      </c>
      <c r="B6" s="912" t="s">
        <v>747</v>
      </c>
      <c r="C6" s="913">
        <v>8.9541000728991982</v>
      </c>
      <c r="D6" s="913">
        <v>6.8979457774252282</v>
      </c>
      <c r="E6" s="913">
        <v>8.4197996967243682</v>
      </c>
      <c r="F6" s="913">
        <v>8.8059982398770913</v>
      </c>
      <c r="G6" s="913">
        <v>8.8656468751295598</v>
      </c>
      <c r="H6" s="913">
        <v>8.2234977371287847</v>
      </c>
      <c r="I6" s="913">
        <v>7.8073426530046319</v>
      </c>
      <c r="J6" s="913">
        <v>7.4325694992857168</v>
      </c>
      <c r="K6" s="913">
        <v>7.297531685739191</v>
      </c>
      <c r="L6" s="913">
        <v>7.1966502441550162</v>
      </c>
      <c r="M6" s="913">
        <v>7.2405429268783017</v>
      </c>
      <c r="N6" s="913">
        <v>7.2944294079294778</v>
      </c>
      <c r="O6" s="913">
        <v>7.4037989917791105</v>
      </c>
      <c r="P6" s="913">
        <v>7.5440859727139706</v>
      </c>
      <c r="Q6" s="913">
        <v>7.6385998163583153</v>
      </c>
      <c r="R6" s="913">
        <v>7.6698249061152577</v>
      </c>
      <c r="S6" s="913">
        <v>7.596507558282819</v>
      </c>
      <c r="T6" s="913">
        <v>7.644327174942454</v>
      </c>
      <c r="U6" s="913">
        <v>7.7875295315148705</v>
      </c>
      <c r="V6" s="913">
        <v>8.0180296178133954</v>
      </c>
      <c r="W6" s="913">
        <v>8.1425457338117244</v>
      </c>
      <c r="X6" s="913">
        <v>8.1602542175436898</v>
      </c>
      <c r="Y6" s="913">
        <v>8.1927349319997838</v>
      </c>
      <c r="Z6" s="913">
        <v>8.2544961582939571</v>
      </c>
      <c r="AA6" s="913">
        <v>8.3511330316651513</v>
      </c>
      <c r="AB6" s="914">
        <v>8.4290329061652454</v>
      </c>
      <c r="AC6" s="914">
        <v>8.5069327806653394</v>
      </c>
      <c r="AD6" s="914">
        <v>8.5848326551654335</v>
      </c>
      <c r="AE6" s="914">
        <v>8.6627325296655275</v>
      </c>
      <c r="AF6" s="914">
        <v>8.7406324041656216</v>
      </c>
      <c r="AG6" s="914">
        <v>8.8185322786657157</v>
      </c>
      <c r="AH6" s="914">
        <v>8.8964321531658097</v>
      </c>
      <c r="AI6" s="914">
        <v>8.9743320276659038</v>
      </c>
      <c r="AJ6" s="914">
        <v>9.0522319021659978</v>
      </c>
      <c r="AK6" s="914">
        <v>9.1301317766660848</v>
      </c>
      <c r="AL6" s="914">
        <v>9.2578200706648097</v>
      </c>
      <c r="AM6" s="914">
        <v>9.3855083646635347</v>
      </c>
      <c r="AN6" s="914">
        <v>9.5131966586622596</v>
      </c>
      <c r="AO6" s="914">
        <v>9.6408849526609846</v>
      </c>
      <c r="AP6" s="914">
        <v>9.7685732466597095</v>
      </c>
      <c r="AQ6" s="914">
        <v>9.8962615406584344</v>
      </c>
      <c r="AR6" s="914">
        <v>10.023949834657159</v>
      </c>
      <c r="AS6" s="914">
        <v>10.151638128655884</v>
      </c>
      <c r="AT6" s="914">
        <v>10.279326422654609</v>
      </c>
      <c r="AU6" s="914">
        <v>10.407014716653334</v>
      </c>
      <c r="AV6" s="914">
        <v>10.534703010652059</v>
      </c>
      <c r="AW6" s="914">
        <v>10.662391304650784</v>
      </c>
      <c r="AX6" s="914">
        <v>10.790079598649509</v>
      </c>
      <c r="AY6" s="914">
        <v>10.917767892648234</v>
      </c>
      <c r="AZ6" s="915">
        <v>11.045456186646948</v>
      </c>
      <c r="BA6" s="914">
        <v>11.066404719719236</v>
      </c>
      <c r="BB6" s="914">
        <v>11.087353252791523</v>
      </c>
      <c r="BC6" s="914">
        <v>11.10830178586381</v>
      </c>
      <c r="BD6" s="914">
        <v>11.129250318936098</v>
      </c>
      <c r="BE6" s="914">
        <v>11.150198852008385</v>
      </c>
      <c r="BF6" s="914">
        <v>11.171147385080673</v>
      </c>
      <c r="BG6" s="914">
        <v>11.19209591815296</v>
      </c>
      <c r="BH6" s="914">
        <v>11.213044451225247</v>
      </c>
      <c r="BI6" s="914">
        <v>11.233992984297535</v>
      </c>
      <c r="BJ6" s="914">
        <v>11.254941517369822</v>
      </c>
      <c r="BK6" s="914">
        <v>11.27589005044211</v>
      </c>
      <c r="BL6" s="914">
        <v>11.296838583514397</v>
      </c>
      <c r="BM6" s="914">
        <v>11.317787116586684</v>
      </c>
      <c r="BN6" s="914">
        <v>11.338735649658972</v>
      </c>
      <c r="BO6" s="915">
        <v>11.359684182731248</v>
      </c>
      <c r="BP6" s="914">
        <v>11.381228672680008</v>
      </c>
      <c r="BQ6" s="914">
        <v>11.402773162628767</v>
      </c>
      <c r="BR6" s="914">
        <v>11.424317652577527</v>
      </c>
      <c r="BS6" s="914">
        <v>11.445862142526286</v>
      </c>
      <c r="BT6" s="916">
        <v>11.467406632475045</v>
      </c>
    </row>
    <row r="7" spans="1:72" x14ac:dyDescent="0.25">
      <c r="A7" s="917" t="s">
        <v>748</v>
      </c>
      <c r="B7" s="912" t="s">
        <v>747</v>
      </c>
      <c r="C7" s="913">
        <v>5.2088497969877503</v>
      </c>
      <c r="D7" s="913">
        <v>4.0515519538015683</v>
      </c>
      <c r="E7" s="913">
        <v>5.7953765594734321</v>
      </c>
      <c r="F7" s="913">
        <v>6.3059286733843276</v>
      </c>
      <c r="G7" s="913">
        <v>6.3351569917966728</v>
      </c>
      <c r="H7" s="913">
        <v>5.6603640970194089</v>
      </c>
      <c r="I7" s="913">
        <v>5.2154936812958672</v>
      </c>
      <c r="J7" s="913">
        <v>4.824472465605103</v>
      </c>
      <c r="K7" s="913">
        <v>4.7214620293311338</v>
      </c>
      <c r="L7" s="913">
        <v>4.5987567766657387</v>
      </c>
      <c r="M7" s="913">
        <v>4.6224680014376371</v>
      </c>
      <c r="N7" s="913">
        <v>4.6768878495918127</v>
      </c>
      <c r="O7" s="913">
        <v>4.7861952984108127</v>
      </c>
      <c r="P7" s="913">
        <v>4.922351045428587</v>
      </c>
      <c r="Q7" s="913">
        <v>5.0173813554475863</v>
      </c>
      <c r="R7" s="913">
        <v>5.0686005039035118</v>
      </c>
      <c r="S7" s="913">
        <v>5.0229759936062797</v>
      </c>
      <c r="T7" s="913">
        <v>5.0914502886106439</v>
      </c>
      <c r="U7" s="913">
        <v>5.2365480121576597</v>
      </c>
      <c r="V7" s="913">
        <v>5.4816269649649545</v>
      </c>
      <c r="W7" s="913">
        <v>5.5841408180740668</v>
      </c>
      <c r="X7" s="913">
        <v>5.5850370537559959</v>
      </c>
      <c r="Y7" s="913">
        <v>5.6052826350589937</v>
      </c>
      <c r="Z7" s="913">
        <v>5.6612136071582997</v>
      </c>
      <c r="AA7" s="913">
        <v>5.7676752715740598</v>
      </c>
      <c r="AB7" s="914">
        <v>5.8539244792759346</v>
      </c>
      <c r="AC7" s="914">
        <v>5.9401736869778095</v>
      </c>
      <c r="AD7" s="914">
        <v>6.0264228946796843</v>
      </c>
      <c r="AE7" s="914">
        <v>6.1126721023815591</v>
      </c>
      <c r="AF7" s="914">
        <v>6.1989213100834339</v>
      </c>
      <c r="AG7" s="914">
        <v>6.2851705177853088</v>
      </c>
      <c r="AH7" s="914">
        <v>6.3714197254871836</v>
      </c>
      <c r="AI7" s="914">
        <v>6.4576689331890584</v>
      </c>
      <c r="AJ7" s="914">
        <v>6.5439181408909333</v>
      </c>
      <c r="AK7" s="914">
        <v>6.6301673485928063</v>
      </c>
      <c r="AL7" s="914">
        <v>6.7228927087931387</v>
      </c>
      <c r="AM7" s="914">
        <v>6.8156180689934711</v>
      </c>
      <c r="AN7" s="914">
        <v>6.9083434291938035</v>
      </c>
      <c r="AO7" s="914">
        <v>7.0010687893941359</v>
      </c>
      <c r="AP7" s="914">
        <v>7.0937941495944683</v>
      </c>
      <c r="AQ7" s="914">
        <v>7.1865195097948007</v>
      </c>
      <c r="AR7" s="914">
        <v>7.2792448699951331</v>
      </c>
      <c r="AS7" s="914">
        <v>7.3719702301954655</v>
      </c>
      <c r="AT7" s="914">
        <v>7.4646955903957979</v>
      </c>
      <c r="AU7" s="914">
        <v>7.5574209505961303</v>
      </c>
      <c r="AV7" s="914">
        <v>7.6501463107964627</v>
      </c>
      <c r="AW7" s="914">
        <v>7.7428716709967951</v>
      </c>
      <c r="AX7" s="914">
        <v>7.8355970311971275</v>
      </c>
      <c r="AY7" s="914">
        <v>7.9283223913974599</v>
      </c>
      <c r="AZ7" s="915">
        <v>8.021047751597786</v>
      </c>
      <c r="BA7" s="914">
        <v>8.0362602680624171</v>
      </c>
      <c r="BB7" s="914">
        <v>8.0514727845270482</v>
      </c>
      <c r="BC7" s="914">
        <v>8.0666853009916792</v>
      </c>
      <c r="BD7" s="914">
        <v>8.0818978174563103</v>
      </c>
      <c r="BE7" s="914">
        <v>8.0971103339209414</v>
      </c>
      <c r="BF7" s="914">
        <v>8.1123228503855724</v>
      </c>
      <c r="BG7" s="914">
        <v>8.1275353668502035</v>
      </c>
      <c r="BH7" s="914">
        <v>8.1427478833148346</v>
      </c>
      <c r="BI7" s="914">
        <v>8.1579603997794656</v>
      </c>
      <c r="BJ7" s="914">
        <v>8.1731729162440967</v>
      </c>
      <c r="BK7" s="914">
        <v>8.1883854327087278</v>
      </c>
      <c r="BL7" s="914">
        <v>8.2035979491733588</v>
      </c>
      <c r="BM7" s="914">
        <v>8.2188104656379899</v>
      </c>
      <c r="BN7" s="914">
        <v>8.234022982102621</v>
      </c>
      <c r="BO7" s="915">
        <v>8.2492354985672645</v>
      </c>
      <c r="BP7" s="914">
        <v>8.2648807901462327</v>
      </c>
      <c r="BQ7" s="914">
        <v>8.2805260817252009</v>
      </c>
      <c r="BR7" s="914">
        <v>8.2961713733041691</v>
      </c>
      <c r="BS7" s="914">
        <v>8.3118166648831373</v>
      </c>
      <c r="BT7" s="916">
        <v>8.3274619564621091</v>
      </c>
    </row>
    <row r="8" spans="1:72" x14ac:dyDescent="0.25">
      <c r="A8" s="917" t="s">
        <v>749</v>
      </c>
      <c r="B8" s="912" t="s">
        <v>747</v>
      </c>
      <c r="C8" s="913">
        <v>5.6269638934579786</v>
      </c>
      <c r="D8" s="913">
        <v>3.8422456293735823</v>
      </c>
      <c r="E8" s="913">
        <v>5.691139826234779</v>
      </c>
      <c r="F8" s="913">
        <v>6.2376343214286925</v>
      </c>
      <c r="G8" s="913">
        <v>6.1731978092553481</v>
      </c>
      <c r="H8" s="913">
        <v>5.4998161252939477</v>
      </c>
      <c r="I8" s="913">
        <v>5.0667498741509744</v>
      </c>
      <c r="J8" s="913">
        <v>4.6999946247856554</v>
      </c>
      <c r="K8" s="913">
        <v>4.5877827360944901</v>
      </c>
      <c r="L8" s="913">
        <v>4.4974766767249967</v>
      </c>
      <c r="M8" s="913">
        <v>4.5471429464952013</v>
      </c>
      <c r="N8" s="913">
        <v>4.6470168064225401</v>
      </c>
      <c r="O8" s="913">
        <v>4.7885290901615907</v>
      </c>
      <c r="P8" s="913">
        <v>4.9298490038457894</v>
      </c>
      <c r="Q8" s="913">
        <v>5.0143193411377212</v>
      </c>
      <c r="R8" s="913">
        <v>5.0431599369588911</v>
      </c>
      <c r="S8" s="913">
        <v>4.9958503246307417</v>
      </c>
      <c r="T8" s="913">
        <v>5.071809156885692</v>
      </c>
      <c r="U8" s="913">
        <v>5.2209958625289659</v>
      </c>
      <c r="V8" s="913">
        <v>5.4542850660827948</v>
      </c>
      <c r="W8" s="913">
        <v>5.5514960671370845</v>
      </c>
      <c r="X8" s="913">
        <v>5.5489887943807661</v>
      </c>
      <c r="Y8" s="913">
        <v>5.5622220646660265</v>
      </c>
      <c r="Z8" s="913">
        <v>5.6263508841676488</v>
      </c>
      <c r="AA8" s="913">
        <v>5.730461856104295</v>
      </c>
      <c r="AB8" s="914">
        <v>5.8123040182474703</v>
      </c>
      <c r="AC8" s="914">
        <v>5.8941461803906456</v>
      </c>
      <c r="AD8" s="914">
        <v>5.9759883425338209</v>
      </c>
      <c r="AE8" s="914">
        <v>6.0578305046769962</v>
      </c>
      <c r="AF8" s="914">
        <v>6.1396726668201715</v>
      </c>
      <c r="AG8" s="914">
        <v>6.2215148289633468</v>
      </c>
      <c r="AH8" s="914">
        <v>6.3033569911065221</v>
      </c>
      <c r="AI8" s="914">
        <v>6.3851991532496974</v>
      </c>
      <c r="AJ8" s="914">
        <v>6.4670413153928727</v>
      </c>
      <c r="AK8" s="914">
        <v>6.5488834775360516</v>
      </c>
      <c r="AL8" s="914">
        <v>6.6404720525202734</v>
      </c>
      <c r="AM8" s="914">
        <v>6.7320606275044952</v>
      </c>
      <c r="AN8" s="914">
        <v>6.823649202488717</v>
      </c>
      <c r="AO8" s="914">
        <v>6.9152377774729388</v>
      </c>
      <c r="AP8" s="914">
        <v>7.0068263524571606</v>
      </c>
      <c r="AQ8" s="914">
        <v>7.0984149274413824</v>
      </c>
      <c r="AR8" s="914">
        <v>7.1900035024256042</v>
      </c>
      <c r="AS8" s="914">
        <v>7.2815920774098259</v>
      </c>
      <c r="AT8" s="914">
        <v>7.3731806523940477</v>
      </c>
      <c r="AU8" s="914">
        <v>7.4647692273782695</v>
      </c>
      <c r="AV8" s="914">
        <v>7.5563578023624913</v>
      </c>
      <c r="AW8" s="914">
        <v>7.6479463773467131</v>
      </c>
      <c r="AX8" s="914">
        <v>7.7395349523309349</v>
      </c>
      <c r="AY8" s="914">
        <v>7.8311235273151567</v>
      </c>
      <c r="AZ8" s="915">
        <v>7.9227121022993829</v>
      </c>
      <c r="BA8" s="914">
        <v>7.9377381178566102</v>
      </c>
      <c r="BB8" s="914">
        <v>7.9527641334138375</v>
      </c>
      <c r="BC8" s="914">
        <v>7.9677901489710647</v>
      </c>
      <c r="BD8" s="914">
        <v>7.982816164528292</v>
      </c>
      <c r="BE8" s="914">
        <v>7.9978421800855193</v>
      </c>
      <c r="BF8" s="914">
        <v>8.0128681956427457</v>
      </c>
      <c r="BG8" s="914">
        <v>8.0278942111999729</v>
      </c>
      <c r="BH8" s="914">
        <v>8.0429202267572002</v>
      </c>
      <c r="BI8" s="914">
        <v>8.0579462423144275</v>
      </c>
      <c r="BJ8" s="914">
        <v>8.0729722578716547</v>
      </c>
      <c r="BK8" s="914">
        <v>8.087998273428882</v>
      </c>
      <c r="BL8" s="914">
        <v>8.1030242889861093</v>
      </c>
      <c r="BM8" s="914">
        <v>8.1180503045433365</v>
      </c>
      <c r="BN8" s="914">
        <v>8.1330763201005638</v>
      </c>
      <c r="BO8" s="915">
        <v>8.1481023356577857</v>
      </c>
      <c r="BP8" s="914">
        <v>8.1635558206357306</v>
      </c>
      <c r="BQ8" s="914">
        <v>8.1790093056136755</v>
      </c>
      <c r="BR8" s="914">
        <v>8.1944627905916203</v>
      </c>
      <c r="BS8" s="914">
        <v>8.2099162755695652</v>
      </c>
      <c r="BT8" s="916">
        <v>8.2253697605475136</v>
      </c>
    </row>
    <row r="9" spans="1:72" x14ac:dyDescent="0.25">
      <c r="A9" s="1722" t="s">
        <v>750</v>
      </c>
      <c r="B9" s="1723"/>
      <c r="C9" s="1723"/>
      <c r="D9" s="1723"/>
      <c r="E9" s="1723"/>
      <c r="F9" s="1723"/>
      <c r="G9" s="1723"/>
      <c r="H9" s="1723"/>
      <c r="I9" s="1723"/>
      <c r="J9" s="1723"/>
      <c r="K9" s="1723"/>
      <c r="L9" s="1723"/>
      <c r="M9" s="1723"/>
      <c r="N9" s="1723"/>
      <c r="O9" s="1723"/>
      <c r="P9" s="1723"/>
      <c r="Q9" s="1723"/>
      <c r="R9" s="1723"/>
      <c r="S9" s="1723"/>
      <c r="T9" s="1723"/>
      <c r="U9" s="1723"/>
      <c r="V9" s="1723"/>
      <c r="W9" s="1723"/>
      <c r="X9" s="1723"/>
      <c r="Y9" s="1723"/>
      <c r="Z9" s="1723"/>
      <c r="AA9" s="1723"/>
      <c r="AB9" s="1723"/>
      <c r="AC9" s="1723"/>
      <c r="AD9" s="1723"/>
      <c r="AE9" s="1723"/>
      <c r="AF9" s="1723"/>
      <c r="AG9" s="1723"/>
      <c r="AH9" s="1723"/>
      <c r="AI9" s="1723"/>
      <c r="AJ9" s="1723"/>
      <c r="AK9" s="1723"/>
      <c r="AL9" s="1723"/>
      <c r="AM9" s="1723"/>
      <c r="AN9" s="1723"/>
      <c r="AO9" s="1723"/>
      <c r="AP9" s="1723"/>
      <c r="AQ9" s="1723"/>
      <c r="AR9" s="1723"/>
      <c r="AS9" s="1723"/>
      <c r="AT9" s="1723"/>
      <c r="AU9" s="1723"/>
      <c r="AV9" s="1723"/>
      <c r="AW9" s="1723"/>
      <c r="AX9" s="1723"/>
      <c r="AY9" s="1723"/>
      <c r="AZ9" s="1723"/>
      <c r="BA9" s="1723"/>
      <c r="BB9" s="1723"/>
      <c r="BC9" s="1723"/>
      <c r="BD9" s="1723"/>
      <c r="BE9" s="1723"/>
      <c r="BF9" s="1723"/>
      <c r="BG9" s="1723"/>
      <c r="BH9" s="1723"/>
      <c r="BI9" s="1723"/>
      <c r="BJ9" s="1723"/>
      <c r="BK9" s="1723"/>
      <c r="BL9" s="1723"/>
      <c r="BM9" s="1723"/>
      <c r="BN9" s="1723"/>
      <c r="BO9" s="1723"/>
      <c r="BP9" s="1723"/>
      <c r="BQ9" s="1723"/>
      <c r="BR9" s="1723"/>
      <c r="BS9" s="1723"/>
      <c r="BT9" s="1724"/>
    </row>
    <row r="10" spans="1:72" x14ac:dyDescent="0.25">
      <c r="A10" s="917" t="s">
        <v>683</v>
      </c>
      <c r="B10" s="912" t="s">
        <v>747</v>
      </c>
      <c r="C10" s="913">
        <v>24.866788774356646</v>
      </c>
      <c r="D10" s="913">
        <v>24.345010037692106</v>
      </c>
      <c r="E10" s="913">
        <v>24.223933219909672</v>
      </c>
      <c r="F10" s="913">
        <v>24.020635352944481</v>
      </c>
      <c r="G10" s="913">
        <v>23.91295186528621</v>
      </c>
      <c r="H10" s="913">
        <v>22.837542614846832</v>
      </c>
      <c r="I10" s="913">
        <v>21.69091966017233</v>
      </c>
      <c r="J10" s="913">
        <v>21.090846376599046</v>
      </c>
      <c r="K10" s="913">
        <v>21.058556043876806</v>
      </c>
      <c r="L10" s="913">
        <v>20.987678365887316</v>
      </c>
      <c r="M10" s="913">
        <v>20.983490961902529</v>
      </c>
      <c r="N10" s="913">
        <v>21.313707333690761</v>
      </c>
      <c r="O10" s="913">
        <v>21.638938984780914</v>
      </c>
      <c r="P10" s="913">
        <v>22.13258341123478</v>
      </c>
      <c r="Q10" s="913">
        <v>22.313049388381657</v>
      </c>
      <c r="R10" s="913">
        <v>22.486876361774936</v>
      </c>
      <c r="S10" s="913">
        <v>22.494946956634521</v>
      </c>
      <c r="T10" s="913">
        <v>22.662665807975912</v>
      </c>
      <c r="U10" s="913">
        <v>22.922821701697636</v>
      </c>
      <c r="V10" s="913">
        <v>23.270139622238439</v>
      </c>
      <c r="W10" s="913">
        <v>23.509686568997985</v>
      </c>
      <c r="X10" s="913">
        <v>23.493712398241108</v>
      </c>
      <c r="Y10" s="913">
        <v>23.423848763951703</v>
      </c>
      <c r="Z10" s="913">
        <v>23.513217827059155</v>
      </c>
      <c r="AA10" s="913">
        <v>23.645542576627872</v>
      </c>
      <c r="AB10" s="914">
        <v>23.786749293232678</v>
      </c>
      <c r="AC10" s="914">
        <v>23.927956009837484</v>
      </c>
      <c r="AD10" s="914">
        <v>24.06916272644229</v>
      </c>
      <c r="AE10" s="914">
        <v>24.210369443047096</v>
      </c>
      <c r="AF10" s="914">
        <v>24.351576159651902</v>
      </c>
      <c r="AG10" s="914">
        <v>24.492782876256708</v>
      </c>
      <c r="AH10" s="914">
        <v>24.633989592861514</v>
      </c>
      <c r="AI10" s="914">
        <v>24.77519630946632</v>
      </c>
      <c r="AJ10" s="914">
        <v>24.916403026071126</v>
      </c>
      <c r="AK10" s="914">
        <v>25.057609742675933</v>
      </c>
      <c r="AL10" s="914">
        <v>25.047759076850095</v>
      </c>
      <c r="AM10" s="914">
        <v>25.037908411024258</v>
      </c>
      <c r="AN10" s="914">
        <v>25.028057745198421</v>
      </c>
      <c r="AO10" s="914">
        <v>25.018207079372583</v>
      </c>
      <c r="AP10" s="914">
        <v>25.008356413546746</v>
      </c>
      <c r="AQ10" s="914">
        <v>24.998505747720909</v>
      </c>
      <c r="AR10" s="914">
        <v>24.988655081895072</v>
      </c>
      <c r="AS10" s="914">
        <v>24.978804416069234</v>
      </c>
      <c r="AT10" s="914">
        <v>24.968953750243397</v>
      </c>
      <c r="AU10" s="914">
        <v>24.95910308441756</v>
      </c>
      <c r="AV10" s="914">
        <v>24.949252418591723</v>
      </c>
      <c r="AW10" s="914">
        <v>24.939401752765885</v>
      </c>
      <c r="AX10" s="914">
        <v>24.929551086940048</v>
      </c>
      <c r="AY10" s="914">
        <v>24.919700421114211</v>
      </c>
      <c r="AZ10" s="915">
        <v>24.90984975528837</v>
      </c>
      <c r="BA10" s="914">
        <v>24.925673674379027</v>
      </c>
      <c r="BB10" s="914">
        <v>24.941497593469684</v>
      </c>
      <c r="BC10" s="914">
        <v>24.957321512560341</v>
      </c>
      <c r="BD10" s="914">
        <v>24.973145431650998</v>
      </c>
      <c r="BE10" s="914">
        <v>24.988969350741655</v>
      </c>
      <c r="BF10" s="914">
        <v>25.004793269832312</v>
      </c>
      <c r="BG10" s="914">
        <v>25.020617188922969</v>
      </c>
      <c r="BH10" s="914">
        <v>25.036441108013626</v>
      </c>
      <c r="BI10" s="914">
        <v>25.052265027104283</v>
      </c>
      <c r="BJ10" s="914">
        <v>25.068088946194941</v>
      </c>
      <c r="BK10" s="914">
        <v>25.083912865285598</v>
      </c>
      <c r="BL10" s="914">
        <v>25.099736784376255</v>
      </c>
      <c r="BM10" s="914">
        <v>25.115560703466912</v>
      </c>
      <c r="BN10" s="914">
        <v>25.131384622557569</v>
      </c>
      <c r="BO10" s="915">
        <v>25.147208541648205</v>
      </c>
      <c r="BP10" s="914">
        <v>25.163183242307905</v>
      </c>
      <c r="BQ10" s="914">
        <v>25.179157942967606</v>
      </c>
      <c r="BR10" s="914">
        <v>25.195132643627307</v>
      </c>
      <c r="BS10" s="914">
        <v>25.211107344287008</v>
      </c>
      <c r="BT10" s="916">
        <v>25.227082044946716</v>
      </c>
    </row>
    <row r="11" spans="1:72" x14ac:dyDescent="0.25">
      <c r="A11" s="917" t="s">
        <v>698</v>
      </c>
      <c r="B11" s="912" t="s">
        <v>747</v>
      </c>
      <c r="C11" s="913">
        <v>16.038863482553147</v>
      </c>
      <c r="D11" s="913">
        <v>15.36037109932807</v>
      </c>
      <c r="E11" s="913">
        <v>15.664056310113844</v>
      </c>
      <c r="F11" s="913">
        <v>16.390134465019642</v>
      </c>
      <c r="G11" s="913">
        <v>16.26049394877451</v>
      </c>
      <c r="H11" s="913">
        <v>15.718549229064077</v>
      </c>
      <c r="I11" s="913">
        <v>15.083546116666987</v>
      </c>
      <c r="J11" s="913">
        <v>14.764544869368896</v>
      </c>
      <c r="K11" s="913">
        <v>14.679648534306921</v>
      </c>
      <c r="L11" s="913">
        <v>14.510741661179726</v>
      </c>
      <c r="M11" s="913">
        <v>14.370329416023063</v>
      </c>
      <c r="N11" s="913">
        <v>14.522587083420669</v>
      </c>
      <c r="O11" s="913">
        <v>14.791267903345901</v>
      </c>
      <c r="P11" s="913">
        <v>15.142176731577413</v>
      </c>
      <c r="Q11" s="913">
        <v>15.304996360023072</v>
      </c>
      <c r="R11" s="913">
        <v>15.443286072533045</v>
      </c>
      <c r="S11" s="913">
        <v>15.485992224711291</v>
      </c>
      <c r="T11" s="913">
        <v>15.663456831338236</v>
      </c>
      <c r="U11" s="913">
        <v>15.910829809476709</v>
      </c>
      <c r="V11" s="913">
        <v>16.241389166634008</v>
      </c>
      <c r="W11" s="913">
        <v>16.419768400912066</v>
      </c>
      <c r="X11" s="913">
        <v>16.405212897174714</v>
      </c>
      <c r="Y11" s="913">
        <v>16.372526888577397</v>
      </c>
      <c r="Z11" s="913">
        <v>16.449089176249931</v>
      </c>
      <c r="AA11" s="913">
        <v>16.568027554817903</v>
      </c>
      <c r="AB11" s="914">
        <v>16.704753726753587</v>
      </c>
      <c r="AC11" s="914">
        <v>16.841479898689272</v>
      </c>
      <c r="AD11" s="914">
        <v>16.978206070624957</v>
      </c>
      <c r="AE11" s="914">
        <v>17.114932242560641</v>
      </c>
      <c r="AF11" s="914">
        <v>17.251658414496326</v>
      </c>
      <c r="AG11" s="914">
        <v>17.388384586432011</v>
      </c>
      <c r="AH11" s="914">
        <v>17.525110758367695</v>
      </c>
      <c r="AI11" s="914">
        <v>17.66183693030338</v>
      </c>
      <c r="AJ11" s="914">
        <v>17.798563102239065</v>
      </c>
      <c r="AK11" s="914">
        <v>17.935289274174743</v>
      </c>
      <c r="AL11" s="914">
        <v>17.928238540168429</v>
      </c>
      <c r="AM11" s="914">
        <v>17.921187806162116</v>
      </c>
      <c r="AN11" s="914">
        <v>17.914137072155803</v>
      </c>
      <c r="AO11" s="914">
        <v>17.90708633814949</v>
      </c>
      <c r="AP11" s="914">
        <v>17.900035604143177</v>
      </c>
      <c r="AQ11" s="914">
        <v>17.892984870136864</v>
      </c>
      <c r="AR11" s="914">
        <v>17.885934136130551</v>
      </c>
      <c r="AS11" s="914">
        <v>17.878883402124238</v>
      </c>
      <c r="AT11" s="914">
        <v>17.871832668117925</v>
      </c>
      <c r="AU11" s="914">
        <v>17.864781934111612</v>
      </c>
      <c r="AV11" s="914">
        <v>17.857731200105299</v>
      </c>
      <c r="AW11" s="914">
        <v>17.850680466098986</v>
      </c>
      <c r="AX11" s="914">
        <v>17.843629732092673</v>
      </c>
      <c r="AY11" s="914">
        <v>17.83657899808636</v>
      </c>
      <c r="AZ11" s="915">
        <v>17.829528264080036</v>
      </c>
      <c r="BA11" s="914">
        <v>17.840854426840831</v>
      </c>
      <c r="BB11" s="914">
        <v>17.852180589601627</v>
      </c>
      <c r="BC11" s="914">
        <v>17.863506752362422</v>
      </c>
      <c r="BD11" s="914">
        <v>17.874832915123218</v>
      </c>
      <c r="BE11" s="914">
        <v>17.886159077884013</v>
      </c>
      <c r="BF11" s="914">
        <v>17.897485240644809</v>
      </c>
      <c r="BG11" s="914">
        <v>17.908811403405604</v>
      </c>
      <c r="BH11" s="914">
        <v>17.9201375661664</v>
      </c>
      <c r="BI11" s="914">
        <v>17.931463728927195</v>
      </c>
      <c r="BJ11" s="914">
        <v>17.94278989168799</v>
      </c>
      <c r="BK11" s="914">
        <v>17.954116054448786</v>
      </c>
      <c r="BL11" s="914">
        <v>17.965442217209581</v>
      </c>
      <c r="BM11" s="914">
        <v>17.976768379970377</v>
      </c>
      <c r="BN11" s="914">
        <v>17.988094542731172</v>
      </c>
      <c r="BO11" s="915">
        <v>17.999420705491971</v>
      </c>
      <c r="BP11" s="914">
        <v>18.010854791996724</v>
      </c>
      <c r="BQ11" s="914">
        <v>18.022288878501477</v>
      </c>
      <c r="BR11" s="914">
        <v>18.033722965006231</v>
      </c>
      <c r="BS11" s="914">
        <v>18.045157051510984</v>
      </c>
      <c r="BT11" s="916">
        <v>18.056591138015737</v>
      </c>
    </row>
    <row r="12" spans="1:72" x14ac:dyDescent="0.25">
      <c r="A12" s="918" t="s">
        <v>751</v>
      </c>
      <c r="B12" s="912"/>
      <c r="C12" s="912"/>
      <c r="D12" s="912"/>
      <c r="E12" s="912"/>
      <c r="F12" s="912"/>
      <c r="G12" s="912"/>
      <c r="H12" s="912"/>
      <c r="I12" s="912"/>
      <c r="J12" s="912"/>
      <c r="K12" s="912"/>
      <c r="L12" s="912"/>
      <c r="M12" s="912"/>
      <c r="N12" s="912"/>
      <c r="O12" s="912"/>
      <c r="P12" s="912"/>
      <c r="Q12" s="912"/>
      <c r="R12" s="912"/>
      <c r="S12" s="912"/>
      <c r="T12" s="912"/>
      <c r="U12" s="912"/>
      <c r="V12" s="912"/>
      <c r="W12" s="912"/>
      <c r="X12" s="912"/>
      <c r="Y12" s="912"/>
      <c r="Z12" s="912"/>
      <c r="AA12" s="912"/>
      <c r="AB12" s="912"/>
      <c r="AC12" s="912"/>
      <c r="AD12" s="912"/>
      <c r="AE12" s="912"/>
      <c r="AF12" s="912"/>
      <c r="AG12" s="912"/>
      <c r="AH12" s="912"/>
      <c r="AI12" s="912"/>
      <c r="AJ12" s="912"/>
      <c r="AK12" s="912"/>
      <c r="AL12" s="912"/>
      <c r="AM12" s="912"/>
      <c r="AN12" s="912"/>
      <c r="AO12" s="912"/>
      <c r="AP12" s="912"/>
      <c r="AQ12" s="912"/>
      <c r="AR12" s="912"/>
      <c r="AS12" s="912"/>
      <c r="AT12" s="912"/>
      <c r="AU12" s="912"/>
      <c r="AV12" s="912"/>
      <c r="AW12" s="912"/>
      <c r="AX12" s="912"/>
      <c r="AY12" s="912"/>
      <c r="AZ12" s="912"/>
      <c r="BA12" s="912"/>
      <c r="BB12" s="912"/>
      <c r="BC12" s="912"/>
      <c r="BD12" s="912"/>
      <c r="BE12" s="912"/>
      <c r="BF12" s="912"/>
      <c r="BG12" s="912"/>
      <c r="BH12" s="912"/>
      <c r="BI12" s="912"/>
      <c r="BJ12" s="912"/>
      <c r="BK12" s="912"/>
      <c r="BL12" s="912"/>
      <c r="BM12" s="912"/>
      <c r="BN12" s="912"/>
      <c r="BO12" s="912"/>
      <c r="BP12" s="912"/>
      <c r="BQ12" s="912"/>
      <c r="BR12" s="912"/>
      <c r="BS12" s="912"/>
      <c r="BT12" s="919"/>
    </row>
    <row r="13" spans="1:72" x14ac:dyDescent="0.25">
      <c r="A13" s="917" t="s">
        <v>1088</v>
      </c>
      <c r="B13" s="912" t="s">
        <v>747</v>
      </c>
      <c r="C13" s="913">
        <v>1.3268491834774256</v>
      </c>
      <c r="D13" s="913">
        <v>1.32388562245189</v>
      </c>
      <c r="E13" s="913">
        <v>1.3334961719108085</v>
      </c>
      <c r="F13" s="913">
        <v>1.3380821099821107</v>
      </c>
      <c r="G13" s="913">
        <v>1.3443425871291239</v>
      </c>
      <c r="H13" s="913">
        <v>1.3528785733681756</v>
      </c>
      <c r="I13" s="913">
        <v>1.3415886383011697</v>
      </c>
      <c r="J13" s="913">
        <v>1.3403624656065469</v>
      </c>
      <c r="K13" s="913">
        <v>1.330997225248586</v>
      </c>
      <c r="L13" s="913">
        <v>1.3164209684110997</v>
      </c>
      <c r="M13" s="913">
        <v>1.3072140481112184</v>
      </c>
      <c r="N13" s="913">
        <v>1.3019573002491378</v>
      </c>
      <c r="O13" s="913">
        <v>1.2978333982656636</v>
      </c>
      <c r="P13" s="913">
        <v>1.295833644439585</v>
      </c>
      <c r="Q13" s="913">
        <v>1.2953486183904279</v>
      </c>
      <c r="R13" s="913">
        <v>1.2970626753456174</v>
      </c>
      <c r="S13" s="913">
        <v>1.2955796364343368</v>
      </c>
      <c r="T13" s="913">
        <v>1.3002382724914889</v>
      </c>
      <c r="U13" s="913">
        <v>1.3044509032987155</v>
      </c>
      <c r="V13" s="913">
        <v>1.3304805103337984</v>
      </c>
      <c r="W13" s="913">
        <v>1.3397570218680066</v>
      </c>
      <c r="X13" s="913">
        <v>1.3519914094007222</v>
      </c>
      <c r="Y13" s="913">
        <v>1.3569265463442153</v>
      </c>
      <c r="Z13" s="913">
        <v>1.3726611244228613</v>
      </c>
      <c r="AA13" s="913">
        <v>1.3854931266802686</v>
      </c>
      <c r="AB13" s="914">
        <v>1.3951349014789893</v>
      </c>
      <c r="AC13" s="914">
        <v>1.4047766762777101</v>
      </c>
      <c r="AD13" s="914">
        <v>1.4144184510764308</v>
      </c>
      <c r="AE13" s="914">
        <v>1.4240602258751516</v>
      </c>
      <c r="AF13" s="914">
        <v>1.4337020006738723</v>
      </c>
      <c r="AG13" s="914">
        <v>1.4433437754725931</v>
      </c>
      <c r="AH13" s="914">
        <v>1.4529855502713138</v>
      </c>
      <c r="AI13" s="914">
        <v>1.4626273250700346</v>
      </c>
      <c r="AJ13" s="914">
        <v>1.4722690998687553</v>
      </c>
      <c r="AK13" s="914">
        <v>1.481910874667477</v>
      </c>
      <c r="AL13" s="914">
        <v>1.4862555877963981</v>
      </c>
      <c r="AM13" s="914">
        <v>1.4906003009253193</v>
      </c>
      <c r="AN13" s="914">
        <v>1.4949450140542404</v>
      </c>
      <c r="AO13" s="914">
        <v>1.4992897271831616</v>
      </c>
      <c r="AP13" s="914">
        <v>1.5036344403120827</v>
      </c>
      <c r="AQ13" s="914">
        <v>1.5079791534410039</v>
      </c>
      <c r="AR13" s="914">
        <v>1.512323866569925</v>
      </c>
      <c r="AS13" s="914">
        <v>1.5166685796988462</v>
      </c>
      <c r="AT13" s="914">
        <v>1.5210132928277673</v>
      </c>
      <c r="AU13" s="914">
        <v>1.5253580059566885</v>
      </c>
      <c r="AV13" s="914">
        <v>1.5297027190856096</v>
      </c>
      <c r="AW13" s="914">
        <v>1.5340474322145308</v>
      </c>
      <c r="AX13" s="914">
        <v>1.5383921453434519</v>
      </c>
      <c r="AY13" s="914">
        <v>1.5427368584723731</v>
      </c>
      <c r="AZ13" s="915">
        <v>1.5470815716012942</v>
      </c>
      <c r="BA13" s="914">
        <v>1.5500157274134729</v>
      </c>
      <c r="BB13" s="914">
        <v>1.5529498832256516</v>
      </c>
      <c r="BC13" s="914">
        <v>1.5558840390378303</v>
      </c>
      <c r="BD13" s="914">
        <v>1.5588181948500091</v>
      </c>
      <c r="BE13" s="914">
        <v>1.5617523506621878</v>
      </c>
      <c r="BF13" s="914">
        <v>1.5646865064743665</v>
      </c>
      <c r="BG13" s="914">
        <v>1.5676206622865452</v>
      </c>
      <c r="BH13" s="914">
        <v>1.5705548180987239</v>
      </c>
      <c r="BI13" s="914">
        <v>1.5734889739109026</v>
      </c>
      <c r="BJ13" s="914">
        <v>1.5764231297230813</v>
      </c>
      <c r="BK13" s="914">
        <v>1.57935728553526</v>
      </c>
      <c r="BL13" s="914">
        <v>1.5822914413474387</v>
      </c>
      <c r="BM13" s="914">
        <v>1.5852255971596174</v>
      </c>
      <c r="BN13" s="914">
        <v>1.5881597529717961</v>
      </c>
      <c r="BO13" s="915">
        <v>1.5910939087839742</v>
      </c>
      <c r="BP13" s="914">
        <v>1.5941115372826113</v>
      </c>
      <c r="BQ13" s="914">
        <v>1.5971291657812485</v>
      </c>
      <c r="BR13" s="914">
        <v>1.6001467942798857</v>
      </c>
      <c r="BS13" s="914">
        <v>1.6031644227785229</v>
      </c>
      <c r="BT13" s="916">
        <v>1.6061820512771605</v>
      </c>
    </row>
    <row r="14" spans="1:72" x14ac:dyDescent="0.25">
      <c r="A14" s="1722" t="s">
        <v>752</v>
      </c>
      <c r="B14" s="1723"/>
      <c r="C14" s="1723"/>
      <c r="D14" s="1723"/>
      <c r="E14" s="1723"/>
      <c r="F14" s="1723"/>
      <c r="G14" s="1723"/>
      <c r="H14" s="1723"/>
      <c r="I14" s="1723"/>
      <c r="J14" s="1723"/>
      <c r="K14" s="1723"/>
      <c r="L14" s="1723"/>
      <c r="M14" s="1723"/>
      <c r="N14" s="1723"/>
      <c r="O14" s="1723"/>
      <c r="P14" s="1723"/>
      <c r="Q14" s="1723"/>
      <c r="R14" s="1723"/>
      <c r="S14" s="1723"/>
      <c r="T14" s="1723"/>
      <c r="U14" s="1723"/>
      <c r="V14" s="1723"/>
      <c r="W14" s="1723"/>
      <c r="X14" s="1723"/>
      <c r="Y14" s="1723"/>
      <c r="Z14" s="1723"/>
      <c r="AA14" s="1723"/>
      <c r="AB14" s="1723"/>
      <c r="AC14" s="1723"/>
      <c r="AD14" s="1723"/>
      <c r="AE14" s="1723"/>
      <c r="AF14" s="1723"/>
      <c r="AG14" s="1723"/>
      <c r="AH14" s="1723"/>
      <c r="AI14" s="1723"/>
      <c r="AJ14" s="1723"/>
      <c r="AK14" s="1723"/>
      <c r="AL14" s="1723"/>
      <c r="AM14" s="1723"/>
      <c r="AN14" s="1723"/>
      <c r="AO14" s="1723"/>
      <c r="AP14" s="1723"/>
      <c r="AQ14" s="1723"/>
      <c r="AR14" s="1723"/>
      <c r="AS14" s="1723"/>
      <c r="AT14" s="1723"/>
      <c r="AU14" s="1723"/>
      <c r="AV14" s="1723"/>
      <c r="AW14" s="1723"/>
      <c r="AX14" s="1723"/>
      <c r="AY14" s="1723"/>
      <c r="AZ14" s="1723"/>
      <c r="BA14" s="1723"/>
      <c r="BB14" s="1723"/>
      <c r="BC14" s="1723"/>
      <c r="BD14" s="1723"/>
      <c r="BE14" s="1723"/>
      <c r="BF14" s="1723"/>
      <c r="BG14" s="1723"/>
      <c r="BH14" s="1723"/>
      <c r="BI14" s="1723"/>
      <c r="BJ14" s="1723"/>
      <c r="BK14" s="1723"/>
      <c r="BL14" s="1723"/>
      <c r="BM14" s="1723"/>
      <c r="BN14" s="1723"/>
      <c r="BO14" s="1723"/>
      <c r="BP14" s="1723"/>
      <c r="BQ14" s="1723"/>
      <c r="BR14" s="1723"/>
      <c r="BS14" s="1723"/>
      <c r="BT14" s="1724"/>
    </row>
    <row r="15" spans="1:72" ht="23.4" x14ac:dyDescent="0.25">
      <c r="A15" s="911" t="s">
        <v>753</v>
      </c>
      <c r="B15" s="912" t="s">
        <v>747</v>
      </c>
      <c r="C15" s="913">
        <v>10.789461735918687</v>
      </c>
      <c r="D15" s="913">
        <v>9.9590971559848445</v>
      </c>
      <c r="E15" s="913">
        <v>11.383831536994775</v>
      </c>
      <c r="F15" s="913">
        <v>12.531178240506115</v>
      </c>
      <c r="G15" s="913">
        <v>12.036300060884058</v>
      </c>
      <c r="H15" s="913">
        <v>12.613383383121093</v>
      </c>
      <c r="I15" s="913">
        <v>13.01890940036416</v>
      </c>
      <c r="J15" s="913">
        <v>12.908589399085846</v>
      </c>
      <c r="K15" s="913">
        <v>12.946875513724528</v>
      </c>
      <c r="L15" s="913">
        <v>13.039098811599491</v>
      </c>
      <c r="M15" s="913">
        <v>13.088955960183741</v>
      </c>
      <c r="N15" s="913">
        <v>13.133508268392355</v>
      </c>
      <c r="O15" s="913">
        <v>13.038477461293056</v>
      </c>
      <c r="P15" s="913">
        <v>12.989168095138872</v>
      </c>
      <c r="Q15" s="913">
        <v>12.752903866318045</v>
      </c>
      <c r="R15" s="913">
        <v>12.539506322932722</v>
      </c>
      <c r="S15" s="913">
        <v>12.335074118848111</v>
      </c>
      <c r="T15" s="913">
        <v>12.292193988584152</v>
      </c>
      <c r="U15" s="913">
        <v>12.304560350921868</v>
      </c>
      <c r="V15" s="913">
        <v>12.340337204483362</v>
      </c>
      <c r="W15" s="913">
        <v>12.418707870087554</v>
      </c>
      <c r="X15" s="913">
        <v>12.438495640484758</v>
      </c>
      <c r="Y15" s="913">
        <v>12.492141534697302</v>
      </c>
      <c r="Z15" s="913">
        <v>12.624332072599859</v>
      </c>
      <c r="AA15" s="913">
        <v>13.025979869770596</v>
      </c>
      <c r="AB15" s="913">
        <v>13.053872203635709</v>
      </c>
      <c r="AC15" s="913">
        <v>13.081764537500822</v>
      </c>
      <c r="AD15" s="913">
        <v>13.109656871365935</v>
      </c>
      <c r="AE15" s="913">
        <v>13.137549205231048</v>
      </c>
      <c r="AF15" s="913">
        <v>13.165441539096161</v>
      </c>
      <c r="AG15" s="913">
        <v>13.193333872961274</v>
      </c>
      <c r="AH15" s="913">
        <v>13.221226206826387</v>
      </c>
      <c r="AI15" s="913">
        <v>13.2491185406915</v>
      </c>
      <c r="AJ15" s="913">
        <v>13.277010874556613</v>
      </c>
      <c r="AK15" s="913">
        <v>13.304903208421727</v>
      </c>
      <c r="AL15" s="913">
        <v>13.445726499778688</v>
      </c>
      <c r="AM15" s="913">
        <v>13.586549791135649</v>
      </c>
      <c r="AN15" s="913">
        <v>13.72737308249261</v>
      </c>
      <c r="AO15" s="913">
        <v>13.868196373849571</v>
      </c>
      <c r="AP15" s="913">
        <v>14.009019665206532</v>
      </c>
      <c r="AQ15" s="913">
        <v>14.149842956563493</v>
      </c>
      <c r="AR15" s="913">
        <v>14.290666247920454</v>
      </c>
      <c r="AS15" s="913">
        <v>14.431489539277415</v>
      </c>
      <c r="AT15" s="913">
        <v>14.572312830634376</v>
      </c>
      <c r="AU15" s="913">
        <v>14.713136121991337</v>
      </c>
      <c r="AV15" s="913">
        <v>14.853959413348298</v>
      </c>
      <c r="AW15" s="913">
        <v>14.994782704705258</v>
      </c>
      <c r="AX15" s="913">
        <v>15.135605996062219</v>
      </c>
      <c r="AY15" s="913">
        <v>15.27642928741918</v>
      </c>
      <c r="AZ15" s="913">
        <v>15.417252578776129</v>
      </c>
      <c r="BA15" s="913">
        <v>15.505038084680947</v>
      </c>
      <c r="BB15" s="913">
        <v>15.592823590585766</v>
      </c>
      <c r="BC15" s="913">
        <v>15.680609096490585</v>
      </c>
      <c r="BD15" s="913">
        <v>15.768394602395404</v>
      </c>
      <c r="BE15" s="913">
        <v>15.856180108300222</v>
      </c>
      <c r="BF15" s="913">
        <v>15.943965614205041</v>
      </c>
      <c r="BG15" s="913">
        <v>16.03175112010986</v>
      </c>
      <c r="BH15" s="913">
        <v>16.119536626014678</v>
      </c>
      <c r="BI15" s="913">
        <v>16.207322131919497</v>
      </c>
      <c r="BJ15" s="913">
        <v>16.295107637824316</v>
      </c>
      <c r="BK15" s="913">
        <v>16.382893143729135</v>
      </c>
      <c r="BL15" s="913">
        <v>16.470678649633953</v>
      </c>
      <c r="BM15" s="913">
        <v>16.558464155538772</v>
      </c>
      <c r="BN15" s="913">
        <v>16.646249661443591</v>
      </c>
      <c r="BO15" s="913">
        <v>16.734035167348416</v>
      </c>
      <c r="BP15" s="913">
        <v>16.829318405103567</v>
      </c>
      <c r="BQ15" s="913">
        <v>16.924601642858718</v>
      </c>
      <c r="BR15" s="913">
        <v>17.019884880613869</v>
      </c>
      <c r="BS15" s="913">
        <v>17.11516811836902</v>
      </c>
      <c r="BT15" s="920">
        <v>17.210451356124164</v>
      </c>
    </row>
    <row r="16" spans="1:72" x14ac:dyDescent="0.25">
      <c r="A16" s="917" t="s">
        <v>754</v>
      </c>
      <c r="B16" s="912" t="s">
        <v>747</v>
      </c>
      <c r="C16" s="913">
        <v>12.730520250245322</v>
      </c>
      <c r="D16" s="913">
        <v>11.801320287416596</v>
      </c>
      <c r="E16" s="913">
        <v>13.477350603859424</v>
      </c>
      <c r="F16" s="913">
        <v>15.275134761378448</v>
      </c>
      <c r="G16" s="913">
        <v>14.956036086352325</v>
      </c>
      <c r="H16" s="913">
        <v>15.333911517881027</v>
      </c>
      <c r="I16" s="913">
        <v>14.969645149302909</v>
      </c>
      <c r="J16" s="913">
        <v>14.856007634468792</v>
      </c>
      <c r="K16" s="913">
        <v>14.855665643260203</v>
      </c>
      <c r="L16" s="913">
        <v>14.676357863084307</v>
      </c>
      <c r="M16" s="913">
        <v>14.660823111264261</v>
      </c>
      <c r="N16" s="913">
        <v>14.621396694543213</v>
      </c>
      <c r="O16" s="913">
        <v>14.496914877081778</v>
      </c>
      <c r="P16" s="913">
        <v>14.525867813038341</v>
      </c>
      <c r="Q16" s="913">
        <v>14.406443289990676</v>
      </c>
      <c r="R16" s="913">
        <v>14.511791494657368</v>
      </c>
      <c r="S16" s="913">
        <v>14.408484301477108</v>
      </c>
      <c r="T16" s="913">
        <v>14.421367627269808</v>
      </c>
      <c r="U16" s="913">
        <v>14.483474821414545</v>
      </c>
      <c r="V16" s="913">
        <v>14.423047758498246</v>
      </c>
      <c r="W16" s="913">
        <v>14.678410804496627</v>
      </c>
      <c r="X16" s="913">
        <v>14.842794247393387</v>
      </c>
      <c r="Y16" s="913">
        <v>14.985196801851416</v>
      </c>
      <c r="Z16" s="913">
        <v>15.125157698145465</v>
      </c>
      <c r="AA16" s="913">
        <v>15.225733932459173</v>
      </c>
      <c r="AB16" s="914">
        <v>15.312322281050708</v>
      </c>
      <c r="AC16" s="914">
        <v>15.398910629642243</v>
      </c>
      <c r="AD16" s="914">
        <v>15.485498978233778</v>
      </c>
      <c r="AE16" s="914">
        <v>15.572087326825313</v>
      </c>
      <c r="AF16" s="914">
        <v>15.658675675416848</v>
      </c>
      <c r="AG16" s="914">
        <v>15.745264024008383</v>
      </c>
      <c r="AH16" s="914">
        <v>15.831852372599919</v>
      </c>
      <c r="AI16" s="914">
        <v>15.918440721191454</v>
      </c>
      <c r="AJ16" s="914">
        <v>16.005029069782989</v>
      </c>
      <c r="AK16" s="914">
        <v>16.091617418374518</v>
      </c>
      <c r="AL16" s="914">
        <v>16.26193617174043</v>
      </c>
      <c r="AM16" s="914">
        <v>16.432254925106342</v>
      </c>
      <c r="AN16" s="914">
        <v>16.602573678472254</v>
      </c>
      <c r="AO16" s="914">
        <v>16.772892431838166</v>
      </c>
      <c r="AP16" s="914">
        <v>16.943211185204078</v>
      </c>
      <c r="AQ16" s="914">
        <v>17.113529938569989</v>
      </c>
      <c r="AR16" s="914">
        <v>17.283848691935901</v>
      </c>
      <c r="AS16" s="914">
        <v>17.454167445301813</v>
      </c>
      <c r="AT16" s="914">
        <v>17.624486198667725</v>
      </c>
      <c r="AU16" s="914">
        <v>17.794804952033637</v>
      </c>
      <c r="AV16" s="914">
        <v>17.965123705399549</v>
      </c>
      <c r="AW16" s="914">
        <v>18.135442458765461</v>
      </c>
      <c r="AX16" s="914">
        <v>18.305761212131372</v>
      </c>
      <c r="AY16" s="914">
        <v>18.476079965497284</v>
      </c>
      <c r="AZ16" s="913">
        <v>18.646398718863171</v>
      </c>
      <c r="BA16" s="914">
        <v>18.752570913712709</v>
      </c>
      <c r="BB16" s="914">
        <v>18.858743108562248</v>
      </c>
      <c r="BC16" s="914">
        <v>18.964915303411786</v>
      </c>
      <c r="BD16" s="914">
        <v>19.071087498261324</v>
      </c>
      <c r="BE16" s="914">
        <v>19.177259693110862</v>
      </c>
      <c r="BF16" s="914">
        <v>19.283431887960401</v>
      </c>
      <c r="BG16" s="914">
        <v>19.389604082809939</v>
      </c>
      <c r="BH16" s="914">
        <v>19.495776277659477</v>
      </c>
      <c r="BI16" s="914">
        <v>19.601948472509015</v>
      </c>
      <c r="BJ16" s="914">
        <v>19.708120667358553</v>
      </c>
      <c r="BK16" s="914">
        <v>19.814292862208092</v>
      </c>
      <c r="BL16" s="914">
        <v>19.92046505705763</v>
      </c>
      <c r="BM16" s="914">
        <v>20.026637251907168</v>
      </c>
      <c r="BN16" s="914">
        <v>20.132809446756706</v>
      </c>
      <c r="BO16" s="913">
        <v>20.238981641606255</v>
      </c>
      <c r="BP16" s="914">
        <v>20.354221969500514</v>
      </c>
      <c r="BQ16" s="914">
        <v>20.469462297394774</v>
      </c>
      <c r="BR16" s="914">
        <v>20.584702625289033</v>
      </c>
      <c r="BS16" s="914">
        <v>20.699942953183292</v>
      </c>
      <c r="BT16" s="920">
        <v>20.815183281077545</v>
      </c>
    </row>
    <row r="17" spans="1:72" x14ac:dyDescent="0.25">
      <c r="A17" s="917" t="s">
        <v>312</v>
      </c>
      <c r="B17" s="912" t="s">
        <v>747</v>
      </c>
      <c r="C17" s="913">
        <v>15.730049999999999</v>
      </c>
      <c r="D17" s="913">
        <v>15.730049999999999</v>
      </c>
      <c r="E17" s="913">
        <v>15.730049999999999</v>
      </c>
      <c r="F17" s="913">
        <v>15.730049999999999</v>
      </c>
      <c r="G17" s="913">
        <v>15.730049999999999</v>
      </c>
      <c r="H17" s="913">
        <v>15.730049999999999</v>
      </c>
      <c r="I17" s="913">
        <v>15.730049999999999</v>
      </c>
      <c r="J17" s="913">
        <v>15.730049999999999</v>
      </c>
      <c r="K17" s="913">
        <v>15.730049999999999</v>
      </c>
      <c r="L17" s="913">
        <v>15.730049999999999</v>
      </c>
      <c r="M17" s="913">
        <v>15.730049999999999</v>
      </c>
      <c r="N17" s="913">
        <v>15.730049999999999</v>
      </c>
      <c r="O17" s="913">
        <v>15.730049999999999</v>
      </c>
      <c r="P17" s="913">
        <v>15.730049999999999</v>
      </c>
      <c r="Q17" s="913">
        <v>15.730049999999999</v>
      </c>
      <c r="R17" s="913">
        <v>15.730049999999999</v>
      </c>
      <c r="S17" s="913">
        <v>15.730049999999999</v>
      </c>
      <c r="T17" s="913">
        <v>15.730049999999999</v>
      </c>
      <c r="U17" s="913">
        <v>15.730049999999999</v>
      </c>
      <c r="V17" s="913">
        <v>15.730049999999999</v>
      </c>
      <c r="W17" s="913">
        <v>15.730049999999999</v>
      </c>
      <c r="X17" s="913">
        <v>15.730049999999999</v>
      </c>
      <c r="Y17" s="913">
        <v>15.730049999999999</v>
      </c>
      <c r="Z17" s="913">
        <v>15.730049999999999</v>
      </c>
      <c r="AA17" s="913">
        <v>15.730049999999999</v>
      </c>
      <c r="AB17" s="913">
        <v>15.730049999999999</v>
      </c>
      <c r="AC17" s="913">
        <v>15.730049999999999</v>
      </c>
      <c r="AD17" s="913">
        <v>15.730049999999999</v>
      </c>
      <c r="AE17" s="913">
        <v>15.730049999999999</v>
      </c>
      <c r="AF17" s="913">
        <v>15.730049999999999</v>
      </c>
      <c r="AG17" s="913">
        <v>15.730049999999999</v>
      </c>
      <c r="AH17" s="913">
        <v>15.730049999999999</v>
      </c>
      <c r="AI17" s="913">
        <v>15.730049999999999</v>
      </c>
      <c r="AJ17" s="913">
        <v>15.730049999999999</v>
      </c>
      <c r="AK17" s="913">
        <v>15.730049999999999</v>
      </c>
      <c r="AL17" s="913">
        <v>15.730049999999999</v>
      </c>
      <c r="AM17" s="913">
        <v>15.730049999999999</v>
      </c>
      <c r="AN17" s="913">
        <v>15.730049999999999</v>
      </c>
      <c r="AO17" s="913">
        <v>15.730049999999999</v>
      </c>
      <c r="AP17" s="913">
        <v>15.730049999999999</v>
      </c>
      <c r="AQ17" s="913">
        <v>15.730049999999999</v>
      </c>
      <c r="AR17" s="913">
        <v>15.730049999999999</v>
      </c>
      <c r="AS17" s="913">
        <v>15.730049999999999</v>
      </c>
      <c r="AT17" s="913">
        <v>15.730049999999999</v>
      </c>
      <c r="AU17" s="913">
        <v>15.730049999999999</v>
      </c>
      <c r="AV17" s="913">
        <v>15.730049999999999</v>
      </c>
      <c r="AW17" s="913">
        <v>15.730049999999999</v>
      </c>
      <c r="AX17" s="913">
        <v>15.730049999999999</v>
      </c>
      <c r="AY17" s="913">
        <v>15.730049999999999</v>
      </c>
      <c r="AZ17" s="913">
        <v>15.730049999999999</v>
      </c>
      <c r="BA17" s="913">
        <v>15.730049999999999</v>
      </c>
      <c r="BB17" s="913">
        <v>15.730049999999999</v>
      </c>
      <c r="BC17" s="913">
        <v>15.730049999999999</v>
      </c>
      <c r="BD17" s="913">
        <v>15.730049999999999</v>
      </c>
      <c r="BE17" s="913">
        <v>15.730049999999999</v>
      </c>
      <c r="BF17" s="913">
        <v>15.730049999999999</v>
      </c>
      <c r="BG17" s="913">
        <v>15.730049999999999</v>
      </c>
      <c r="BH17" s="913">
        <v>15.730049999999999</v>
      </c>
      <c r="BI17" s="913">
        <v>15.730049999999999</v>
      </c>
      <c r="BJ17" s="913">
        <v>15.730049999999999</v>
      </c>
      <c r="BK17" s="913">
        <v>15.730049999999999</v>
      </c>
      <c r="BL17" s="913">
        <v>15.730049999999999</v>
      </c>
      <c r="BM17" s="913">
        <v>15.730049999999999</v>
      </c>
      <c r="BN17" s="913">
        <v>15.730049999999999</v>
      </c>
      <c r="BO17" s="913">
        <v>15.730049999999999</v>
      </c>
      <c r="BP17" s="913">
        <v>15.730049999999999</v>
      </c>
      <c r="BQ17" s="913">
        <v>15.730049999999999</v>
      </c>
      <c r="BR17" s="913">
        <v>15.730049999999999</v>
      </c>
      <c r="BS17" s="913">
        <v>15.730049999999999</v>
      </c>
      <c r="BT17" s="920">
        <v>15.730049999999999</v>
      </c>
    </row>
    <row r="18" spans="1:72" x14ac:dyDescent="0.25">
      <c r="A18" s="911" t="s">
        <v>311</v>
      </c>
      <c r="B18" s="912" t="s">
        <v>747</v>
      </c>
      <c r="C18" s="913">
        <v>8.7353999999999985</v>
      </c>
      <c r="D18" s="913">
        <v>8.7353999999999985</v>
      </c>
      <c r="E18" s="913">
        <v>8.7353999999999985</v>
      </c>
      <c r="F18" s="913">
        <v>8.7353999999999985</v>
      </c>
      <c r="G18" s="913">
        <v>8.7353999999999985</v>
      </c>
      <c r="H18" s="913">
        <v>8.7353999999999985</v>
      </c>
      <c r="I18" s="913">
        <v>8.7353999999999985</v>
      </c>
      <c r="J18" s="913">
        <v>8.7353999999999985</v>
      </c>
      <c r="K18" s="913">
        <v>8.7353999999999985</v>
      </c>
      <c r="L18" s="913">
        <v>8.7353999999999985</v>
      </c>
      <c r="M18" s="913">
        <v>8.7353999999999985</v>
      </c>
      <c r="N18" s="913">
        <v>8.7353999999999985</v>
      </c>
      <c r="O18" s="913">
        <v>8.7353999999999985</v>
      </c>
      <c r="P18" s="913">
        <v>8.7353999999999985</v>
      </c>
      <c r="Q18" s="913">
        <v>8.7353999999999985</v>
      </c>
      <c r="R18" s="913">
        <v>8.7353999999999985</v>
      </c>
      <c r="S18" s="913">
        <v>8.7353999999999985</v>
      </c>
      <c r="T18" s="913">
        <v>8.7353999999999985</v>
      </c>
      <c r="U18" s="913">
        <v>8.7353999999999985</v>
      </c>
      <c r="V18" s="913">
        <v>8.7353999999999985</v>
      </c>
      <c r="W18" s="913">
        <v>8.7353999999999985</v>
      </c>
      <c r="X18" s="913">
        <v>8.7353999999999985</v>
      </c>
      <c r="Y18" s="913">
        <v>8.7353999999999985</v>
      </c>
      <c r="Z18" s="913">
        <v>8.7353999999999985</v>
      </c>
      <c r="AA18" s="913">
        <v>8.7353999999999985</v>
      </c>
      <c r="AB18" s="913">
        <v>8.7353999999999985</v>
      </c>
      <c r="AC18" s="913">
        <v>8.7353999999999985</v>
      </c>
      <c r="AD18" s="913">
        <v>8.7353999999999985</v>
      </c>
      <c r="AE18" s="913">
        <v>8.7353999999999985</v>
      </c>
      <c r="AF18" s="913">
        <v>8.7353999999999985</v>
      </c>
      <c r="AG18" s="913">
        <v>8.7353999999999985</v>
      </c>
      <c r="AH18" s="913">
        <v>8.7353999999999985</v>
      </c>
      <c r="AI18" s="913">
        <v>8.7353999999999985</v>
      </c>
      <c r="AJ18" s="913">
        <v>8.7353999999999985</v>
      </c>
      <c r="AK18" s="913">
        <v>8.7353999999999985</v>
      </c>
      <c r="AL18" s="913">
        <v>8.7353999999999985</v>
      </c>
      <c r="AM18" s="913">
        <v>8.7353999999999985</v>
      </c>
      <c r="AN18" s="913">
        <v>8.7353999999999985</v>
      </c>
      <c r="AO18" s="913">
        <v>8.7353999999999985</v>
      </c>
      <c r="AP18" s="913">
        <v>8.7353999999999985</v>
      </c>
      <c r="AQ18" s="913">
        <v>8.7353999999999985</v>
      </c>
      <c r="AR18" s="913">
        <v>8.7353999999999985</v>
      </c>
      <c r="AS18" s="913">
        <v>8.7353999999999985</v>
      </c>
      <c r="AT18" s="913">
        <v>8.7353999999999985</v>
      </c>
      <c r="AU18" s="913">
        <v>8.7353999999999985</v>
      </c>
      <c r="AV18" s="913">
        <v>8.7353999999999985</v>
      </c>
      <c r="AW18" s="913">
        <v>8.7353999999999985</v>
      </c>
      <c r="AX18" s="913">
        <v>8.7353999999999985</v>
      </c>
      <c r="AY18" s="913">
        <v>8.7353999999999985</v>
      </c>
      <c r="AZ18" s="913">
        <v>8.7353999999999985</v>
      </c>
      <c r="BA18" s="913">
        <v>8.7353999999999985</v>
      </c>
      <c r="BB18" s="913">
        <v>8.7353999999999985</v>
      </c>
      <c r="BC18" s="913">
        <v>8.7353999999999985</v>
      </c>
      <c r="BD18" s="913">
        <v>8.7353999999999985</v>
      </c>
      <c r="BE18" s="913">
        <v>8.7353999999999985</v>
      </c>
      <c r="BF18" s="913">
        <v>8.7353999999999985</v>
      </c>
      <c r="BG18" s="913">
        <v>8.7353999999999985</v>
      </c>
      <c r="BH18" s="913">
        <v>8.7353999999999985</v>
      </c>
      <c r="BI18" s="913">
        <v>8.7353999999999985</v>
      </c>
      <c r="BJ18" s="913">
        <v>8.7353999999999985</v>
      </c>
      <c r="BK18" s="913">
        <v>8.7353999999999985</v>
      </c>
      <c r="BL18" s="913">
        <v>8.7353999999999985</v>
      </c>
      <c r="BM18" s="913">
        <v>8.7353999999999985</v>
      </c>
      <c r="BN18" s="913">
        <v>8.7353999999999985</v>
      </c>
      <c r="BO18" s="913">
        <v>8.7353999999999985</v>
      </c>
      <c r="BP18" s="913">
        <v>8.7353999999999985</v>
      </c>
      <c r="BQ18" s="913">
        <v>8.7353999999999985</v>
      </c>
      <c r="BR18" s="913">
        <v>8.7353999999999985</v>
      </c>
      <c r="BS18" s="913">
        <v>8.7353999999999985</v>
      </c>
      <c r="BT18" s="920">
        <v>8.7353999999999985</v>
      </c>
    </row>
    <row r="19" spans="1:72" x14ac:dyDescent="0.25">
      <c r="A19" s="1722" t="s">
        <v>755</v>
      </c>
      <c r="B19" s="1723"/>
      <c r="C19" s="1723"/>
      <c r="D19" s="1723"/>
      <c r="E19" s="1723"/>
      <c r="F19" s="1723"/>
      <c r="G19" s="1723"/>
      <c r="H19" s="1723"/>
      <c r="I19" s="1723"/>
      <c r="J19" s="1723"/>
      <c r="K19" s="1723"/>
      <c r="L19" s="1723"/>
      <c r="M19" s="1723"/>
      <c r="N19" s="1723"/>
      <c r="O19" s="1723"/>
      <c r="P19" s="1723"/>
      <c r="Q19" s="1723"/>
      <c r="R19" s="1723"/>
      <c r="S19" s="1723"/>
      <c r="T19" s="1723"/>
      <c r="U19" s="1723"/>
      <c r="V19" s="1723"/>
      <c r="W19" s="1723"/>
      <c r="X19" s="1723"/>
      <c r="Y19" s="1723"/>
      <c r="Z19" s="1723"/>
      <c r="AA19" s="1723"/>
      <c r="AB19" s="1723"/>
      <c r="AC19" s="1723"/>
      <c r="AD19" s="1723"/>
      <c r="AE19" s="1723"/>
      <c r="AF19" s="1723"/>
      <c r="AG19" s="1723"/>
      <c r="AH19" s="1723"/>
      <c r="AI19" s="1723"/>
      <c r="AJ19" s="1723"/>
      <c r="AK19" s="1723"/>
      <c r="AL19" s="1723"/>
      <c r="AM19" s="1723"/>
      <c r="AN19" s="1723"/>
      <c r="AO19" s="1723"/>
      <c r="AP19" s="1723"/>
      <c r="AQ19" s="1723"/>
      <c r="AR19" s="1723"/>
      <c r="AS19" s="1723"/>
      <c r="AT19" s="1723"/>
      <c r="AU19" s="1723"/>
      <c r="AV19" s="1723"/>
      <c r="AW19" s="1723"/>
      <c r="AX19" s="1723"/>
      <c r="AY19" s="1723"/>
      <c r="AZ19" s="1723"/>
      <c r="BA19" s="1723"/>
      <c r="BB19" s="1723"/>
      <c r="BC19" s="1723"/>
      <c r="BD19" s="1723"/>
      <c r="BE19" s="1723"/>
      <c r="BF19" s="1723"/>
      <c r="BG19" s="1723"/>
      <c r="BH19" s="1723"/>
      <c r="BI19" s="1723"/>
      <c r="BJ19" s="1723"/>
      <c r="BK19" s="1723"/>
      <c r="BL19" s="1723"/>
      <c r="BM19" s="1723"/>
      <c r="BN19" s="1723"/>
      <c r="BO19" s="1723"/>
      <c r="BP19" s="1723"/>
      <c r="BQ19" s="1723"/>
      <c r="BR19" s="1723"/>
      <c r="BS19" s="1723"/>
      <c r="BT19" s="1724"/>
    </row>
    <row r="20" spans="1:72" ht="24" thickBot="1" x14ac:dyDescent="0.3">
      <c r="A20" s="921" t="s">
        <v>756</v>
      </c>
      <c r="B20" s="922" t="s">
        <v>747</v>
      </c>
      <c r="C20" s="923">
        <v>1.2696286520685174</v>
      </c>
      <c r="D20" s="923">
        <v>1.2696286520685174</v>
      </c>
      <c r="E20" s="923">
        <v>1.2696286520685174</v>
      </c>
      <c r="F20" s="923">
        <v>1.2696286520685174</v>
      </c>
      <c r="G20" s="923">
        <v>1.2696286520685174</v>
      </c>
      <c r="H20" s="923">
        <v>1.2696286520685174</v>
      </c>
      <c r="I20" s="923">
        <v>1.2696286520685174</v>
      </c>
      <c r="J20" s="923">
        <v>1.2696286520685174</v>
      </c>
      <c r="K20" s="923">
        <v>1.2696286520685174</v>
      </c>
      <c r="L20" s="923">
        <v>1.2696286520685174</v>
      </c>
      <c r="M20" s="923">
        <v>1.2716814065585227</v>
      </c>
      <c r="N20" s="923">
        <v>1.2809188017635484</v>
      </c>
      <c r="O20" s="923">
        <v>1.3178683825836508</v>
      </c>
      <c r="P20" s="923">
        <v>1.3209475143186591</v>
      </c>
      <c r="Q20" s="923">
        <v>1.3435278137087219</v>
      </c>
      <c r="R20" s="923">
        <v>1.3466069454437304</v>
      </c>
      <c r="S20" s="923">
        <v>1.3630289813637759</v>
      </c>
      <c r="T20" s="923">
        <v>1.3578970951387617</v>
      </c>
      <c r="U20" s="923">
        <v>1.383556526263833</v>
      </c>
      <c r="V20" s="923">
        <v>1.4030576939188868</v>
      </c>
      <c r="W20" s="923">
        <v>1.460534819639046</v>
      </c>
      <c r="X20" s="923">
        <v>1.4800359872941</v>
      </c>
      <c r="Y20" s="923">
        <v>1.4861942507641173</v>
      </c>
      <c r="Z20" s="923">
        <v>1.5118536818891883</v>
      </c>
      <c r="AA20" s="923">
        <v>1.5262229633192279</v>
      </c>
      <c r="AB20" s="923">
        <v>1.6236006669873051</v>
      </c>
      <c r="AC20" s="923">
        <v>1.7209783706553823</v>
      </c>
      <c r="AD20" s="923">
        <v>1.8183560743234595</v>
      </c>
      <c r="AE20" s="923">
        <v>1.9157337779915367</v>
      </c>
      <c r="AF20" s="923">
        <v>2.0131114816596138</v>
      </c>
      <c r="AG20" s="923">
        <v>2.1104891853276913</v>
      </c>
      <c r="AH20" s="923">
        <v>2.2078668889957687</v>
      </c>
      <c r="AI20" s="923">
        <v>2.3052445926638461</v>
      </c>
      <c r="AJ20" s="923">
        <v>2.4026222963319235</v>
      </c>
      <c r="AK20" s="923">
        <v>2.5</v>
      </c>
      <c r="AL20" s="923">
        <v>2.5714285714285716</v>
      </c>
      <c r="AM20" s="923">
        <v>2.6428571428571432</v>
      </c>
      <c r="AN20" s="923">
        <v>2.7142857142857149</v>
      </c>
      <c r="AO20" s="923">
        <v>2.7857142857142865</v>
      </c>
      <c r="AP20" s="923">
        <v>2.8571428571428581</v>
      </c>
      <c r="AQ20" s="923">
        <v>2.9285714285714297</v>
      </c>
      <c r="AR20" s="923">
        <v>3</v>
      </c>
      <c r="AS20" s="923">
        <v>3.071428571428573</v>
      </c>
      <c r="AT20" s="923">
        <v>3.1428571428571446</v>
      </c>
      <c r="AU20" s="923">
        <v>3.2142857142857162</v>
      </c>
      <c r="AV20" s="923">
        <v>3.2857142857142878</v>
      </c>
      <c r="AW20" s="923">
        <v>3.3571428571428594</v>
      </c>
      <c r="AX20" s="923">
        <v>3.428571428571431</v>
      </c>
      <c r="AY20" s="923">
        <v>3.5</v>
      </c>
      <c r="AZ20" s="923">
        <v>3.5714285714285743</v>
      </c>
      <c r="BA20" s="923">
        <v>3.6428571428571459</v>
      </c>
      <c r="BB20" s="923">
        <v>3.7142857142857175</v>
      </c>
      <c r="BC20" s="923">
        <v>3.7857142857142891</v>
      </c>
      <c r="BD20" s="923">
        <v>3.8571428571428608</v>
      </c>
      <c r="BE20" s="923">
        <v>3.9285714285714324</v>
      </c>
      <c r="BF20" s="923">
        <v>4</v>
      </c>
      <c r="BG20" s="923">
        <v>4.0714285714285747</v>
      </c>
      <c r="BH20" s="923">
        <v>4.1428571428571459</v>
      </c>
      <c r="BI20" s="923">
        <v>4.2142857142857171</v>
      </c>
      <c r="BJ20" s="923">
        <v>4.2857142857142883</v>
      </c>
      <c r="BK20" s="923">
        <v>4.3571428571428594</v>
      </c>
      <c r="BL20" s="923">
        <v>4.4285714285714306</v>
      </c>
      <c r="BM20" s="923">
        <v>4.5</v>
      </c>
      <c r="BN20" s="923">
        <v>4.571428571428573</v>
      </c>
      <c r="BO20" s="923">
        <v>4.6428571428571441</v>
      </c>
      <c r="BP20" s="923">
        <v>4.7142857142857153</v>
      </c>
      <c r="BQ20" s="923">
        <v>4.7857142857142865</v>
      </c>
      <c r="BR20" s="923">
        <v>4.8571428571428577</v>
      </c>
      <c r="BS20" s="923">
        <v>4.9285714285714288</v>
      </c>
      <c r="BT20" s="924">
        <v>5</v>
      </c>
    </row>
    <row r="21" spans="1:72" ht="47.25" customHeight="1" x14ac:dyDescent="0.25">
      <c r="A21" s="1730" t="s">
        <v>437</v>
      </c>
      <c r="B21" s="1731"/>
      <c r="C21" s="1731"/>
      <c r="D21" s="1731"/>
      <c r="E21" s="1731"/>
      <c r="F21" s="1731"/>
      <c r="G21" s="1731"/>
      <c r="H21" s="1731"/>
      <c r="I21" s="1731"/>
      <c r="J21" s="1731"/>
      <c r="K21" s="1731"/>
      <c r="L21" s="1731"/>
      <c r="M21" s="1731"/>
      <c r="N21" s="1731"/>
      <c r="O21" s="1731"/>
      <c r="P21" s="1731"/>
      <c r="Q21" s="1731"/>
      <c r="R21" s="1731"/>
      <c r="S21" s="1731"/>
      <c r="T21" s="1731"/>
      <c r="U21" s="925"/>
      <c r="V21" s="925"/>
      <c r="W21" s="925"/>
      <c r="X21" s="925"/>
      <c r="Y21" s="925"/>
      <c r="Z21" s="925"/>
      <c r="AA21" s="925"/>
      <c r="AB21" s="925"/>
      <c r="AC21" s="925"/>
      <c r="AD21" s="925"/>
      <c r="AE21" s="925"/>
      <c r="AF21" s="925"/>
      <c r="AG21" s="925"/>
      <c r="AH21" s="925"/>
      <c r="AI21" s="925"/>
      <c r="AJ21" s="925"/>
      <c r="AK21" s="925"/>
      <c r="AL21" s="925"/>
      <c r="AM21" s="925"/>
      <c r="AN21" s="925"/>
      <c r="AO21" s="925"/>
      <c r="AP21" s="925"/>
      <c r="AQ21" s="925"/>
      <c r="AR21" s="925"/>
      <c r="AS21" s="925"/>
      <c r="AT21" s="925"/>
      <c r="AU21" s="925"/>
      <c r="AV21" s="925"/>
      <c r="AW21" s="925"/>
      <c r="AX21" s="925"/>
      <c r="AY21" s="925"/>
      <c r="AZ21" s="925"/>
      <c r="BA21" s="925"/>
      <c r="BB21" s="925"/>
      <c r="BC21" s="925"/>
      <c r="BD21" s="925"/>
      <c r="BE21" s="925"/>
      <c r="BF21" s="925"/>
      <c r="BG21" s="925"/>
      <c r="BH21" s="925"/>
      <c r="BI21" s="925"/>
      <c r="BJ21" s="925"/>
      <c r="BK21" s="925"/>
      <c r="BL21" s="925"/>
      <c r="BM21" s="925"/>
      <c r="BN21" s="925"/>
      <c r="BO21" s="925"/>
      <c r="BP21" s="925"/>
      <c r="BQ21" s="925"/>
      <c r="BR21" s="925"/>
      <c r="BS21" s="925"/>
      <c r="BT21" s="925"/>
    </row>
    <row r="22" spans="1:72" x14ac:dyDescent="0.25">
      <c r="A22" s="926"/>
      <c r="B22" s="926"/>
      <c r="C22" s="926"/>
      <c r="D22" s="926"/>
      <c r="E22" s="926"/>
      <c r="F22" s="926"/>
      <c r="G22" s="926"/>
      <c r="H22" s="926"/>
      <c r="I22" s="926"/>
      <c r="J22" s="926"/>
      <c r="K22" s="926"/>
      <c r="L22" s="926"/>
      <c r="M22" s="926"/>
      <c r="N22" s="926"/>
      <c r="O22" s="926"/>
      <c r="P22" s="926"/>
      <c r="Q22" s="926"/>
      <c r="R22" s="926"/>
      <c r="S22" s="926"/>
      <c r="T22" s="926"/>
      <c r="U22" s="927"/>
      <c r="V22" s="927"/>
      <c r="W22" s="927"/>
      <c r="X22" s="927"/>
      <c r="Y22" s="927"/>
      <c r="Z22" s="927"/>
      <c r="AA22" s="927"/>
      <c r="AB22" s="927"/>
      <c r="AC22" s="927"/>
      <c r="AD22" s="927"/>
      <c r="AE22" s="927"/>
      <c r="AF22" s="927"/>
      <c r="AG22" s="927"/>
      <c r="AH22" s="927"/>
      <c r="AI22" s="927"/>
      <c r="AJ22" s="927"/>
      <c r="AK22" s="927"/>
      <c r="AL22" s="927"/>
      <c r="AM22" s="927"/>
      <c r="AN22" s="927"/>
      <c r="AO22" s="927"/>
      <c r="AP22" s="927"/>
      <c r="AQ22" s="927"/>
      <c r="AR22" s="927"/>
      <c r="AS22" s="927"/>
      <c r="AT22" s="927"/>
      <c r="AU22" s="927"/>
      <c r="AV22" s="927"/>
      <c r="AW22" s="927"/>
      <c r="AX22" s="927"/>
      <c r="AY22" s="927"/>
      <c r="AZ22" s="927"/>
      <c r="BA22" s="927"/>
      <c r="BB22" s="927"/>
      <c r="BC22" s="927"/>
      <c r="BD22" s="927"/>
      <c r="BE22" s="927"/>
      <c r="BF22" s="927"/>
      <c r="BG22" s="927"/>
      <c r="BH22" s="927"/>
      <c r="BI22" s="927"/>
      <c r="BJ22" s="927"/>
      <c r="BK22" s="927"/>
      <c r="BL22" s="927"/>
      <c r="BM22" s="927"/>
      <c r="BN22" s="927"/>
      <c r="BO22" s="927"/>
      <c r="BP22" s="927"/>
      <c r="BQ22" s="927"/>
      <c r="BR22" s="927"/>
      <c r="BS22" s="927"/>
      <c r="BT22" s="927"/>
    </row>
    <row r="23" spans="1:72" ht="42.75" customHeight="1" x14ac:dyDescent="0.25">
      <c r="A23" s="1714" t="s">
        <v>757</v>
      </c>
      <c r="B23" s="1714"/>
      <c r="C23" s="1714"/>
      <c r="D23" s="1714"/>
      <c r="E23" s="1714"/>
      <c r="F23" s="1714"/>
      <c r="G23" s="1714"/>
      <c r="H23" s="1714"/>
      <c r="I23" s="1714"/>
      <c r="J23" s="1714"/>
      <c r="K23" s="1714"/>
      <c r="L23" s="1714"/>
      <c r="M23" s="1714"/>
      <c r="N23" s="1714"/>
      <c r="O23" s="1714"/>
      <c r="P23" s="1714"/>
      <c r="Q23" s="1714"/>
      <c r="R23" s="1714"/>
      <c r="S23" s="1714"/>
      <c r="T23" s="1714"/>
      <c r="U23" s="927"/>
      <c r="V23" s="927"/>
      <c r="W23" s="927"/>
      <c r="X23" s="927"/>
      <c r="Y23" s="927"/>
      <c r="Z23" s="927"/>
      <c r="AA23" s="927"/>
      <c r="AB23" s="927"/>
      <c r="AC23" s="927"/>
      <c r="AD23" s="927"/>
      <c r="AE23" s="927"/>
      <c r="AF23" s="927"/>
      <c r="AG23" s="927"/>
      <c r="AH23" s="927"/>
      <c r="AI23" s="927"/>
      <c r="AJ23" s="927"/>
      <c r="AK23" s="927"/>
      <c r="AL23" s="927"/>
      <c r="AM23" s="927"/>
      <c r="AN23" s="927"/>
      <c r="AO23" s="927"/>
      <c r="AP23" s="927"/>
      <c r="AQ23" s="927"/>
      <c r="AR23" s="927"/>
      <c r="AS23" s="927"/>
      <c r="AT23" s="927"/>
      <c r="AU23" s="927"/>
      <c r="AV23" s="927"/>
      <c r="AW23" s="927"/>
      <c r="AX23" s="927"/>
      <c r="AY23" s="927"/>
      <c r="AZ23" s="927"/>
      <c r="BA23" s="927"/>
      <c r="BB23" s="927"/>
      <c r="BC23" s="927"/>
      <c r="BD23" s="927"/>
      <c r="BE23" s="927"/>
      <c r="BF23" s="927"/>
      <c r="BG23" s="927"/>
      <c r="BH23" s="927"/>
      <c r="BI23" s="927"/>
      <c r="BJ23" s="927"/>
      <c r="BK23" s="927"/>
      <c r="BL23" s="927"/>
      <c r="BM23" s="927"/>
      <c r="BN23" s="927"/>
      <c r="BO23" s="927"/>
      <c r="BP23" s="927"/>
      <c r="BQ23" s="927"/>
      <c r="BR23" s="927"/>
      <c r="BS23" s="927"/>
      <c r="BT23" s="927"/>
    </row>
    <row r="24" spans="1:72" x14ac:dyDescent="0.25">
      <c r="A24" s="927"/>
      <c r="B24" s="927"/>
      <c r="C24" s="927"/>
      <c r="D24" s="927"/>
      <c r="E24" s="927"/>
      <c r="F24" s="927"/>
      <c r="G24" s="927"/>
      <c r="H24" s="927"/>
      <c r="I24" s="927"/>
      <c r="J24" s="927"/>
      <c r="K24" s="927"/>
      <c r="L24" s="927"/>
      <c r="M24" s="927"/>
      <c r="N24" s="927"/>
      <c r="O24" s="927"/>
      <c r="P24" s="927"/>
      <c r="Q24" s="927"/>
      <c r="R24" s="927"/>
      <c r="S24" s="927"/>
      <c r="T24" s="927"/>
      <c r="U24" s="927"/>
      <c r="V24" s="927"/>
      <c r="W24" s="927"/>
      <c r="X24" s="927"/>
      <c r="Y24" s="927"/>
      <c r="Z24" s="927"/>
      <c r="AA24" s="927"/>
      <c r="AB24" s="927"/>
      <c r="AC24" s="927"/>
      <c r="AD24" s="927"/>
      <c r="AE24" s="927"/>
      <c r="AF24" s="927"/>
      <c r="AG24" s="927"/>
      <c r="AH24" s="927"/>
      <c r="AI24" s="927"/>
      <c r="AJ24" s="927"/>
      <c r="AK24" s="927"/>
      <c r="AL24" s="927"/>
      <c r="AM24" s="927"/>
      <c r="AN24" s="927"/>
      <c r="AO24" s="927"/>
      <c r="AP24" s="927"/>
      <c r="AQ24" s="927"/>
      <c r="AR24" s="927"/>
      <c r="AS24" s="927"/>
      <c r="AT24" s="927"/>
      <c r="AU24" s="927"/>
      <c r="AV24" s="927"/>
      <c r="AW24" s="927"/>
      <c r="AX24" s="927"/>
      <c r="AY24" s="927"/>
      <c r="AZ24" s="927"/>
      <c r="BA24" s="927"/>
      <c r="BB24" s="927"/>
      <c r="BC24" s="927"/>
      <c r="BD24" s="927"/>
      <c r="BE24" s="927"/>
      <c r="BF24" s="927"/>
      <c r="BG24" s="927"/>
      <c r="BH24" s="927"/>
      <c r="BI24" s="927"/>
      <c r="BJ24" s="927"/>
      <c r="BK24" s="927"/>
      <c r="BL24" s="927"/>
      <c r="BM24" s="927"/>
      <c r="BN24" s="927"/>
      <c r="BO24" s="927"/>
      <c r="BP24" s="927"/>
      <c r="BQ24" s="927"/>
      <c r="BR24" s="927"/>
      <c r="BS24" s="927"/>
      <c r="BT24" s="927"/>
    </row>
    <row r="25" spans="1:72" ht="15.6" x14ac:dyDescent="0.3">
      <c r="A25" s="1732" t="s">
        <v>1115</v>
      </c>
      <c r="B25" s="1732"/>
      <c r="C25" s="1732"/>
      <c r="D25" s="1732"/>
      <c r="E25" s="1732"/>
      <c r="F25" s="1732"/>
      <c r="G25" s="1732"/>
      <c r="H25" s="1732"/>
      <c r="I25" s="1732"/>
      <c r="J25" s="1732"/>
      <c r="K25" s="1732"/>
      <c r="L25" s="927"/>
      <c r="M25" s="927"/>
      <c r="N25" s="927"/>
      <c r="O25" s="927"/>
      <c r="P25" s="927"/>
      <c r="Q25" s="927"/>
      <c r="R25" s="927"/>
      <c r="S25" s="927"/>
      <c r="T25" s="927"/>
      <c r="U25" s="927"/>
      <c r="V25" s="927"/>
      <c r="W25" s="927"/>
      <c r="X25" s="927"/>
      <c r="Y25" s="927"/>
      <c r="Z25" s="927"/>
      <c r="AA25" s="927"/>
      <c r="AB25" s="927"/>
      <c r="AC25" s="927"/>
      <c r="AD25" s="927"/>
      <c r="AE25" s="927"/>
      <c r="AF25" s="927"/>
      <c r="AG25" s="927"/>
      <c r="AH25" s="927"/>
      <c r="AI25" s="927"/>
      <c r="AJ25" s="927"/>
      <c r="AK25" s="927"/>
      <c r="AL25" s="927"/>
      <c r="AM25" s="927"/>
      <c r="AN25" s="927"/>
      <c r="AO25" s="927"/>
      <c r="AP25" s="927"/>
      <c r="AQ25" s="927"/>
      <c r="AR25" s="927"/>
      <c r="AS25" s="927"/>
      <c r="AT25" s="927"/>
      <c r="AU25" s="927"/>
      <c r="AV25" s="927"/>
      <c r="AW25" s="927"/>
      <c r="AX25" s="927"/>
      <c r="AY25" s="927"/>
      <c r="AZ25" s="927"/>
      <c r="BA25" s="927"/>
      <c r="BB25" s="927"/>
      <c r="BC25" s="927"/>
      <c r="BD25" s="927"/>
      <c r="BE25" s="927"/>
      <c r="BF25" s="927"/>
      <c r="BG25" s="927"/>
      <c r="BH25" s="927"/>
      <c r="BI25" s="927"/>
      <c r="BJ25" s="927"/>
      <c r="BK25" s="927"/>
      <c r="BL25" s="927"/>
      <c r="BM25" s="927"/>
      <c r="BN25" s="927"/>
      <c r="BO25" s="927"/>
      <c r="BP25" s="927"/>
      <c r="BQ25" s="927"/>
      <c r="BR25" s="927"/>
      <c r="BS25" s="927"/>
      <c r="BT25" s="927"/>
    </row>
    <row r="26" spans="1:72" ht="13.8" thickBot="1" x14ac:dyDescent="0.3">
      <c r="A26" s="1733"/>
      <c r="B26" s="1733"/>
      <c r="C26" s="1733"/>
      <c r="D26" s="1733"/>
      <c r="E26" s="1733"/>
      <c r="F26" s="1733"/>
      <c r="G26" s="1733"/>
      <c r="H26" s="1733"/>
      <c r="I26" s="1733"/>
      <c r="J26" s="1733"/>
      <c r="K26" s="1733"/>
      <c r="L26" s="927"/>
      <c r="M26" s="927"/>
      <c r="N26" s="927"/>
      <c r="O26" s="927"/>
      <c r="P26" s="927"/>
      <c r="Q26" s="927"/>
      <c r="R26" s="927"/>
      <c r="S26" s="927"/>
      <c r="T26" s="927"/>
      <c r="U26" s="927"/>
      <c r="V26" s="927"/>
      <c r="W26" s="927"/>
      <c r="X26" s="927"/>
      <c r="Y26" s="927"/>
      <c r="Z26" s="927"/>
      <c r="AA26" s="927"/>
      <c r="AB26" s="927"/>
      <c r="AC26" s="927"/>
      <c r="AD26" s="927"/>
      <c r="AE26" s="927"/>
      <c r="AF26" s="927"/>
      <c r="AG26" s="927"/>
      <c r="AH26" s="927"/>
      <c r="AI26" s="927"/>
      <c r="AJ26" s="927"/>
      <c r="AK26" s="927"/>
      <c r="AL26" s="927"/>
      <c r="AM26" s="927"/>
      <c r="AN26" s="927"/>
      <c r="AO26" s="927"/>
      <c r="AP26" s="927"/>
      <c r="AQ26" s="927"/>
      <c r="AR26" s="927"/>
      <c r="AS26" s="927"/>
      <c r="AT26" s="927"/>
      <c r="AU26" s="927"/>
      <c r="AV26" s="927"/>
      <c r="AW26" s="927"/>
      <c r="AX26" s="927"/>
      <c r="AY26" s="927"/>
      <c r="AZ26" s="927"/>
      <c r="BA26" s="927"/>
      <c r="BB26" s="927"/>
      <c r="BC26" s="927"/>
      <c r="BD26" s="927"/>
      <c r="BE26" s="927"/>
      <c r="BF26" s="927"/>
      <c r="BG26" s="927"/>
      <c r="BH26" s="927"/>
      <c r="BI26" s="927"/>
      <c r="BJ26" s="927"/>
      <c r="BK26" s="927"/>
      <c r="BL26" s="927"/>
      <c r="BM26" s="927"/>
      <c r="BN26" s="927"/>
      <c r="BO26" s="927"/>
      <c r="BP26" s="927"/>
      <c r="BQ26" s="927"/>
      <c r="BR26" s="927"/>
      <c r="BS26" s="927"/>
      <c r="BT26" s="927"/>
    </row>
    <row r="27" spans="1:72" ht="39.6" x14ac:dyDescent="0.25">
      <c r="A27" s="928"/>
      <c r="B27" s="929" t="s">
        <v>758</v>
      </c>
      <c r="C27" s="929" t="s">
        <v>759</v>
      </c>
      <c r="D27" s="929" t="s">
        <v>1117</v>
      </c>
      <c r="E27" s="1734"/>
      <c r="F27" s="1734"/>
      <c r="G27" s="1734"/>
      <c r="H27" s="1734"/>
      <c r="I27" s="1734"/>
      <c r="J27" s="1700" t="s">
        <v>760</v>
      </c>
      <c r="K27" s="1701"/>
      <c r="L27" s="927"/>
      <c r="M27" s="927"/>
      <c r="N27" s="927"/>
      <c r="O27" s="927"/>
      <c r="P27" s="927"/>
      <c r="Q27" s="927"/>
      <c r="R27" s="927"/>
      <c r="S27" s="927"/>
      <c r="T27" s="927"/>
      <c r="U27" s="927"/>
      <c r="V27" s="927"/>
      <c r="W27" s="927"/>
      <c r="X27" s="927"/>
      <c r="Y27" s="927"/>
      <c r="Z27" s="927"/>
      <c r="AA27" s="927"/>
      <c r="AB27" s="927"/>
      <c r="AC27" s="927"/>
      <c r="AD27" s="927"/>
      <c r="AE27" s="927"/>
      <c r="AF27" s="927"/>
      <c r="AG27" s="927"/>
      <c r="AH27" s="927"/>
      <c r="AI27" s="927"/>
      <c r="AJ27" s="927"/>
      <c r="AK27" s="927"/>
      <c r="AL27" s="927"/>
      <c r="AM27" s="927"/>
      <c r="AN27" s="927"/>
      <c r="AO27" s="927"/>
      <c r="AP27" s="927"/>
      <c r="AQ27" s="927"/>
      <c r="AR27" s="927"/>
      <c r="AS27" s="927"/>
      <c r="AT27" s="927"/>
      <c r="AU27" s="927"/>
      <c r="AV27" s="927"/>
      <c r="AW27" s="927"/>
      <c r="AX27" s="927"/>
      <c r="AY27" s="927"/>
      <c r="AZ27" s="927"/>
      <c r="BA27" s="927"/>
      <c r="BB27" s="927"/>
      <c r="BC27" s="927"/>
      <c r="BD27" s="927"/>
      <c r="BE27" s="927"/>
      <c r="BF27" s="927"/>
      <c r="BG27" s="927"/>
      <c r="BH27" s="927"/>
      <c r="BI27" s="927"/>
      <c r="BJ27" s="927"/>
      <c r="BK27" s="927"/>
      <c r="BL27" s="927"/>
      <c r="BM27" s="927"/>
      <c r="BN27" s="927"/>
      <c r="BO27" s="927"/>
      <c r="BP27" s="927"/>
      <c r="BQ27" s="927"/>
      <c r="BR27" s="927"/>
      <c r="BS27" s="927"/>
      <c r="BT27" s="927"/>
    </row>
    <row r="28" spans="1:72" x14ac:dyDescent="0.25">
      <c r="A28" s="930" t="s">
        <v>569</v>
      </c>
      <c r="B28" s="931">
        <f>G40/F40</f>
        <v>1.0482288241385485</v>
      </c>
      <c r="C28" s="931">
        <f>H40/G40</f>
        <v>1.0526415477404851</v>
      </c>
      <c r="D28" s="931">
        <f>I40/H40</f>
        <v>1.0160295046377366</v>
      </c>
      <c r="E28" s="1702"/>
      <c r="F28" s="1702"/>
      <c r="G28" s="1702"/>
      <c r="H28" s="1702"/>
      <c r="I28" s="1702"/>
      <c r="J28" s="1702" t="s">
        <v>1085</v>
      </c>
      <c r="K28" s="1703" t="s">
        <v>1093</v>
      </c>
      <c r="L28" s="927"/>
      <c r="M28" s="927"/>
      <c r="N28" s="927"/>
      <c r="O28" s="927"/>
      <c r="P28" s="927"/>
      <c r="Q28" s="927"/>
      <c r="R28" s="927"/>
      <c r="S28" s="927"/>
      <c r="T28" s="927"/>
      <c r="U28" s="927"/>
      <c r="V28" s="927"/>
      <c r="W28" s="927"/>
      <c r="X28" s="927"/>
      <c r="Y28" s="927"/>
      <c r="Z28" s="927"/>
      <c r="AA28" s="927"/>
      <c r="AB28" s="927"/>
      <c r="AC28" s="927"/>
      <c r="AD28" s="927"/>
      <c r="AE28" s="927"/>
      <c r="AF28" s="927"/>
      <c r="AG28" s="927"/>
      <c r="AH28" s="927"/>
      <c r="AI28" s="927"/>
      <c r="AJ28" s="927"/>
      <c r="AK28" s="927"/>
      <c r="AL28" s="927"/>
      <c r="AM28" s="927"/>
      <c r="AN28" s="927"/>
      <c r="AO28" s="927"/>
      <c r="AP28" s="927"/>
      <c r="AQ28" s="927"/>
      <c r="AR28" s="927"/>
      <c r="AS28" s="927"/>
      <c r="AT28" s="927"/>
      <c r="AU28" s="927"/>
      <c r="AV28" s="927"/>
      <c r="AW28" s="927"/>
      <c r="AX28" s="927"/>
      <c r="AY28" s="927"/>
      <c r="AZ28" s="927"/>
      <c r="BA28" s="927"/>
      <c r="BB28" s="927"/>
      <c r="BC28" s="927"/>
      <c r="BD28" s="927"/>
      <c r="BE28" s="927"/>
      <c r="BF28" s="927"/>
      <c r="BG28" s="927"/>
      <c r="BH28" s="927"/>
      <c r="BI28" s="927"/>
      <c r="BJ28" s="927"/>
      <c r="BK28" s="927"/>
      <c r="BL28" s="927"/>
      <c r="BM28" s="927"/>
      <c r="BN28" s="927"/>
      <c r="BO28" s="927"/>
      <c r="BP28" s="927"/>
      <c r="BQ28" s="927"/>
      <c r="BR28" s="927"/>
      <c r="BS28" s="927"/>
      <c r="BT28" s="927"/>
    </row>
    <row r="29" spans="1:72" x14ac:dyDescent="0.25">
      <c r="A29" s="932" t="s">
        <v>570</v>
      </c>
      <c r="B29" s="933">
        <f t="shared" ref="B29:B35" si="0">G41/F41</f>
        <v>1.1441282284851997</v>
      </c>
      <c r="C29" s="933">
        <f t="shared" ref="C29:C35" si="1">H41/G41</f>
        <v>1.1360328119345371</v>
      </c>
      <c r="D29" s="933">
        <f t="shared" ref="D29:D35" si="2">I41/H41</f>
        <v>1.0363018547359477</v>
      </c>
      <c r="E29" s="1702"/>
      <c r="F29" s="1702"/>
      <c r="G29" s="1702"/>
      <c r="H29" s="1702"/>
      <c r="I29" s="1702"/>
      <c r="J29" s="1702"/>
      <c r="K29" s="1703"/>
      <c r="L29" s="927"/>
      <c r="M29" s="927"/>
      <c r="N29" s="927"/>
      <c r="O29" s="927"/>
      <c r="P29" s="927"/>
      <c r="Q29" s="927"/>
      <c r="R29" s="927"/>
      <c r="S29" s="927"/>
      <c r="T29" s="927"/>
      <c r="U29" s="927"/>
      <c r="V29" s="927"/>
      <c r="W29" s="927"/>
      <c r="X29" s="927"/>
      <c r="Y29" s="927"/>
      <c r="Z29" s="927"/>
      <c r="AA29" s="927"/>
      <c r="AB29" s="927"/>
      <c r="AC29" s="927"/>
      <c r="AD29" s="927"/>
      <c r="AE29" s="927"/>
      <c r="AF29" s="927"/>
      <c r="AG29" s="927"/>
      <c r="AH29" s="927"/>
      <c r="AI29" s="927"/>
      <c r="AJ29" s="927"/>
      <c r="AK29" s="927"/>
      <c r="AL29" s="927"/>
      <c r="AM29" s="927"/>
      <c r="AN29" s="927"/>
      <c r="AO29" s="927"/>
      <c r="AP29" s="927"/>
      <c r="AQ29" s="927"/>
      <c r="AR29" s="927"/>
      <c r="AS29" s="927"/>
      <c r="AT29" s="927"/>
      <c r="AU29" s="927"/>
      <c r="AV29" s="927"/>
      <c r="AW29" s="927"/>
      <c r="AX29" s="927"/>
      <c r="AY29" s="927"/>
      <c r="AZ29" s="927"/>
      <c r="BA29" s="927"/>
      <c r="BB29" s="927"/>
      <c r="BC29" s="927"/>
      <c r="BD29" s="927"/>
      <c r="BE29" s="927"/>
      <c r="BF29" s="927"/>
      <c r="BG29" s="927"/>
      <c r="BH29" s="927"/>
      <c r="BI29" s="927"/>
      <c r="BJ29" s="927"/>
      <c r="BK29" s="927"/>
      <c r="BL29" s="927"/>
      <c r="BM29" s="927"/>
      <c r="BN29" s="927"/>
      <c r="BO29" s="927"/>
      <c r="BP29" s="927"/>
      <c r="BQ29" s="927"/>
      <c r="BR29" s="927"/>
      <c r="BS29" s="927"/>
      <c r="BT29" s="927"/>
    </row>
    <row r="30" spans="1:72" x14ac:dyDescent="0.25">
      <c r="A30" s="930" t="s">
        <v>571</v>
      </c>
      <c r="B30" s="931">
        <f t="shared" si="0"/>
        <v>1.1252277801242987</v>
      </c>
      <c r="C30" s="931">
        <f t="shared" si="1"/>
        <v>1.1222249629995065</v>
      </c>
      <c r="D30" s="931">
        <f t="shared" si="2"/>
        <v>1.0285793469898747</v>
      </c>
      <c r="E30" s="1702"/>
      <c r="F30" s="1702"/>
      <c r="G30" s="1702"/>
      <c r="H30" s="1702"/>
      <c r="I30" s="1702"/>
      <c r="J30" s="934">
        <v>1991</v>
      </c>
      <c r="K30" s="935">
        <v>84.5</v>
      </c>
      <c r="L30" s="927"/>
      <c r="M30" s="927"/>
      <c r="N30" s="927"/>
      <c r="O30" s="927"/>
      <c r="P30" s="927"/>
      <c r="Q30" s="927"/>
      <c r="R30" s="927"/>
      <c r="S30" s="927"/>
      <c r="T30" s="927"/>
      <c r="U30" s="927"/>
      <c r="V30" s="927"/>
      <c r="W30" s="927"/>
      <c r="X30" s="927"/>
      <c r="Y30" s="927"/>
      <c r="Z30" s="927"/>
      <c r="AA30" s="927"/>
      <c r="AB30" s="927"/>
      <c r="AC30" s="927"/>
      <c r="AD30" s="927"/>
      <c r="AE30" s="927"/>
      <c r="AF30" s="927"/>
      <c r="AG30" s="927"/>
      <c r="AH30" s="927"/>
      <c r="AI30" s="927"/>
      <c r="AJ30" s="927"/>
      <c r="AK30" s="927"/>
      <c r="AL30" s="927"/>
      <c r="AM30" s="927"/>
      <c r="AN30" s="927"/>
      <c r="AO30" s="927"/>
      <c r="AP30" s="927"/>
      <c r="AQ30" s="927"/>
      <c r="AR30" s="927"/>
      <c r="AS30" s="927"/>
      <c r="AT30" s="927"/>
      <c r="AU30" s="927"/>
      <c r="AV30" s="927"/>
      <c r="AW30" s="927"/>
      <c r="AX30" s="927"/>
      <c r="AY30" s="927"/>
      <c r="AZ30" s="927"/>
      <c r="BA30" s="927"/>
      <c r="BB30" s="927"/>
      <c r="BC30" s="927"/>
      <c r="BD30" s="927"/>
      <c r="BE30" s="927"/>
      <c r="BF30" s="927"/>
      <c r="BG30" s="927"/>
      <c r="BH30" s="927"/>
      <c r="BI30" s="927"/>
      <c r="BJ30" s="927"/>
      <c r="BK30" s="927"/>
      <c r="BL30" s="927"/>
      <c r="BM30" s="927"/>
      <c r="BN30" s="927"/>
      <c r="BO30" s="927"/>
      <c r="BP30" s="927"/>
      <c r="BQ30" s="927"/>
      <c r="BR30" s="927"/>
      <c r="BS30" s="927"/>
      <c r="BT30" s="927"/>
    </row>
    <row r="31" spans="1:72" x14ac:dyDescent="0.25">
      <c r="A31" s="932" t="s">
        <v>572</v>
      </c>
      <c r="B31" s="933">
        <f t="shared" si="0"/>
        <v>1.0687839040840581</v>
      </c>
      <c r="C31" s="933">
        <f t="shared" si="1"/>
        <v>1.0213566498986533</v>
      </c>
      <c r="D31" s="933">
        <f t="shared" si="2"/>
        <v>1.0031375164207406</v>
      </c>
      <c r="E31" s="1702"/>
      <c r="F31" s="1702"/>
      <c r="G31" s="1702"/>
      <c r="H31" s="1702"/>
      <c r="I31" s="1702"/>
      <c r="J31" s="936">
        <v>1992</v>
      </c>
      <c r="K31" s="937">
        <v>86.4</v>
      </c>
      <c r="L31" s="927"/>
      <c r="M31" s="927"/>
      <c r="N31" s="927"/>
      <c r="O31" s="927"/>
      <c r="P31" s="927"/>
      <c r="Q31" s="927"/>
      <c r="R31" s="927"/>
      <c r="S31" s="927"/>
      <c r="T31" s="927"/>
      <c r="U31" s="927"/>
      <c r="V31" s="927"/>
      <c r="W31" s="927"/>
      <c r="X31" s="927"/>
      <c r="Y31" s="927"/>
      <c r="Z31" s="927"/>
      <c r="AA31" s="927"/>
      <c r="AB31" s="927"/>
      <c r="AC31" s="927"/>
      <c r="AD31" s="927"/>
      <c r="AE31" s="927"/>
      <c r="AF31" s="927"/>
      <c r="AG31" s="927"/>
      <c r="AH31" s="927"/>
      <c r="AI31" s="927"/>
      <c r="AJ31" s="927"/>
      <c r="AK31" s="927"/>
      <c r="AL31" s="927"/>
      <c r="AM31" s="927"/>
      <c r="AN31" s="927"/>
      <c r="AO31" s="927"/>
      <c r="AP31" s="927"/>
      <c r="AQ31" s="927"/>
      <c r="AR31" s="927"/>
      <c r="AS31" s="927"/>
      <c r="AT31" s="927"/>
      <c r="AU31" s="927"/>
      <c r="AV31" s="927"/>
      <c r="AW31" s="927"/>
      <c r="AX31" s="927"/>
      <c r="AY31" s="927"/>
      <c r="AZ31" s="927"/>
      <c r="BA31" s="927"/>
      <c r="BB31" s="927"/>
      <c r="BC31" s="927"/>
      <c r="BD31" s="927"/>
      <c r="BE31" s="927"/>
      <c r="BF31" s="927"/>
      <c r="BG31" s="927"/>
      <c r="BH31" s="927"/>
      <c r="BI31" s="927"/>
      <c r="BJ31" s="927"/>
      <c r="BK31" s="927"/>
      <c r="BL31" s="927"/>
      <c r="BM31" s="927"/>
      <c r="BN31" s="927"/>
      <c r="BO31" s="927"/>
      <c r="BP31" s="927"/>
      <c r="BQ31" s="927"/>
      <c r="BR31" s="927"/>
      <c r="BS31" s="927"/>
      <c r="BT31" s="927"/>
    </row>
    <row r="32" spans="1:72" x14ac:dyDescent="0.25">
      <c r="A32" s="930" t="s">
        <v>573</v>
      </c>
      <c r="B32" s="931">
        <f t="shared" si="0"/>
        <v>1.03736526166104</v>
      </c>
      <c r="C32" s="931">
        <f t="shared" si="1"/>
        <v>1.0084486821562659</v>
      </c>
      <c r="D32" s="931">
        <f t="shared" si="2"/>
        <v>1.0010687685088917</v>
      </c>
      <c r="E32" s="1702"/>
      <c r="F32" s="1702"/>
      <c r="G32" s="1702"/>
      <c r="H32" s="1702"/>
      <c r="I32" s="1702"/>
      <c r="J32" s="934">
        <v>1993</v>
      </c>
      <c r="K32" s="935">
        <v>88.4</v>
      </c>
      <c r="L32" s="927"/>
      <c r="M32" s="927"/>
      <c r="N32" s="927"/>
      <c r="O32" s="927"/>
      <c r="P32" s="927"/>
      <c r="Q32" s="927"/>
      <c r="R32" s="927"/>
      <c r="S32" s="927"/>
      <c r="T32" s="927"/>
      <c r="U32" s="927"/>
      <c r="V32" s="927"/>
      <c r="W32" s="927"/>
      <c r="X32" s="927"/>
      <c r="Y32" s="927"/>
      <c r="Z32" s="927"/>
      <c r="AA32" s="927"/>
      <c r="AB32" s="927"/>
      <c r="AC32" s="927"/>
      <c r="AD32" s="927"/>
      <c r="AE32" s="927"/>
      <c r="AF32" s="927"/>
      <c r="AG32" s="927"/>
      <c r="AH32" s="927"/>
      <c r="AI32" s="927"/>
      <c r="AJ32" s="927"/>
      <c r="AK32" s="927"/>
      <c r="AL32" s="927"/>
      <c r="AM32" s="927"/>
      <c r="AN32" s="927"/>
      <c r="AO32" s="927"/>
      <c r="AP32" s="927"/>
      <c r="AQ32" s="927"/>
      <c r="AR32" s="927"/>
      <c r="AS32" s="927"/>
      <c r="AT32" s="927"/>
      <c r="AU32" s="927"/>
      <c r="AV32" s="927"/>
      <c r="AW32" s="927"/>
      <c r="AX32" s="927"/>
      <c r="AY32" s="927"/>
      <c r="AZ32" s="927"/>
      <c r="BA32" s="927"/>
      <c r="BB32" s="927"/>
      <c r="BC32" s="927"/>
      <c r="BD32" s="927"/>
      <c r="BE32" s="927"/>
      <c r="BF32" s="927"/>
      <c r="BG32" s="927"/>
      <c r="BH32" s="927"/>
      <c r="BI32" s="927"/>
      <c r="BJ32" s="927"/>
      <c r="BK32" s="927"/>
      <c r="BL32" s="927"/>
      <c r="BM32" s="927"/>
      <c r="BN32" s="927"/>
      <c r="BO32" s="927"/>
      <c r="BP32" s="927"/>
      <c r="BQ32" s="927"/>
      <c r="BR32" s="927"/>
      <c r="BS32" s="927"/>
      <c r="BT32" s="927"/>
    </row>
    <row r="33" spans="1:72" x14ac:dyDescent="0.25">
      <c r="A33" s="932" t="s">
        <v>574</v>
      </c>
      <c r="B33" s="933">
        <f t="shared" si="0"/>
        <v>0.975071533164794</v>
      </c>
      <c r="C33" s="933">
        <f t="shared" si="1"/>
        <v>1.0087393571750138</v>
      </c>
      <c r="D33" s="933">
        <f t="shared" si="2"/>
        <v>0.99663324890666094</v>
      </c>
      <c r="E33" s="1702"/>
      <c r="F33" s="1702"/>
      <c r="G33" s="1702"/>
      <c r="H33" s="1702"/>
      <c r="I33" s="1702"/>
      <c r="J33" s="936">
        <v>1994</v>
      </c>
      <c r="K33" s="937">
        <v>90.3</v>
      </c>
      <c r="L33" s="927"/>
      <c r="M33" s="927"/>
      <c r="N33" s="927"/>
      <c r="O33" s="927"/>
      <c r="P33" s="927"/>
      <c r="Q33" s="927"/>
      <c r="R33" s="927"/>
      <c r="S33" s="927"/>
      <c r="T33" s="927"/>
      <c r="U33" s="927"/>
      <c r="V33" s="927"/>
      <c r="W33" s="927"/>
      <c r="X33" s="927"/>
      <c r="Y33" s="927"/>
      <c r="Z33" s="927"/>
      <c r="AA33" s="927"/>
      <c r="AB33" s="927"/>
      <c r="AC33" s="927"/>
      <c r="AD33" s="927"/>
      <c r="AE33" s="927"/>
      <c r="AF33" s="927"/>
      <c r="AG33" s="927"/>
      <c r="AH33" s="927"/>
      <c r="AI33" s="927"/>
      <c r="AJ33" s="927"/>
      <c r="AK33" s="927"/>
      <c r="AL33" s="927"/>
      <c r="AM33" s="927"/>
      <c r="AN33" s="927"/>
      <c r="AO33" s="927"/>
      <c r="AP33" s="927"/>
      <c r="AQ33" s="927"/>
      <c r="AR33" s="927"/>
      <c r="AS33" s="927"/>
      <c r="AT33" s="927"/>
      <c r="AU33" s="927"/>
      <c r="AV33" s="927"/>
      <c r="AW33" s="927"/>
      <c r="AX33" s="927"/>
      <c r="AY33" s="927"/>
      <c r="AZ33" s="927"/>
      <c r="BA33" s="927"/>
      <c r="BB33" s="927"/>
      <c r="BC33" s="927"/>
      <c r="BD33" s="927"/>
      <c r="BE33" s="927"/>
      <c r="BF33" s="927"/>
      <c r="BG33" s="927"/>
      <c r="BH33" s="927"/>
      <c r="BI33" s="927"/>
      <c r="BJ33" s="927"/>
      <c r="BK33" s="927"/>
      <c r="BL33" s="927"/>
      <c r="BM33" s="927"/>
      <c r="BN33" s="927"/>
      <c r="BO33" s="927"/>
      <c r="BP33" s="927"/>
      <c r="BQ33" s="927"/>
      <c r="BR33" s="927"/>
      <c r="BS33" s="927"/>
      <c r="BT33" s="927"/>
    </row>
    <row r="34" spans="1:72" x14ac:dyDescent="0.25">
      <c r="A34" s="930" t="s">
        <v>575</v>
      </c>
      <c r="B34" s="931">
        <f t="shared" si="0"/>
        <v>1.0938371922267365</v>
      </c>
      <c r="C34" s="931">
        <f t="shared" si="1"/>
        <v>1.0852680569229392</v>
      </c>
      <c r="D34" s="931">
        <f t="shared" si="2"/>
        <v>1.0142672175626977</v>
      </c>
      <c r="E34" s="1702"/>
      <c r="F34" s="1702"/>
      <c r="G34" s="1702"/>
      <c r="H34" s="1702"/>
      <c r="I34" s="1702"/>
      <c r="J34" s="934">
        <v>1995</v>
      </c>
      <c r="K34" s="935">
        <v>92.1</v>
      </c>
      <c r="L34" s="927"/>
      <c r="M34" s="927"/>
      <c r="N34" s="927"/>
      <c r="O34" s="927"/>
      <c r="P34" s="927"/>
      <c r="Q34" s="927"/>
      <c r="R34" s="927"/>
      <c r="S34" s="927"/>
      <c r="T34" s="927"/>
      <c r="U34" s="927"/>
      <c r="V34" s="927"/>
      <c r="W34" s="927"/>
      <c r="X34" s="927"/>
      <c r="Y34" s="927"/>
      <c r="Z34" s="927"/>
      <c r="AA34" s="927"/>
      <c r="AB34" s="927"/>
      <c r="AC34" s="927"/>
      <c r="AD34" s="927"/>
      <c r="AE34" s="927"/>
      <c r="AF34" s="927"/>
      <c r="AG34" s="927"/>
      <c r="AH34" s="927"/>
      <c r="AI34" s="927"/>
      <c r="AJ34" s="927"/>
      <c r="AK34" s="927"/>
      <c r="AL34" s="927"/>
      <c r="AM34" s="927"/>
      <c r="AN34" s="927"/>
      <c r="AO34" s="927"/>
      <c r="AP34" s="927"/>
      <c r="AQ34" s="927"/>
      <c r="AR34" s="927"/>
      <c r="AS34" s="927"/>
      <c r="AT34" s="927"/>
      <c r="AU34" s="927"/>
      <c r="AV34" s="927"/>
      <c r="AW34" s="927"/>
      <c r="AX34" s="927"/>
      <c r="AY34" s="927"/>
      <c r="AZ34" s="927"/>
      <c r="BA34" s="927"/>
      <c r="BB34" s="927"/>
      <c r="BC34" s="927"/>
      <c r="BD34" s="927"/>
      <c r="BE34" s="927"/>
      <c r="BF34" s="927"/>
      <c r="BG34" s="927"/>
      <c r="BH34" s="927"/>
      <c r="BI34" s="927"/>
      <c r="BJ34" s="927"/>
      <c r="BK34" s="927"/>
      <c r="BL34" s="927"/>
      <c r="BM34" s="927"/>
      <c r="BN34" s="927"/>
      <c r="BO34" s="927"/>
      <c r="BP34" s="927"/>
      <c r="BQ34" s="927"/>
      <c r="BR34" s="927"/>
      <c r="BS34" s="927"/>
      <c r="BT34" s="927"/>
    </row>
    <row r="35" spans="1:72" x14ac:dyDescent="0.25">
      <c r="A35" s="932" t="s">
        <v>312</v>
      </c>
      <c r="B35" s="933">
        <f t="shared" si="0"/>
        <v>1.0046194107582356</v>
      </c>
      <c r="C35" s="933">
        <f t="shared" si="1"/>
        <v>1.003094645903579</v>
      </c>
      <c r="D35" s="933">
        <f t="shared" si="2"/>
        <v>0.99710816742279029</v>
      </c>
      <c r="E35" s="1702"/>
      <c r="F35" s="1702"/>
      <c r="G35" s="1702"/>
      <c r="H35" s="1702"/>
      <c r="I35" s="1702"/>
      <c r="J35" s="936">
        <v>1996</v>
      </c>
      <c r="K35" s="937">
        <v>93.9</v>
      </c>
      <c r="L35" s="927"/>
      <c r="M35" s="927"/>
      <c r="N35" s="927"/>
      <c r="O35" s="927"/>
      <c r="P35" s="927"/>
      <c r="Q35" s="927"/>
      <c r="R35" s="927"/>
      <c r="S35" s="927"/>
      <c r="T35" s="927"/>
      <c r="U35" s="927"/>
      <c r="V35" s="927"/>
      <c r="W35" s="927"/>
      <c r="X35" s="927"/>
      <c r="Y35" s="927"/>
      <c r="Z35" s="927"/>
      <c r="AA35" s="927"/>
      <c r="AB35" s="927"/>
      <c r="AC35" s="927"/>
      <c r="AD35" s="927"/>
      <c r="AE35" s="927"/>
      <c r="AF35" s="927"/>
      <c r="AG35" s="927"/>
      <c r="AH35" s="927"/>
      <c r="AI35" s="927"/>
      <c r="AJ35" s="927"/>
      <c r="AK35" s="927"/>
      <c r="AL35" s="927"/>
      <c r="AM35" s="927"/>
      <c r="AN35" s="927"/>
      <c r="AO35" s="927"/>
      <c r="AP35" s="927"/>
      <c r="AQ35" s="927"/>
      <c r="AR35" s="927"/>
      <c r="AS35" s="927"/>
      <c r="AT35" s="927"/>
      <c r="AU35" s="927"/>
      <c r="AV35" s="927"/>
      <c r="AW35" s="927"/>
      <c r="AX35" s="927"/>
      <c r="AY35" s="927"/>
      <c r="AZ35" s="927"/>
      <c r="BA35" s="927"/>
      <c r="BB35" s="927"/>
      <c r="BC35" s="927"/>
      <c r="BD35" s="927"/>
      <c r="BE35" s="927"/>
      <c r="BF35" s="927"/>
      <c r="BG35" s="927"/>
      <c r="BH35" s="927"/>
      <c r="BI35" s="927"/>
      <c r="BJ35" s="927"/>
      <c r="BK35" s="927"/>
      <c r="BL35" s="927"/>
      <c r="BM35" s="927"/>
      <c r="BN35" s="927"/>
      <c r="BO35" s="927"/>
      <c r="BP35" s="927"/>
      <c r="BQ35" s="927"/>
      <c r="BR35" s="927"/>
      <c r="BS35" s="927"/>
      <c r="BT35" s="927"/>
    </row>
    <row r="36" spans="1:72" x14ac:dyDescent="0.25">
      <c r="A36" s="1704"/>
      <c r="B36" s="1705"/>
      <c r="C36" s="1705"/>
      <c r="D36" s="1705"/>
      <c r="E36" s="1702"/>
      <c r="F36" s="1702"/>
      <c r="G36" s="1702"/>
      <c r="H36" s="1702"/>
      <c r="I36" s="1702"/>
      <c r="J36" s="934">
        <v>1997</v>
      </c>
      <c r="K36" s="935">
        <v>95.4</v>
      </c>
      <c r="L36" s="927"/>
      <c r="M36" s="927"/>
      <c r="N36" s="927"/>
      <c r="O36" s="927"/>
      <c r="P36" s="927"/>
      <c r="Q36" s="927"/>
      <c r="R36" s="927"/>
      <c r="S36" s="927"/>
      <c r="T36" s="927"/>
      <c r="U36" s="927"/>
      <c r="V36" s="927"/>
      <c r="W36" s="927"/>
      <c r="X36" s="927"/>
      <c r="Y36" s="927"/>
      <c r="Z36" s="927"/>
      <c r="AA36" s="927"/>
      <c r="AB36" s="927"/>
      <c r="AC36" s="927"/>
      <c r="AD36" s="927"/>
      <c r="AE36" s="927"/>
      <c r="AF36" s="927"/>
      <c r="AG36" s="927"/>
      <c r="AH36" s="927"/>
      <c r="AI36" s="927"/>
      <c r="AJ36" s="927"/>
      <c r="AK36" s="927"/>
      <c r="AL36" s="927"/>
      <c r="AM36" s="927"/>
      <c r="AN36" s="927"/>
      <c r="AO36" s="927"/>
      <c r="AP36" s="927"/>
      <c r="AQ36" s="927"/>
      <c r="AR36" s="927"/>
      <c r="AS36" s="927"/>
      <c r="AT36" s="927"/>
      <c r="AU36" s="927"/>
      <c r="AV36" s="927"/>
      <c r="AW36" s="927"/>
      <c r="AX36" s="927"/>
      <c r="AY36" s="927"/>
      <c r="AZ36" s="927"/>
      <c r="BA36" s="927"/>
      <c r="BB36" s="927"/>
      <c r="BC36" s="927"/>
      <c r="BD36" s="927"/>
      <c r="BE36" s="927"/>
      <c r="BF36" s="927"/>
      <c r="BG36" s="927"/>
      <c r="BH36" s="927"/>
      <c r="BI36" s="927"/>
      <c r="BJ36" s="927"/>
      <c r="BK36" s="927"/>
      <c r="BL36" s="927"/>
      <c r="BM36" s="927"/>
      <c r="BN36" s="927"/>
      <c r="BO36" s="927"/>
      <c r="BP36" s="927"/>
      <c r="BQ36" s="927"/>
      <c r="BR36" s="927"/>
      <c r="BS36" s="927"/>
      <c r="BT36" s="927"/>
    </row>
    <row r="37" spans="1:72" x14ac:dyDescent="0.25">
      <c r="A37" s="1704"/>
      <c r="B37" s="1705"/>
      <c r="C37" s="1705"/>
      <c r="D37" s="1705"/>
      <c r="E37" s="1702"/>
      <c r="F37" s="1702"/>
      <c r="G37" s="1702"/>
      <c r="H37" s="1702"/>
      <c r="I37" s="1702"/>
      <c r="J37" s="936">
        <v>1998</v>
      </c>
      <c r="K37" s="937">
        <v>96.5</v>
      </c>
      <c r="L37" s="927"/>
      <c r="M37" s="927"/>
      <c r="N37" s="927"/>
      <c r="O37" s="927"/>
      <c r="P37" s="927"/>
      <c r="Q37" s="927"/>
      <c r="R37" s="927"/>
      <c r="S37" s="927"/>
      <c r="T37" s="927"/>
      <c r="U37" s="927"/>
      <c r="V37" s="927"/>
      <c r="W37" s="927"/>
      <c r="X37" s="927"/>
      <c r="Y37" s="927"/>
      <c r="Z37" s="927"/>
      <c r="AA37" s="927"/>
      <c r="AB37" s="927"/>
      <c r="AC37" s="927"/>
      <c r="AD37" s="927"/>
      <c r="AE37" s="927"/>
      <c r="AF37" s="927"/>
      <c r="AG37" s="927"/>
      <c r="AH37" s="927"/>
      <c r="AI37" s="927"/>
      <c r="AJ37" s="927"/>
      <c r="AK37" s="927"/>
      <c r="AL37" s="927"/>
      <c r="AM37" s="927"/>
      <c r="AN37" s="927"/>
      <c r="AO37" s="927"/>
      <c r="AP37" s="927"/>
      <c r="AQ37" s="927"/>
      <c r="AR37" s="927"/>
      <c r="AS37" s="927"/>
      <c r="AT37" s="927"/>
      <c r="AU37" s="927"/>
      <c r="AV37" s="927"/>
      <c r="AW37" s="927"/>
      <c r="AX37" s="927"/>
      <c r="AY37" s="927"/>
      <c r="AZ37" s="927"/>
      <c r="BA37" s="927"/>
      <c r="BB37" s="927"/>
      <c r="BC37" s="927"/>
      <c r="BD37" s="927"/>
      <c r="BE37" s="927"/>
      <c r="BF37" s="927"/>
      <c r="BG37" s="927"/>
      <c r="BH37" s="927"/>
      <c r="BI37" s="927"/>
      <c r="BJ37" s="927"/>
      <c r="BK37" s="927"/>
      <c r="BL37" s="927"/>
      <c r="BM37" s="927"/>
      <c r="BN37" s="927"/>
      <c r="BO37" s="927"/>
      <c r="BP37" s="927"/>
      <c r="BQ37" s="927"/>
      <c r="BR37" s="927"/>
      <c r="BS37" s="927"/>
      <c r="BT37" s="927"/>
    </row>
    <row r="38" spans="1:72" x14ac:dyDescent="0.25">
      <c r="A38" s="1709" t="s">
        <v>577</v>
      </c>
      <c r="B38" s="1710"/>
      <c r="C38" s="938" t="s">
        <v>578</v>
      </c>
      <c r="D38" s="938" t="s">
        <v>578</v>
      </c>
      <c r="E38" s="1710" t="s">
        <v>1116</v>
      </c>
      <c r="F38" s="1710"/>
      <c r="G38" s="1710"/>
      <c r="H38" s="1710"/>
      <c r="I38" s="1710"/>
      <c r="J38" s="934">
        <v>1999</v>
      </c>
      <c r="K38" s="935">
        <v>97.9</v>
      </c>
      <c r="L38" s="927"/>
      <c r="M38" s="927"/>
      <c r="N38" s="927"/>
      <c r="O38" s="927"/>
      <c r="P38" s="927"/>
      <c r="Q38" s="927"/>
      <c r="R38" s="927"/>
      <c r="S38" s="927"/>
      <c r="T38" s="927"/>
      <c r="U38" s="927"/>
      <c r="V38" s="927"/>
      <c r="W38" s="927"/>
      <c r="X38" s="927"/>
      <c r="Y38" s="927"/>
      <c r="Z38" s="927"/>
      <c r="AA38" s="927"/>
      <c r="AB38" s="927"/>
      <c r="AC38" s="927"/>
      <c r="AD38" s="927"/>
      <c r="AE38" s="927"/>
      <c r="AF38" s="927"/>
      <c r="AG38" s="927"/>
      <c r="AH38" s="927"/>
      <c r="AI38" s="927"/>
      <c r="AJ38" s="927"/>
      <c r="AK38" s="927"/>
      <c r="AL38" s="927"/>
      <c r="AM38" s="927"/>
      <c r="AN38" s="927"/>
      <c r="AO38" s="927"/>
      <c r="AP38" s="927"/>
      <c r="AQ38" s="927"/>
      <c r="AR38" s="927"/>
      <c r="AS38" s="927"/>
      <c r="AT38" s="927"/>
      <c r="AU38" s="927"/>
      <c r="AV38" s="927"/>
      <c r="AW38" s="927"/>
      <c r="AX38" s="927"/>
      <c r="AY38" s="927"/>
      <c r="AZ38" s="927"/>
      <c r="BA38" s="927"/>
      <c r="BB38" s="927"/>
      <c r="BC38" s="927"/>
      <c r="BD38" s="927"/>
      <c r="BE38" s="927"/>
      <c r="BF38" s="927"/>
      <c r="BG38" s="927"/>
      <c r="BH38" s="927"/>
      <c r="BI38" s="927"/>
      <c r="BJ38" s="927"/>
      <c r="BK38" s="927"/>
      <c r="BL38" s="927"/>
      <c r="BM38" s="927"/>
      <c r="BN38" s="927"/>
      <c r="BO38" s="927"/>
      <c r="BP38" s="927"/>
      <c r="BQ38" s="927"/>
      <c r="BR38" s="927"/>
      <c r="BS38" s="927"/>
      <c r="BT38" s="927"/>
    </row>
    <row r="39" spans="1:72" x14ac:dyDescent="0.25">
      <c r="A39" s="932"/>
      <c r="B39" s="884" t="s">
        <v>1050</v>
      </c>
      <c r="C39" s="936">
        <v>2000</v>
      </c>
      <c r="D39" s="936">
        <v>2005</v>
      </c>
      <c r="E39" s="936">
        <v>2020</v>
      </c>
      <c r="F39" s="936">
        <v>2035</v>
      </c>
      <c r="G39" s="936">
        <v>2050</v>
      </c>
      <c r="H39" s="936">
        <v>2065</v>
      </c>
      <c r="I39" s="936">
        <v>2070</v>
      </c>
      <c r="J39" s="936">
        <v>2000</v>
      </c>
      <c r="K39" s="937">
        <v>100</v>
      </c>
      <c r="L39" s="927"/>
      <c r="M39" s="927"/>
      <c r="N39" s="927"/>
      <c r="O39" s="927"/>
      <c r="P39" s="927"/>
      <c r="Q39" s="927"/>
      <c r="R39" s="927"/>
      <c r="S39" s="927"/>
      <c r="T39" s="927"/>
      <c r="U39" s="927"/>
      <c r="V39" s="927"/>
      <c r="W39" s="927"/>
      <c r="X39" s="927"/>
      <c r="Y39" s="927"/>
      <c r="Z39" s="927"/>
      <c r="AA39" s="927"/>
      <c r="AB39" s="927"/>
      <c r="AC39" s="927"/>
      <c r="AD39" s="927"/>
      <c r="AE39" s="927"/>
      <c r="AF39" s="927"/>
      <c r="AG39" s="927"/>
      <c r="AH39" s="927"/>
      <c r="AI39" s="927"/>
      <c r="AJ39" s="927"/>
      <c r="AK39" s="927"/>
      <c r="AL39" s="927"/>
      <c r="AM39" s="927"/>
      <c r="AN39" s="927"/>
      <c r="AO39" s="927"/>
      <c r="AP39" s="927"/>
      <c r="AQ39" s="927"/>
      <c r="AR39" s="927"/>
      <c r="AS39" s="927"/>
      <c r="AT39" s="927"/>
      <c r="AU39" s="927"/>
      <c r="AV39" s="927"/>
      <c r="AW39" s="927"/>
      <c r="AX39" s="927"/>
      <c r="AY39" s="927"/>
      <c r="AZ39" s="927"/>
      <c r="BA39" s="927"/>
      <c r="BB39" s="927"/>
      <c r="BC39" s="927"/>
      <c r="BD39" s="927"/>
      <c r="BE39" s="927"/>
      <c r="BF39" s="927"/>
      <c r="BG39" s="927"/>
      <c r="BH39" s="927"/>
      <c r="BI39" s="927"/>
      <c r="BJ39" s="927"/>
      <c r="BK39" s="927"/>
      <c r="BL39" s="927"/>
      <c r="BM39" s="927"/>
      <c r="BN39" s="927"/>
      <c r="BO39" s="927"/>
      <c r="BP39" s="927"/>
      <c r="BQ39" s="927"/>
      <c r="BR39" s="927"/>
      <c r="BS39" s="927"/>
      <c r="BT39" s="927"/>
    </row>
    <row r="40" spans="1:72" x14ac:dyDescent="0.25">
      <c r="A40" s="930" t="s">
        <v>569</v>
      </c>
      <c r="B40" s="939" t="s">
        <v>579</v>
      </c>
      <c r="C40" s="934">
        <v>25.276500000000002</v>
      </c>
      <c r="D40" s="934">
        <v>25.071000000000002</v>
      </c>
      <c r="E40" s="934">
        <v>49.911552427759986</v>
      </c>
      <c r="F40" s="934">
        <v>51.73380738099187</v>
      </c>
      <c r="G40" s="934">
        <v>54.228868079187265</v>
      </c>
      <c r="H40" s="934">
        <v>57.083559627090274</v>
      </c>
      <c r="I40" s="934">
        <v>57.998580810871225</v>
      </c>
      <c r="J40" s="934">
        <v>2001</v>
      </c>
      <c r="K40" s="935">
        <v>102.4</v>
      </c>
      <c r="L40" s="927"/>
      <c r="M40" s="927"/>
      <c r="N40" s="927"/>
      <c r="O40" s="927"/>
      <c r="P40" s="927"/>
      <c r="Q40" s="927"/>
      <c r="R40" s="927"/>
      <c r="S40" s="927"/>
      <c r="T40" s="927"/>
      <c r="U40" s="927"/>
      <c r="V40" s="927"/>
      <c r="W40" s="927"/>
      <c r="X40" s="927"/>
      <c r="Y40" s="927"/>
      <c r="Z40" s="927"/>
      <c r="AA40" s="927"/>
      <c r="AB40" s="927"/>
      <c r="AC40" s="927"/>
      <c r="AD40" s="927"/>
      <c r="AE40" s="927"/>
      <c r="AF40" s="927"/>
      <c r="AG40" s="927"/>
      <c r="AH40" s="927"/>
      <c r="AI40" s="927"/>
      <c r="AJ40" s="927"/>
      <c r="AK40" s="927"/>
      <c r="AL40" s="927"/>
      <c r="AM40" s="927"/>
      <c r="AN40" s="927"/>
      <c r="AO40" s="927"/>
      <c r="AP40" s="927"/>
      <c r="AQ40" s="927"/>
      <c r="AR40" s="927"/>
      <c r="AS40" s="927"/>
      <c r="AT40" s="927"/>
      <c r="AU40" s="927"/>
      <c r="AV40" s="927"/>
      <c r="AW40" s="927"/>
      <c r="AX40" s="927"/>
      <c r="AY40" s="927"/>
      <c r="AZ40" s="927"/>
      <c r="BA40" s="927"/>
      <c r="BB40" s="927"/>
      <c r="BC40" s="927"/>
      <c r="BD40" s="927"/>
      <c r="BE40" s="927"/>
      <c r="BF40" s="927"/>
      <c r="BG40" s="927"/>
      <c r="BH40" s="927"/>
      <c r="BI40" s="927"/>
      <c r="BJ40" s="927"/>
      <c r="BK40" s="927"/>
      <c r="BL40" s="927"/>
      <c r="BM40" s="927"/>
      <c r="BN40" s="927"/>
      <c r="BO40" s="927"/>
      <c r="BP40" s="927"/>
      <c r="BQ40" s="927"/>
      <c r="BR40" s="927"/>
      <c r="BS40" s="927"/>
      <c r="BT40" s="927"/>
    </row>
    <row r="41" spans="1:72" x14ac:dyDescent="0.25">
      <c r="A41" s="932" t="s">
        <v>570</v>
      </c>
      <c r="B41" s="940" t="s">
        <v>580</v>
      </c>
      <c r="C41" s="936">
        <v>3.83</v>
      </c>
      <c r="D41" s="936">
        <v>2.88</v>
      </c>
      <c r="E41" s="936">
        <v>3.4820792312666162</v>
      </c>
      <c r="F41" s="936">
        <v>3.718467288972283</v>
      </c>
      <c r="G41" s="936">
        <v>4.254403392012021</v>
      </c>
      <c r="H41" s="936">
        <v>4.8331418485312492</v>
      </c>
      <c r="I41" s="936">
        <v>5.0085938618348607</v>
      </c>
      <c r="J41" s="936">
        <v>2002</v>
      </c>
      <c r="K41" s="937">
        <v>104.1</v>
      </c>
      <c r="L41" s="927"/>
      <c r="M41" s="927"/>
      <c r="N41" s="927"/>
      <c r="O41" s="927"/>
      <c r="P41" s="927"/>
      <c r="Q41" s="927"/>
      <c r="R41" s="927"/>
      <c r="S41" s="927"/>
      <c r="T41" s="927"/>
      <c r="U41" s="927"/>
      <c r="V41" s="927"/>
      <c r="W41" s="927"/>
      <c r="X41" s="927"/>
      <c r="Y41" s="927"/>
      <c r="Z41" s="927"/>
      <c r="AA41" s="927"/>
      <c r="AB41" s="927"/>
      <c r="AC41" s="927"/>
      <c r="AD41" s="927"/>
      <c r="AE41" s="927"/>
      <c r="AF41" s="927"/>
      <c r="AG41" s="927"/>
      <c r="AH41" s="927"/>
      <c r="AI41" s="927"/>
      <c r="AJ41" s="927"/>
      <c r="AK41" s="927"/>
      <c r="AL41" s="927"/>
      <c r="AM41" s="927"/>
      <c r="AN41" s="927"/>
      <c r="AO41" s="927"/>
      <c r="AP41" s="927"/>
      <c r="AQ41" s="927"/>
      <c r="AR41" s="927"/>
      <c r="AS41" s="927"/>
      <c r="AT41" s="927"/>
      <c r="AU41" s="927"/>
      <c r="AV41" s="927"/>
      <c r="AW41" s="927"/>
      <c r="AX41" s="927"/>
      <c r="AY41" s="927"/>
      <c r="AZ41" s="927"/>
      <c r="BA41" s="927"/>
      <c r="BB41" s="927"/>
      <c r="BC41" s="927"/>
      <c r="BD41" s="927"/>
      <c r="BE41" s="927"/>
      <c r="BF41" s="927"/>
      <c r="BG41" s="927"/>
      <c r="BH41" s="927"/>
      <c r="BI41" s="927"/>
      <c r="BJ41" s="927"/>
      <c r="BK41" s="927"/>
      <c r="BL41" s="927"/>
      <c r="BM41" s="927"/>
      <c r="BN41" s="927"/>
      <c r="BO41" s="927"/>
      <c r="BP41" s="927"/>
      <c r="BQ41" s="927"/>
      <c r="BR41" s="927"/>
      <c r="BS41" s="927"/>
      <c r="BT41" s="927"/>
    </row>
    <row r="42" spans="1:72" x14ac:dyDescent="0.25">
      <c r="A42" s="930" t="s">
        <v>571</v>
      </c>
      <c r="B42" s="939" t="s">
        <v>580</v>
      </c>
      <c r="C42" s="934">
        <v>4.333333333333333</v>
      </c>
      <c r="D42" s="934">
        <v>3.2058823529411766</v>
      </c>
      <c r="E42" s="934">
        <v>5.3135477999345282</v>
      </c>
      <c r="F42" s="934">
        <v>5.6703709369749671</v>
      </c>
      <c r="G42" s="934">
        <v>6.3804589018936815</v>
      </c>
      <c r="H42" s="934">
        <v>7.1603102550975084</v>
      </c>
      <c r="I42" s="934">
        <v>7.3649472464330987</v>
      </c>
      <c r="J42" s="934">
        <v>2003</v>
      </c>
      <c r="K42" s="935">
        <v>106</v>
      </c>
      <c r="L42" s="927"/>
      <c r="M42" s="927"/>
      <c r="N42" s="927"/>
      <c r="O42" s="927"/>
      <c r="P42" s="927"/>
      <c r="Q42" s="927"/>
      <c r="R42" s="927"/>
      <c r="S42" s="927"/>
      <c r="T42" s="927"/>
      <c r="U42" s="927"/>
      <c r="V42" s="927"/>
      <c r="W42" s="927"/>
      <c r="X42" s="927"/>
      <c r="Y42" s="927"/>
      <c r="Z42" s="927"/>
      <c r="AA42" s="927"/>
      <c r="AB42" s="927"/>
      <c r="AC42" s="927"/>
      <c r="AD42" s="927"/>
      <c r="AE42" s="927"/>
      <c r="AF42" s="927"/>
      <c r="AG42" s="927"/>
      <c r="AH42" s="927"/>
      <c r="AI42" s="927"/>
      <c r="AJ42" s="927"/>
      <c r="AK42" s="927"/>
      <c r="AL42" s="927"/>
      <c r="AM42" s="927"/>
      <c r="AN42" s="927"/>
      <c r="AO42" s="927"/>
      <c r="AP42" s="927"/>
      <c r="AQ42" s="927"/>
      <c r="AR42" s="927"/>
      <c r="AS42" s="927"/>
      <c r="AT42" s="927"/>
      <c r="AU42" s="927"/>
      <c r="AV42" s="927"/>
      <c r="AW42" s="927"/>
      <c r="AX42" s="927"/>
      <c r="AY42" s="927"/>
      <c r="AZ42" s="927"/>
      <c r="BA42" s="927"/>
      <c r="BB42" s="927"/>
      <c r="BC42" s="927"/>
      <c r="BD42" s="927"/>
      <c r="BE42" s="927"/>
      <c r="BF42" s="927"/>
      <c r="BG42" s="927"/>
      <c r="BH42" s="927"/>
      <c r="BI42" s="927"/>
      <c r="BJ42" s="927"/>
      <c r="BK42" s="927"/>
      <c r="BL42" s="927"/>
      <c r="BM42" s="927"/>
      <c r="BN42" s="927"/>
      <c r="BO42" s="927"/>
      <c r="BP42" s="927"/>
      <c r="BQ42" s="927"/>
      <c r="BR42" s="927"/>
      <c r="BS42" s="927"/>
      <c r="BT42" s="927"/>
    </row>
    <row r="43" spans="1:72" x14ac:dyDescent="0.25">
      <c r="A43" s="932" t="s">
        <v>572</v>
      </c>
      <c r="B43" s="940" t="s">
        <v>581</v>
      </c>
      <c r="C43" s="936">
        <v>28.35</v>
      </c>
      <c r="D43" s="936">
        <v>23.27</v>
      </c>
      <c r="E43" s="936">
        <v>38.166254666132858</v>
      </c>
      <c r="F43" s="936">
        <v>44.018296607182357</v>
      </c>
      <c r="G43" s="936">
        <v>47.046046898954408</v>
      </c>
      <c r="H43" s="936">
        <v>48.050792851691</v>
      </c>
      <c r="I43" s="936">
        <v>48.201553003292787</v>
      </c>
      <c r="J43" s="936">
        <v>2004</v>
      </c>
      <c r="K43" s="941">
        <v>108.3</v>
      </c>
      <c r="L43" s="927"/>
      <c r="M43" s="927"/>
      <c r="N43" s="927"/>
      <c r="O43" s="927"/>
      <c r="P43" s="927"/>
      <c r="Q43" s="927"/>
      <c r="R43" s="927"/>
      <c r="S43" s="927"/>
      <c r="T43" s="927"/>
      <c r="U43" s="927"/>
      <c r="V43" s="927"/>
      <c r="W43" s="927"/>
      <c r="X43" s="927"/>
      <c r="Y43" s="927"/>
      <c r="Z43" s="927"/>
      <c r="AA43" s="927"/>
      <c r="AB43" s="927"/>
      <c r="AC43" s="927"/>
      <c r="AD43" s="927"/>
      <c r="AE43" s="927"/>
      <c r="AF43" s="927"/>
      <c r="AG43" s="927"/>
      <c r="AH43" s="927"/>
      <c r="AI43" s="927"/>
      <c r="AJ43" s="927"/>
      <c r="AK43" s="927"/>
      <c r="AL43" s="927"/>
      <c r="AM43" s="927"/>
      <c r="AN43" s="927"/>
      <c r="AO43" s="927"/>
      <c r="AP43" s="927"/>
      <c r="AQ43" s="927"/>
      <c r="AR43" s="927"/>
      <c r="AS43" s="927"/>
      <c r="AT43" s="927"/>
      <c r="AU43" s="927"/>
      <c r="AV43" s="927"/>
      <c r="AW43" s="927"/>
      <c r="AX43" s="927"/>
      <c r="AY43" s="927"/>
      <c r="AZ43" s="927"/>
      <c r="BA43" s="927"/>
      <c r="BB43" s="927"/>
      <c r="BC43" s="927"/>
      <c r="BD43" s="927"/>
      <c r="BE43" s="927"/>
      <c r="BF43" s="927"/>
      <c r="BG43" s="927"/>
      <c r="BH43" s="927"/>
      <c r="BI43" s="927"/>
      <c r="BJ43" s="927"/>
      <c r="BK43" s="927"/>
      <c r="BL43" s="927"/>
      <c r="BM43" s="927"/>
      <c r="BN43" s="927"/>
      <c r="BO43" s="927"/>
      <c r="BP43" s="927"/>
      <c r="BQ43" s="927"/>
      <c r="BR43" s="927"/>
      <c r="BS43" s="927"/>
      <c r="BT43" s="927"/>
    </row>
    <row r="44" spans="1:72" x14ac:dyDescent="0.25">
      <c r="A44" s="930" t="s">
        <v>573</v>
      </c>
      <c r="B44" s="939" t="s">
        <v>582</v>
      </c>
      <c r="C44" s="934">
        <v>1.5176666666666667</v>
      </c>
      <c r="D44" s="934">
        <v>1.2925714285714285</v>
      </c>
      <c r="E44" s="934">
        <v>1.9428327208531595</v>
      </c>
      <c r="F44" s="934">
        <v>2.1262391061548653</v>
      </c>
      <c r="G44" s="934">
        <v>2.2056865867102777</v>
      </c>
      <c r="H44" s="934">
        <v>2.2243217316177319</v>
      </c>
      <c r="I44" s="934">
        <v>2.2266990166381286</v>
      </c>
      <c r="J44" s="934">
        <v>2005</v>
      </c>
      <c r="K44" s="942">
        <v>110.5</v>
      </c>
      <c r="L44" s="927"/>
      <c r="M44" s="927"/>
      <c r="N44" s="927"/>
      <c r="O44" s="927"/>
      <c r="P44" s="927"/>
      <c r="Q44" s="927"/>
      <c r="R44" s="927"/>
      <c r="S44" s="927"/>
      <c r="T44" s="927"/>
      <c r="U44" s="927"/>
      <c r="V44" s="927"/>
      <c r="W44" s="927"/>
      <c r="X44" s="927"/>
      <c r="Y44" s="927"/>
      <c r="Z44" s="927"/>
      <c r="AA44" s="927"/>
      <c r="AB44" s="927"/>
      <c r="AC44" s="927"/>
      <c r="AD44" s="927"/>
      <c r="AE44" s="927"/>
      <c r="AF44" s="927"/>
      <c r="AG44" s="927"/>
      <c r="AH44" s="927"/>
      <c r="AI44" s="927"/>
      <c r="AJ44" s="927"/>
      <c r="AK44" s="927"/>
      <c r="AL44" s="927"/>
      <c r="AM44" s="927"/>
      <c r="AN44" s="927"/>
      <c r="AO44" s="927"/>
      <c r="AP44" s="927"/>
      <c r="AQ44" s="927"/>
      <c r="AR44" s="927"/>
      <c r="AS44" s="927"/>
      <c r="AT44" s="927"/>
      <c r="AU44" s="927"/>
      <c r="AV44" s="927"/>
      <c r="AW44" s="927"/>
      <c r="AX44" s="927"/>
      <c r="AY44" s="927"/>
      <c r="AZ44" s="927"/>
      <c r="BA44" s="927"/>
      <c r="BB44" s="927"/>
      <c r="BC44" s="927"/>
      <c r="BD44" s="927"/>
      <c r="BE44" s="927"/>
      <c r="BF44" s="927"/>
      <c r="BG44" s="927"/>
      <c r="BH44" s="927"/>
      <c r="BI44" s="927"/>
      <c r="BJ44" s="927"/>
      <c r="BK44" s="927"/>
      <c r="BL44" s="927"/>
      <c r="BM44" s="927"/>
      <c r="BN44" s="927"/>
      <c r="BO44" s="927"/>
      <c r="BP44" s="927"/>
      <c r="BQ44" s="927"/>
      <c r="BR44" s="927"/>
      <c r="BS44" s="927"/>
      <c r="BT44" s="927"/>
    </row>
    <row r="45" spans="1:72" x14ac:dyDescent="0.25">
      <c r="A45" s="932" t="s">
        <v>574</v>
      </c>
      <c r="B45" s="940" t="s">
        <v>583</v>
      </c>
      <c r="C45" s="936">
        <v>6.9</v>
      </c>
      <c r="D45" s="936">
        <v>6.4</v>
      </c>
      <c r="E45" s="936">
        <v>7.2674708046079139</v>
      </c>
      <c r="F45" s="936">
        <v>7.0885496188632935</v>
      </c>
      <c r="G45" s="936">
        <v>6.9118429447797478</v>
      </c>
      <c r="H45" s="936">
        <v>6.9722480090117775</v>
      </c>
      <c r="I45" s="936">
        <v>6.9487741854044058</v>
      </c>
      <c r="J45" s="1711" t="s">
        <v>761</v>
      </c>
      <c r="K45" s="1712"/>
      <c r="L45" s="927"/>
      <c r="M45" s="927"/>
      <c r="N45" s="927"/>
      <c r="O45" s="927"/>
      <c r="P45" s="927"/>
      <c r="Q45" s="927"/>
      <c r="R45" s="927"/>
      <c r="S45" s="927"/>
      <c r="T45" s="927"/>
      <c r="U45" s="927"/>
      <c r="V45" s="927"/>
      <c r="W45" s="927"/>
      <c r="X45" s="927"/>
      <c r="Y45" s="927"/>
      <c r="Z45" s="927"/>
      <c r="AA45" s="927"/>
      <c r="AB45" s="927"/>
      <c r="AC45" s="927"/>
      <c r="AD45" s="927"/>
      <c r="AE45" s="927"/>
      <c r="AF45" s="927"/>
      <c r="AG45" s="927"/>
      <c r="AH45" s="927"/>
      <c r="AI45" s="927"/>
      <c r="AJ45" s="927"/>
      <c r="AK45" s="927"/>
      <c r="AL45" s="927"/>
      <c r="AM45" s="927"/>
      <c r="AN45" s="927"/>
      <c r="AO45" s="927"/>
      <c r="AP45" s="927"/>
      <c r="AQ45" s="927"/>
      <c r="AR45" s="927"/>
      <c r="AS45" s="927"/>
      <c r="AT45" s="927"/>
      <c r="AU45" s="927"/>
      <c r="AV45" s="927"/>
      <c r="AW45" s="927"/>
      <c r="AX45" s="927"/>
      <c r="AY45" s="927"/>
      <c r="AZ45" s="927"/>
      <c r="BA45" s="927"/>
      <c r="BB45" s="927"/>
      <c r="BC45" s="927"/>
      <c r="BD45" s="927"/>
      <c r="BE45" s="927"/>
      <c r="BF45" s="927"/>
      <c r="BG45" s="927"/>
      <c r="BH45" s="927"/>
      <c r="BI45" s="927"/>
      <c r="BJ45" s="927"/>
      <c r="BK45" s="927"/>
      <c r="BL45" s="927"/>
      <c r="BM45" s="927"/>
      <c r="BN45" s="927"/>
      <c r="BO45" s="927"/>
      <c r="BP45" s="927"/>
      <c r="BQ45" s="927"/>
      <c r="BR45" s="927"/>
      <c r="BS45" s="927"/>
      <c r="BT45" s="927"/>
    </row>
    <row r="46" spans="1:72" x14ac:dyDescent="0.25">
      <c r="A46" s="930" t="s">
        <v>575</v>
      </c>
      <c r="B46" s="939" t="s">
        <v>584</v>
      </c>
      <c r="C46" s="934"/>
      <c r="D46" s="934"/>
      <c r="E46" s="934">
        <v>3.9267286033597717</v>
      </c>
      <c r="F46" s="934">
        <v>3.4025762910602637</v>
      </c>
      <c r="G46" s="934">
        <v>3.7218644965506216</v>
      </c>
      <c r="H46" s="934">
        <v>4.0392206503019663</v>
      </c>
      <c r="I46" s="934">
        <v>4.0968490901035652</v>
      </c>
      <c r="J46" s="1711"/>
      <c r="K46" s="1712"/>
      <c r="L46" s="927"/>
      <c r="M46" s="927"/>
      <c r="N46" s="927"/>
      <c r="O46" s="927"/>
      <c r="P46" s="927"/>
      <c r="Q46" s="927"/>
      <c r="R46" s="927"/>
      <c r="S46" s="927"/>
      <c r="T46" s="927"/>
      <c r="U46" s="927"/>
      <c r="V46" s="927"/>
      <c r="W46" s="927"/>
      <c r="X46" s="927"/>
      <c r="Y46" s="927"/>
      <c r="Z46" s="927"/>
      <c r="AA46" s="927"/>
      <c r="AB46" s="927"/>
      <c r="AC46" s="927"/>
      <c r="AD46" s="927"/>
      <c r="AE46" s="927"/>
      <c r="AF46" s="927"/>
      <c r="AG46" s="927"/>
      <c r="AH46" s="927"/>
      <c r="AI46" s="927"/>
      <c r="AJ46" s="927"/>
      <c r="AK46" s="927"/>
      <c r="AL46" s="927"/>
      <c r="AM46" s="927"/>
      <c r="AN46" s="927"/>
      <c r="AO46" s="927"/>
      <c r="AP46" s="927"/>
      <c r="AQ46" s="927"/>
      <c r="AR46" s="927"/>
      <c r="AS46" s="927"/>
      <c r="AT46" s="927"/>
      <c r="AU46" s="927"/>
      <c r="AV46" s="927"/>
      <c r="AW46" s="927"/>
      <c r="AX46" s="927"/>
      <c r="AY46" s="927"/>
      <c r="AZ46" s="927"/>
      <c r="BA46" s="927"/>
      <c r="BB46" s="927"/>
      <c r="BC46" s="927"/>
      <c r="BD46" s="927"/>
      <c r="BE46" s="927"/>
      <c r="BF46" s="927"/>
      <c r="BG46" s="927"/>
      <c r="BH46" s="927"/>
      <c r="BI46" s="927"/>
      <c r="BJ46" s="927"/>
      <c r="BK46" s="927"/>
      <c r="BL46" s="927"/>
      <c r="BM46" s="927"/>
      <c r="BN46" s="927"/>
      <c r="BO46" s="927"/>
      <c r="BP46" s="927"/>
      <c r="BQ46" s="927"/>
      <c r="BR46" s="927"/>
      <c r="BS46" s="927"/>
      <c r="BT46" s="927"/>
    </row>
    <row r="47" spans="1:72" x14ac:dyDescent="0.25">
      <c r="A47" s="932" t="s">
        <v>312</v>
      </c>
      <c r="B47" s="940" t="s">
        <v>584</v>
      </c>
      <c r="C47" s="936"/>
      <c r="D47" s="936"/>
      <c r="E47" s="936">
        <v>24.686324737923844</v>
      </c>
      <c r="F47" s="936">
        <v>23.090083577893328</v>
      </c>
      <c r="G47" s="936">
        <v>23.196746158381607</v>
      </c>
      <c r="H47" s="936">
        <v>23.268531873857007</v>
      </c>
      <c r="I47" s="936">
        <v>23.201243175360347</v>
      </c>
      <c r="J47" s="1711"/>
      <c r="K47" s="1712"/>
      <c r="L47" s="927"/>
      <c r="M47" s="927"/>
      <c r="N47" s="927"/>
      <c r="O47" s="927"/>
      <c r="P47" s="927"/>
      <c r="Q47" s="927"/>
      <c r="R47" s="927"/>
      <c r="S47" s="927"/>
      <c r="T47" s="927"/>
      <c r="U47" s="927"/>
      <c r="V47" s="927"/>
      <c r="W47" s="927"/>
      <c r="X47" s="927"/>
      <c r="Y47" s="927"/>
      <c r="Z47" s="927"/>
      <c r="AA47" s="927"/>
      <c r="AB47" s="927"/>
      <c r="AC47" s="927"/>
      <c r="AD47" s="927"/>
      <c r="AE47" s="927"/>
      <c r="AF47" s="927"/>
      <c r="AG47" s="927"/>
      <c r="AH47" s="927"/>
      <c r="AI47" s="927"/>
      <c r="AJ47" s="927"/>
      <c r="AK47" s="927"/>
      <c r="AL47" s="927"/>
      <c r="AM47" s="927"/>
      <c r="AN47" s="927"/>
      <c r="AO47" s="927"/>
      <c r="AP47" s="927"/>
      <c r="AQ47" s="927"/>
      <c r="AR47" s="927"/>
      <c r="AS47" s="927"/>
      <c r="AT47" s="927"/>
      <c r="AU47" s="927"/>
      <c r="AV47" s="927"/>
      <c r="AW47" s="927"/>
      <c r="AX47" s="927"/>
      <c r="AY47" s="927"/>
      <c r="AZ47" s="927"/>
      <c r="BA47" s="927"/>
      <c r="BB47" s="927"/>
      <c r="BC47" s="927"/>
      <c r="BD47" s="927"/>
      <c r="BE47" s="927"/>
      <c r="BF47" s="927"/>
      <c r="BG47" s="927"/>
      <c r="BH47" s="927"/>
      <c r="BI47" s="927"/>
      <c r="BJ47" s="927"/>
      <c r="BK47" s="927"/>
      <c r="BL47" s="927"/>
      <c r="BM47" s="927"/>
      <c r="BN47" s="927"/>
      <c r="BO47" s="927"/>
      <c r="BP47" s="927"/>
      <c r="BQ47" s="927"/>
      <c r="BR47" s="927"/>
      <c r="BS47" s="927"/>
      <c r="BT47" s="927"/>
    </row>
    <row r="48" spans="1:72" ht="39.6" x14ac:dyDescent="0.25">
      <c r="A48" s="948" t="s">
        <v>770</v>
      </c>
      <c r="B48" s="939" t="s">
        <v>579</v>
      </c>
      <c r="C48" s="934"/>
      <c r="D48" s="934"/>
      <c r="E48" s="934">
        <v>10</v>
      </c>
      <c r="F48" s="934">
        <v>10</v>
      </c>
      <c r="G48" s="934">
        <v>10</v>
      </c>
      <c r="H48" s="934">
        <v>10</v>
      </c>
      <c r="I48" s="934"/>
      <c r="J48" s="1711"/>
      <c r="K48" s="1712"/>
      <c r="L48" s="927"/>
      <c r="M48" s="927"/>
      <c r="N48" s="927"/>
      <c r="O48" s="927"/>
      <c r="P48" s="927"/>
      <c r="Q48" s="927"/>
      <c r="R48" s="927"/>
      <c r="S48" s="927"/>
      <c r="T48" s="927"/>
      <c r="U48" s="927"/>
      <c r="V48" s="927"/>
      <c r="W48" s="927"/>
      <c r="X48" s="927"/>
      <c r="Y48" s="927"/>
      <c r="Z48" s="927"/>
      <c r="AA48" s="927"/>
      <c r="AB48" s="927"/>
      <c r="AC48" s="927"/>
      <c r="AD48" s="927"/>
      <c r="AE48" s="927"/>
      <c r="AF48" s="927"/>
      <c r="AG48" s="927"/>
      <c r="AH48" s="927"/>
      <c r="AI48" s="927"/>
      <c r="AJ48" s="927"/>
      <c r="AK48" s="927"/>
      <c r="AL48" s="927"/>
      <c r="AM48" s="927"/>
      <c r="AN48" s="927"/>
      <c r="AO48" s="927"/>
      <c r="AP48" s="927"/>
      <c r="AQ48" s="927"/>
      <c r="AR48" s="927"/>
      <c r="AS48" s="927"/>
      <c r="AT48" s="927"/>
      <c r="AU48" s="927"/>
      <c r="AV48" s="927"/>
      <c r="AW48" s="927"/>
      <c r="AX48" s="927"/>
      <c r="AY48" s="927"/>
      <c r="AZ48" s="927"/>
      <c r="BA48" s="927"/>
      <c r="BB48" s="927"/>
      <c r="BC48" s="927"/>
      <c r="BD48" s="927"/>
      <c r="BE48" s="927"/>
      <c r="BF48" s="927"/>
      <c r="BG48" s="927"/>
      <c r="BH48" s="927"/>
      <c r="BI48" s="927"/>
      <c r="BJ48" s="927"/>
      <c r="BK48" s="927"/>
      <c r="BL48" s="927"/>
      <c r="BM48" s="927"/>
      <c r="BN48" s="927"/>
      <c r="BO48" s="927"/>
      <c r="BP48" s="927"/>
      <c r="BQ48" s="927"/>
      <c r="BR48" s="927"/>
      <c r="BS48" s="927"/>
      <c r="BT48" s="927"/>
    </row>
    <row r="49" spans="1:72" x14ac:dyDescent="0.25">
      <c r="B49" s="947" t="s">
        <v>769</v>
      </c>
      <c r="C49" s="945"/>
      <c r="D49" s="945"/>
      <c r="E49" s="945">
        <f>E48*$B$61</f>
        <v>0.65713983050847458</v>
      </c>
      <c r="F49" s="945">
        <f>F48*$B$61</f>
        <v>0.65713983050847458</v>
      </c>
      <c r="G49" s="945">
        <f>G48*$B$61</f>
        <v>0.65713983050847458</v>
      </c>
      <c r="H49" s="945">
        <f>H48*$B$61</f>
        <v>0.65713983050847458</v>
      </c>
      <c r="I49" s="945"/>
      <c r="J49" s="945"/>
      <c r="K49" s="946"/>
      <c r="L49" s="927"/>
      <c r="M49" s="927"/>
      <c r="N49" s="927"/>
      <c r="O49" s="927"/>
      <c r="P49" s="927"/>
      <c r="Q49" s="927"/>
      <c r="R49" s="927"/>
      <c r="S49" s="927"/>
      <c r="T49" s="927"/>
      <c r="U49" s="927"/>
      <c r="V49" s="927"/>
      <c r="W49" s="927"/>
      <c r="X49" s="927"/>
      <c r="Y49" s="927"/>
      <c r="Z49" s="927"/>
      <c r="AA49" s="927"/>
      <c r="AB49" s="927"/>
      <c r="AC49" s="927"/>
      <c r="AD49" s="927"/>
      <c r="AE49" s="927"/>
      <c r="AF49" s="927"/>
      <c r="AG49" s="927"/>
      <c r="AH49" s="927"/>
      <c r="AI49" s="927"/>
      <c r="AJ49" s="927"/>
      <c r="AK49" s="927"/>
      <c r="AL49" s="927"/>
      <c r="AM49" s="927"/>
      <c r="AN49" s="927"/>
      <c r="AO49" s="927"/>
      <c r="AP49" s="927"/>
      <c r="AQ49" s="927"/>
      <c r="AR49" s="927"/>
      <c r="AS49" s="927"/>
      <c r="AT49" s="927"/>
      <c r="AU49" s="927"/>
      <c r="AV49" s="927"/>
      <c r="AW49" s="927"/>
      <c r="AX49" s="927"/>
      <c r="AY49" s="927"/>
      <c r="AZ49" s="927"/>
      <c r="BA49" s="927"/>
      <c r="BB49" s="927"/>
      <c r="BC49" s="927"/>
      <c r="BD49" s="927"/>
      <c r="BE49" s="927"/>
      <c r="BF49" s="927"/>
      <c r="BG49" s="927"/>
      <c r="BH49" s="927"/>
      <c r="BI49" s="927"/>
      <c r="BJ49" s="927"/>
      <c r="BK49" s="927"/>
      <c r="BL49" s="927"/>
      <c r="BM49" s="927"/>
      <c r="BN49" s="927"/>
      <c r="BO49" s="927"/>
      <c r="BP49" s="927"/>
      <c r="BQ49" s="927"/>
      <c r="BR49" s="927"/>
      <c r="BS49" s="927"/>
      <c r="BT49" s="927"/>
    </row>
    <row r="50" spans="1:72" ht="26.4" x14ac:dyDescent="0.25">
      <c r="A50" s="948" t="s">
        <v>771</v>
      </c>
      <c r="B50" s="949" t="s">
        <v>584</v>
      </c>
      <c r="C50" s="934"/>
      <c r="D50" s="934"/>
      <c r="E50" s="934">
        <f>E49+E46</f>
        <v>4.5838684338682461</v>
      </c>
      <c r="F50" s="934">
        <f>F49+F46</f>
        <v>4.0597161215687381</v>
      </c>
      <c r="G50" s="934">
        <f>G49+G46</f>
        <v>4.3790043270590964</v>
      </c>
      <c r="H50" s="934">
        <f>H49+H46</f>
        <v>4.6963604808104407</v>
      </c>
      <c r="I50" s="934"/>
      <c r="J50" s="945"/>
      <c r="K50" s="946"/>
      <c r="L50" s="927"/>
      <c r="M50" s="927"/>
      <c r="N50" s="927"/>
      <c r="O50" s="927"/>
      <c r="P50" s="927"/>
      <c r="Q50" s="927"/>
      <c r="R50" s="927"/>
      <c r="S50" s="927"/>
      <c r="T50" s="927"/>
      <c r="U50" s="927"/>
      <c r="V50" s="927"/>
      <c r="W50" s="927"/>
      <c r="X50" s="927"/>
      <c r="Y50" s="927"/>
      <c r="Z50" s="927"/>
      <c r="AA50" s="927"/>
      <c r="AB50" s="927"/>
      <c r="AC50" s="927"/>
      <c r="AD50" s="927"/>
      <c r="AE50" s="927"/>
      <c r="AF50" s="927"/>
      <c r="AG50" s="927"/>
      <c r="AH50" s="927"/>
      <c r="AI50" s="927"/>
      <c r="AJ50" s="927"/>
      <c r="AK50" s="927"/>
      <c r="AL50" s="927"/>
      <c r="AM50" s="927"/>
      <c r="AN50" s="927"/>
      <c r="AO50" s="927"/>
      <c r="AP50" s="927"/>
      <c r="AQ50" s="927"/>
      <c r="AR50" s="927"/>
      <c r="AS50" s="927"/>
      <c r="AT50" s="927"/>
      <c r="AU50" s="927"/>
      <c r="AV50" s="927"/>
      <c r="AW50" s="927"/>
      <c r="AX50" s="927"/>
      <c r="AY50" s="927"/>
      <c r="AZ50" s="927"/>
      <c r="BA50" s="927"/>
      <c r="BB50" s="927"/>
      <c r="BC50" s="927"/>
      <c r="BD50" s="927"/>
      <c r="BE50" s="927"/>
      <c r="BF50" s="927"/>
      <c r="BG50" s="927"/>
      <c r="BH50" s="927"/>
      <c r="BI50" s="927"/>
      <c r="BJ50" s="927"/>
      <c r="BK50" s="927"/>
      <c r="BL50" s="927"/>
      <c r="BM50" s="927"/>
      <c r="BN50" s="927"/>
      <c r="BO50" s="927"/>
      <c r="BP50" s="927"/>
      <c r="BQ50" s="927"/>
      <c r="BR50" s="927"/>
      <c r="BS50" s="927"/>
      <c r="BT50" s="927"/>
    </row>
    <row r="51" spans="1:72" x14ac:dyDescent="0.25">
      <c r="B51" s="947"/>
      <c r="C51" s="945"/>
      <c r="D51" s="945"/>
      <c r="E51" s="945"/>
      <c r="F51" s="945"/>
      <c r="G51" s="945"/>
      <c r="H51" s="945"/>
      <c r="I51" s="945"/>
      <c r="J51" s="945"/>
      <c r="K51" s="946"/>
      <c r="L51" s="927"/>
      <c r="M51" s="927"/>
      <c r="N51" s="927"/>
      <c r="O51" s="927"/>
      <c r="P51" s="927"/>
      <c r="Q51" s="927"/>
      <c r="R51" s="927"/>
      <c r="S51" s="927"/>
      <c r="T51" s="927"/>
      <c r="U51" s="927"/>
      <c r="V51" s="927"/>
      <c r="W51" s="927"/>
      <c r="X51" s="927"/>
      <c r="Y51" s="927"/>
      <c r="Z51" s="927"/>
      <c r="AA51" s="927"/>
      <c r="AB51" s="927"/>
      <c r="AC51" s="927"/>
      <c r="AD51" s="927"/>
      <c r="AE51" s="927"/>
      <c r="AF51" s="927"/>
      <c r="AG51" s="927"/>
      <c r="AH51" s="927"/>
      <c r="AI51" s="927"/>
      <c r="AJ51" s="927"/>
      <c r="AK51" s="927"/>
      <c r="AL51" s="927"/>
      <c r="AM51" s="927"/>
      <c r="AN51" s="927"/>
      <c r="AO51" s="927"/>
      <c r="AP51" s="927"/>
      <c r="AQ51" s="927"/>
      <c r="AR51" s="927"/>
      <c r="AS51" s="927"/>
      <c r="AT51" s="927"/>
      <c r="AU51" s="927"/>
      <c r="AV51" s="927"/>
      <c r="AW51" s="927"/>
      <c r="AX51" s="927"/>
      <c r="AY51" s="927"/>
      <c r="AZ51" s="927"/>
      <c r="BA51" s="927"/>
      <c r="BB51" s="927"/>
      <c r="BC51" s="927"/>
      <c r="BD51" s="927"/>
      <c r="BE51" s="927"/>
      <c r="BF51" s="927"/>
      <c r="BG51" s="927"/>
      <c r="BH51" s="927"/>
      <c r="BI51" s="927"/>
      <c r="BJ51" s="927"/>
      <c r="BK51" s="927"/>
      <c r="BL51" s="927"/>
      <c r="BM51" s="927"/>
      <c r="BN51" s="927"/>
      <c r="BO51" s="927"/>
      <c r="BP51" s="927"/>
      <c r="BQ51" s="927"/>
      <c r="BR51" s="927"/>
      <c r="BS51" s="927"/>
      <c r="BT51" s="927"/>
    </row>
    <row r="52" spans="1:72" x14ac:dyDescent="0.25">
      <c r="A52" s="944" t="s">
        <v>762</v>
      </c>
      <c r="B52" s="945"/>
      <c r="C52" s="945"/>
      <c r="D52" s="945"/>
      <c r="E52" s="945"/>
      <c r="F52" s="945"/>
      <c r="G52" s="945"/>
      <c r="H52" s="945"/>
      <c r="I52" s="945"/>
      <c r="J52" s="945"/>
      <c r="K52" s="946"/>
      <c r="L52" s="927"/>
      <c r="M52" s="927"/>
      <c r="N52" s="927"/>
      <c r="O52" s="927"/>
      <c r="P52" s="927"/>
      <c r="Q52" s="927"/>
      <c r="R52" s="927"/>
      <c r="S52" s="927"/>
      <c r="T52" s="927"/>
      <c r="U52" s="927"/>
      <c r="V52" s="927"/>
      <c r="W52" s="927"/>
      <c r="X52" s="927"/>
      <c r="Y52" s="927"/>
      <c r="Z52" s="927"/>
      <c r="AA52" s="927"/>
      <c r="AB52" s="927"/>
      <c r="AC52" s="927"/>
      <c r="AD52" s="927"/>
      <c r="AE52" s="927"/>
      <c r="AF52" s="927"/>
      <c r="AG52" s="927"/>
      <c r="AH52" s="927"/>
      <c r="AI52" s="927"/>
      <c r="AJ52" s="927"/>
      <c r="AK52" s="927"/>
      <c r="AL52" s="927"/>
      <c r="AM52" s="927"/>
      <c r="AN52" s="927"/>
      <c r="AO52" s="927"/>
      <c r="AP52" s="927"/>
      <c r="AQ52" s="927"/>
      <c r="AR52" s="927"/>
      <c r="AS52" s="927"/>
      <c r="AT52" s="927"/>
      <c r="AU52" s="927"/>
      <c r="AV52" s="927"/>
      <c r="AW52" s="927"/>
      <c r="AX52" s="927"/>
      <c r="AY52" s="927"/>
      <c r="AZ52" s="927"/>
      <c r="BA52" s="927"/>
      <c r="BB52" s="927"/>
      <c r="BC52" s="927"/>
      <c r="BD52" s="927"/>
      <c r="BE52" s="927"/>
      <c r="BF52" s="927"/>
      <c r="BG52" s="927"/>
      <c r="BH52" s="927"/>
      <c r="BI52" s="927"/>
      <c r="BJ52" s="927"/>
      <c r="BK52" s="927"/>
      <c r="BL52" s="927"/>
      <c r="BM52" s="927"/>
      <c r="BN52" s="927"/>
      <c r="BO52" s="927"/>
      <c r="BP52" s="927"/>
      <c r="BQ52" s="927"/>
      <c r="BR52" s="927"/>
      <c r="BS52" s="927"/>
      <c r="BT52" s="927"/>
    </row>
    <row r="53" spans="1:72" x14ac:dyDescent="0.25">
      <c r="A53" s="1713" t="s">
        <v>763</v>
      </c>
      <c r="B53" s="1714"/>
      <c r="C53" s="1714"/>
      <c r="D53" s="1714"/>
      <c r="E53" s="1714"/>
      <c r="F53" s="1714"/>
      <c r="G53" s="1714"/>
      <c r="H53" s="1714"/>
      <c r="I53" s="1714"/>
      <c r="J53" s="1714"/>
      <c r="K53" s="1715"/>
      <c r="L53" s="927"/>
      <c r="M53" s="927"/>
      <c r="N53" s="927"/>
      <c r="O53" s="927"/>
      <c r="P53" s="927"/>
      <c r="Q53" s="927"/>
      <c r="R53" s="927"/>
      <c r="S53" s="927"/>
      <c r="T53" s="927"/>
      <c r="U53" s="927"/>
      <c r="V53" s="927"/>
      <c r="W53" s="927"/>
      <c r="X53" s="927"/>
      <c r="Y53" s="927"/>
      <c r="Z53" s="927"/>
      <c r="AA53" s="927"/>
      <c r="AB53" s="927"/>
      <c r="AC53" s="927"/>
      <c r="AD53" s="927"/>
      <c r="AE53" s="927"/>
      <c r="AF53" s="927"/>
      <c r="AG53" s="927"/>
      <c r="AH53" s="927"/>
      <c r="AI53" s="927"/>
      <c r="AJ53" s="927"/>
      <c r="AK53" s="927"/>
      <c r="AL53" s="927"/>
      <c r="AM53" s="927"/>
      <c r="AN53" s="927"/>
      <c r="AO53" s="927"/>
      <c r="AP53" s="927"/>
      <c r="AQ53" s="927"/>
      <c r="AR53" s="927"/>
      <c r="AS53" s="927"/>
      <c r="AT53" s="927"/>
      <c r="AU53" s="927"/>
      <c r="AV53" s="927"/>
      <c r="AW53" s="927"/>
      <c r="AX53" s="927"/>
      <c r="AY53" s="927"/>
      <c r="AZ53" s="927"/>
      <c r="BA53" s="927"/>
      <c r="BB53" s="927"/>
      <c r="BC53" s="927"/>
      <c r="BD53" s="927"/>
      <c r="BE53" s="927"/>
      <c r="BF53" s="927"/>
      <c r="BG53" s="927"/>
      <c r="BH53" s="927"/>
      <c r="BI53" s="927"/>
      <c r="BJ53" s="927"/>
      <c r="BK53" s="927"/>
      <c r="BL53" s="927"/>
      <c r="BM53" s="927"/>
      <c r="BN53" s="927"/>
      <c r="BO53" s="927"/>
      <c r="BP53" s="927"/>
      <c r="BQ53" s="927"/>
      <c r="BR53" s="927"/>
      <c r="BS53" s="927"/>
      <c r="BT53" s="927"/>
    </row>
    <row r="54" spans="1:72" x14ac:dyDescent="0.25">
      <c r="A54" s="1716" t="s">
        <v>320</v>
      </c>
      <c r="B54" s="1717"/>
      <c r="C54" s="1717"/>
      <c r="D54" s="1717"/>
      <c r="E54" s="1717"/>
      <c r="F54" s="1717"/>
      <c r="G54" s="1717"/>
      <c r="H54" s="1717"/>
      <c r="I54" s="1717"/>
      <c r="J54" s="1717"/>
      <c r="K54" s="1718"/>
      <c r="L54" s="927"/>
      <c r="M54" s="927"/>
      <c r="N54" s="927"/>
      <c r="O54" s="927"/>
      <c r="P54" s="927"/>
      <c r="Q54" s="927"/>
      <c r="R54" s="927"/>
      <c r="S54" s="927"/>
      <c r="T54" s="927"/>
      <c r="U54" s="927"/>
      <c r="V54" s="927"/>
      <c r="W54" s="927"/>
      <c r="X54" s="927"/>
      <c r="Y54" s="927"/>
      <c r="Z54" s="927"/>
      <c r="AA54" s="927"/>
      <c r="AB54" s="927"/>
      <c r="AC54" s="927"/>
      <c r="AD54" s="927"/>
      <c r="AE54" s="927"/>
      <c r="AF54" s="927"/>
      <c r="AG54" s="927"/>
      <c r="AH54" s="927"/>
      <c r="AI54" s="927"/>
      <c r="AJ54" s="927"/>
      <c r="AK54" s="927"/>
      <c r="AL54" s="927"/>
      <c r="AM54" s="927"/>
      <c r="AN54" s="927"/>
      <c r="AO54" s="927"/>
      <c r="AP54" s="927"/>
      <c r="AQ54" s="927"/>
      <c r="AR54" s="927"/>
      <c r="AS54" s="927"/>
      <c r="AT54" s="927"/>
      <c r="AU54" s="927"/>
      <c r="AV54" s="927"/>
      <c r="AW54" s="927"/>
      <c r="AX54" s="927"/>
      <c r="AY54" s="927"/>
      <c r="AZ54" s="927"/>
      <c r="BA54" s="927"/>
      <c r="BB54" s="927"/>
      <c r="BC54" s="927"/>
      <c r="BD54" s="927"/>
      <c r="BE54" s="927"/>
      <c r="BF54" s="927"/>
      <c r="BG54" s="927"/>
      <c r="BH54" s="927"/>
      <c r="BI54" s="927"/>
      <c r="BJ54" s="927"/>
      <c r="BK54" s="927"/>
      <c r="BL54" s="927"/>
      <c r="BM54" s="927"/>
      <c r="BN54" s="927"/>
      <c r="BO54" s="927"/>
      <c r="BP54" s="927"/>
      <c r="BQ54" s="927"/>
      <c r="BR54" s="927"/>
      <c r="BS54" s="927"/>
      <c r="BT54" s="927"/>
    </row>
    <row r="55" spans="1:72" x14ac:dyDescent="0.25">
      <c r="A55" s="1716"/>
      <c r="B55" s="1717"/>
      <c r="C55" s="1717"/>
      <c r="D55" s="1717"/>
      <c r="E55" s="1717"/>
      <c r="F55" s="1717"/>
      <c r="G55" s="1717"/>
      <c r="H55" s="1717"/>
      <c r="I55" s="1717"/>
      <c r="J55" s="1717"/>
      <c r="K55" s="1718"/>
      <c r="L55" s="927"/>
      <c r="M55" s="927"/>
      <c r="N55" s="927"/>
      <c r="O55" s="927"/>
      <c r="P55" s="927"/>
      <c r="Q55" s="927"/>
      <c r="R55" s="927"/>
      <c r="S55" s="927"/>
      <c r="T55" s="927"/>
      <c r="U55" s="927"/>
      <c r="V55" s="927"/>
      <c r="W55" s="927"/>
      <c r="X55" s="927"/>
      <c r="Y55" s="927"/>
      <c r="Z55" s="927"/>
      <c r="AA55" s="927"/>
      <c r="AB55" s="927"/>
      <c r="AC55" s="927"/>
      <c r="AD55" s="927"/>
      <c r="AE55" s="927"/>
      <c r="AF55" s="927"/>
      <c r="AG55" s="927"/>
      <c r="AH55" s="927"/>
      <c r="AI55" s="927"/>
      <c r="AJ55" s="927"/>
      <c r="AK55" s="927"/>
      <c r="AL55" s="927"/>
      <c r="AM55" s="927"/>
      <c r="AN55" s="927"/>
      <c r="AO55" s="927"/>
      <c r="AP55" s="927"/>
      <c r="AQ55" s="927"/>
      <c r="AR55" s="927"/>
      <c r="AS55" s="927"/>
      <c r="AT55" s="927"/>
      <c r="AU55" s="927"/>
      <c r="AV55" s="927"/>
      <c r="AW55" s="927"/>
      <c r="AX55" s="927"/>
      <c r="AY55" s="927"/>
      <c r="AZ55" s="927"/>
      <c r="BA55" s="927"/>
      <c r="BB55" s="927"/>
      <c r="BC55" s="927"/>
      <c r="BD55" s="927"/>
      <c r="BE55" s="927"/>
      <c r="BF55" s="927"/>
      <c r="BG55" s="927"/>
      <c r="BH55" s="927"/>
      <c r="BI55" s="927"/>
      <c r="BJ55" s="927"/>
      <c r="BK55" s="927"/>
      <c r="BL55" s="927"/>
      <c r="BM55" s="927"/>
      <c r="BN55" s="927"/>
      <c r="BO55" s="927"/>
      <c r="BP55" s="927"/>
      <c r="BQ55" s="927"/>
      <c r="BR55" s="927"/>
      <c r="BS55" s="927"/>
      <c r="BT55" s="927"/>
    </row>
    <row r="56" spans="1:72" ht="13.8" thickBot="1" x14ac:dyDescent="0.3">
      <c r="A56" s="1706" t="s">
        <v>764</v>
      </c>
      <c r="B56" s="1707"/>
      <c r="C56" s="1707"/>
      <c r="D56" s="1707"/>
      <c r="E56" s="1707"/>
      <c r="F56" s="1707"/>
      <c r="G56" s="1707"/>
      <c r="H56" s="1707"/>
      <c r="I56" s="1707"/>
      <c r="J56" s="1707"/>
      <c r="K56" s="1708"/>
      <c r="L56" s="927"/>
      <c r="M56" s="927"/>
      <c r="N56" s="927"/>
      <c r="O56" s="927"/>
      <c r="P56" s="927"/>
      <c r="Q56" s="927"/>
      <c r="R56" s="927"/>
      <c r="S56" s="927"/>
      <c r="T56" s="927"/>
      <c r="U56" s="927"/>
      <c r="V56" s="927"/>
      <c r="W56" s="927"/>
      <c r="X56" s="927"/>
      <c r="Y56" s="927"/>
      <c r="Z56" s="927"/>
      <c r="AA56" s="927"/>
      <c r="AB56" s="927"/>
      <c r="AC56" s="927"/>
      <c r="AD56" s="927"/>
      <c r="AE56" s="927"/>
      <c r="AF56" s="927"/>
      <c r="AG56" s="927"/>
      <c r="AH56" s="927"/>
      <c r="AI56" s="927"/>
      <c r="AJ56" s="927"/>
      <c r="AK56" s="927"/>
      <c r="AL56" s="927"/>
      <c r="AM56" s="927"/>
      <c r="AN56" s="927"/>
      <c r="AO56" s="927"/>
      <c r="AP56" s="927"/>
      <c r="AQ56" s="927"/>
      <c r="AR56" s="927"/>
      <c r="AS56" s="927"/>
      <c r="AT56" s="927"/>
      <c r="AU56" s="927"/>
      <c r="AV56" s="927"/>
      <c r="AW56" s="927"/>
      <c r="AX56" s="927"/>
      <c r="AY56" s="927"/>
      <c r="AZ56" s="927"/>
      <c r="BA56" s="927"/>
      <c r="BB56" s="927"/>
      <c r="BC56" s="927"/>
      <c r="BD56" s="927"/>
      <c r="BE56" s="927"/>
      <c r="BF56" s="927"/>
      <c r="BG56" s="927"/>
      <c r="BH56" s="927"/>
      <c r="BI56" s="927"/>
      <c r="BJ56" s="927"/>
      <c r="BK56" s="927"/>
      <c r="BL56" s="927"/>
      <c r="BM56" s="927"/>
      <c r="BN56" s="927"/>
      <c r="BO56" s="927"/>
      <c r="BP56" s="927"/>
      <c r="BQ56" s="927"/>
      <c r="BR56" s="927"/>
      <c r="BS56" s="927"/>
      <c r="BT56" s="927"/>
    </row>
    <row r="57" spans="1:72" x14ac:dyDescent="0.25">
      <c r="A57" s="943"/>
      <c r="B57" s="943"/>
      <c r="C57" s="943"/>
      <c r="D57" s="943"/>
      <c r="E57" s="943"/>
      <c r="F57" s="943"/>
      <c r="G57" s="943"/>
      <c r="H57" s="943"/>
      <c r="I57" s="943"/>
      <c r="J57" s="943"/>
      <c r="K57" s="943"/>
      <c r="L57" s="927"/>
      <c r="M57" s="927"/>
      <c r="N57" s="927"/>
      <c r="O57" s="927"/>
      <c r="P57" s="927"/>
      <c r="Q57" s="927"/>
      <c r="R57" s="927"/>
      <c r="S57" s="927"/>
      <c r="T57" s="927"/>
      <c r="U57" s="927"/>
      <c r="V57" s="927"/>
      <c r="W57" s="927"/>
      <c r="X57" s="927"/>
      <c r="Y57" s="927"/>
      <c r="Z57" s="927"/>
      <c r="AA57" s="927"/>
      <c r="AB57" s="927"/>
      <c r="AC57" s="927"/>
      <c r="AD57" s="927"/>
      <c r="AE57" s="927"/>
      <c r="AF57" s="927"/>
      <c r="AG57" s="927"/>
      <c r="AH57" s="927"/>
      <c r="AI57" s="927"/>
      <c r="AJ57" s="927"/>
      <c r="AK57" s="927"/>
      <c r="AL57" s="927"/>
      <c r="AM57" s="927"/>
      <c r="AN57" s="927"/>
      <c r="AO57" s="927"/>
      <c r="AP57" s="927"/>
      <c r="AQ57" s="927"/>
      <c r="AR57" s="927"/>
      <c r="AS57" s="927"/>
      <c r="AT57" s="927"/>
      <c r="AU57" s="927"/>
      <c r="AV57" s="927"/>
      <c r="AW57" s="927"/>
      <c r="AX57" s="927"/>
      <c r="AY57" s="927"/>
      <c r="AZ57" s="927"/>
      <c r="BA57" s="927"/>
      <c r="BB57" s="927"/>
      <c r="BC57" s="927"/>
      <c r="BD57" s="927"/>
      <c r="BE57" s="927"/>
      <c r="BF57" s="927"/>
      <c r="BG57" s="927"/>
      <c r="BH57" s="927"/>
      <c r="BI57" s="927"/>
      <c r="BJ57" s="927"/>
      <c r="BK57" s="927"/>
      <c r="BL57" s="927"/>
      <c r="BM57" s="927"/>
      <c r="BN57" s="927"/>
      <c r="BO57" s="927"/>
      <c r="BP57" s="927"/>
      <c r="BQ57" s="927"/>
      <c r="BR57" s="927"/>
      <c r="BS57" s="927"/>
      <c r="BT57" s="927"/>
    </row>
    <row r="58" spans="1:72" x14ac:dyDescent="0.25">
      <c r="A58" s="927" t="s">
        <v>767</v>
      </c>
      <c r="B58" s="927"/>
      <c r="C58" s="927"/>
      <c r="D58" s="927"/>
      <c r="E58" s="927"/>
      <c r="F58" s="927"/>
      <c r="G58" s="927"/>
      <c r="H58" s="927"/>
      <c r="I58" s="927"/>
      <c r="J58" s="927"/>
      <c r="K58" s="927"/>
      <c r="L58" s="927"/>
      <c r="M58" s="927"/>
      <c r="N58" s="927"/>
      <c r="O58" s="927"/>
      <c r="P58" s="927"/>
      <c r="Q58" s="927"/>
      <c r="R58" s="927"/>
      <c r="S58" s="927"/>
      <c r="T58" s="927"/>
      <c r="U58" s="927"/>
      <c r="V58" s="927"/>
      <c r="W58" s="927"/>
      <c r="X58" s="927"/>
      <c r="Y58" s="927"/>
      <c r="Z58" s="927"/>
      <c r="AA58" s="927"/>
      <c r="AB58" s="927"/>
      <c r="AC58" s="927"/>
      <c r="AD58" s="927"/>
      <c r="AE58" s="927"/>
      <c r="AF58" s="927"/>
      <c r="AG58" s="927"/>
      <c r="AH58" s="927"/>
      <c r="AI58" s="927"/>
      <c r="AJ58" s="927"/>
      <c r="AK58" s="927"/>
      <c r="AL58" s="927"/>
      <c r="AM58" s="927"/>
      <c r="AN58" s="927"/>
      <c r="AO58" s="927"/>
      <c r="AP58" s="927"/>
      <c r="AQ58" s="927"/>
      <c r="AR58" s="927"/>
      <c r="AS58" s="927"/>
      <c r="AT58" s="927"/>
      <c r="AU58" s="927"/>
      <c r="AV58" s="927"/>
      <c r="AW58" s="927"/>
      <c r="AX58" s="927"/>
      <c r="AY58" s="927"/>
      <c r="AZ58" s="927"/>
      <c r="BA58" s="927"/>
      <c r="BB58" s="927"/>
      <c r="BC58" s="927"/>
      <c r="BD58" s="927"/>
      <c r="BE58" s="927"/>
      <c r="BF58" s="927"/>
      <c r="BG58" s="927"/>
      <c r="BH58" s="927"/>
      <c r="BI58" s="927"/>
      <c r="BJ58" s="927"/>
      <c r="BK58" s="927"/>
      <c r="BL58" s="927"/>
      <c r="BM58" s="927"/>
      <c r="BN58" s="927"/>
      <c r="BO58" s="927"/>
      <c r="BP58" s="927"/>
      <c r="BQ58" s="927"/>
      <c r="BR58" s="927"/>
      <c r="BS58" s="927"/>
      <c r="BT58" s="927"/>
    </row>
    <row r="59" spans="1:72" x14ac:dyDescent="0.25">
      <c r="A59" s="927" t="s">
        <v>766</v>
      </c>
      <c r="B59" s="927">
        <v>19022</v>
      </c>
      <c r="C59" s="927"/>
      <c r="D59" s="927"/>
      <c r="E59" s="927"/>
      <c r="F59" s="927"/>
      <c r="G59" s="927"/>
      <c r="H59" s="927"/>
      <c r="I59" s="927"/>
      <c r="J59" s="927"/>
      <c r="K59" s="927"/>
      <c r="L59" s="927"/>
      <c r="M59" s="927"/>
      <c r="N59" s="927"/>
      <c r="O59" s="927"/>
      <c r="P59" s="927"/>
      <c r="Q59" s="927"/>
      <c r="R59" s="927"/>
      <c r="S59" s="927"/>
      <c r="T59" s="927"/>
      <c r="U59" s="927"/>
      <c r="V59" s="927"/>
      <c r="W59" s="927"/>
      <c r="X59" s="927"/>
      <c r="Y59" s="927"/>
      <c r="Z59" s="927"/>
      <c r="AA59" s="927"/>
      <c r="AB59" s="927"/>
      <c r="AC59" s="927"/>
      <c r="AD59" s="927"/>
      <c r="AE59" s="927"/>
      <c r="AF59" s="927"/>
      <c r="AG59" s="927"/>
      <c r="AH59" s="927"/>
      <c r="AI59" s="927"/>
      <c r="AJ59" s="927"/>
      <c r="AK59" s="927"/>
      <c r="AL59" s="927"/>
      <c r="AM59" s="927"/>
      <c r="AN59" s="927"/>
      <c r="AO59" s="927"/>
      <c r="AP59" s="927"/>
      <c r="AQ59" s="927"/>
      <c r="AR59" s="927"/>
      <c r="AS59" s="927"/>
      <c r="AT59" s="927"/>
      <c r="AU59" s="927"/>
      <c r="AV59" s="927"/>
      <c r="AW59" s="927"/>
      <c r="AX59" s="927"/>
      <c r="AY59" s="927"/>
      <c r="AZ59" s="927"/>
      <c r="BA59" s="927"/>
      <c r="BB59" s="927"/>
      <c r="BC59" s="927"/>
      <c r="BD59" s="927"/>
      <c r="BE59" s="927"/>
      <c r="BF59" s="927"/>
      <c r="BG59" s="927"/>
      <c r="BH59" s="927"/>
      <c r="BI59" s="927"/>
      <c r="BJ59" s="927"/>
      <c r="BK59" s="927"/>
      <c r="BL59" s="927"/>
      <c r="BM59" s="927"/>
      <c r="BN59" s="927"/>
      <c r="BO59" s="927"/>
      <c r="BP59" s="927"/>
      <c r="BQ59" s="927"/>
      <c r="BR59" s="927"/>
      <c r="BS59" s="927"/>
      <c r="BT59" s="927"/>
    </row>
    <row r="60" spans="1:72" x14ac:dyDescent="0.25">
      <c r="A60" s="927" t="s">
        <v>765</v>
      </c>
      <c r="B60" s="927">
        <v>17700</v>
      </c>
      <c r="C60" s="927"/>
      <c r="D60" s="927"/>
      <c r="E60" s="927"/>
      <c r="F60" s="927"/>
      <c r="G60" s="927"/>
      <c r="H60" s="927"/>
      <c r="I60" s="927"/>
      <c r="J60" s="927"/>
      <c r="K60" s="927"/>
      <c r="L60" s="927"/>
      <c r="M60" s="927"/>
      <c r="N60" s="927"/>
      <c r="O60" s="927"/>
      <c r="P60" s="927"/>
      <c r="Q60" s="927"/>
      <c r="R60" s="927"/>
      <c r="S60" s="927"/>
      <c r="T60" s="927"/>
      <c r="U60" s="927"/>
      <c r="V60" s="927"/>
      <c r="W60" s="927"/>
      <c r="X60" s="927"/>
      <c r="Y60" s="927"/>
      <c r="Z60" s="927"/>
      <c r="AA60" s="927"/>
      <c r="AB60" s="927"/>
      <c r="AC60" s="927"/>
      <c r="AD60" s="927"/>
      <c r="AE60" s="927"/>
      <c r="AF60" s="927"/>
      <c r="AG60" s="927"/>
      <c r="AH60" s="927"/>
      <c r="AI60" s="927"/>
      <c r="AJ60" s="927"/>
      <c r="AK60" s="927"/>
      <c r="AL60" s="927"/>
      <c r="AM60" s="927"/>
      <c r="AN60" s="927"/>
      <c r="AO60" s="927"/>
      <c r="AP60" s="927"/>
      <c r="AQ60" s="927"/>
      <c r="AR60" s="927"/>
      <c r="AS60" s="927"/>
      <c r="AT60" s="927"/>
      <c r="AU60" s="927"/>
      <c r="AV60" s="927"/>
      <c r="AW60" s="927"/>
      <c r="AX60" s="927"/>
      <c r="AY60" s="927"/>
      <c r="AZ60" s="927"/>
      <c r="BA60" s="927"/>
      <c r="BB60" s="927"/>
      <c r="BC60" s="927"/>
      <c r="BD60" s="927"/>
      <c r="BE60" s="927"/>
      <c r="BF60" s="927"/>
      <c r="BG60" s="927"/>
      <c r="BH60" s="927"/>
      <c r="BI60" s="927"/>
      <c r="BJ60" s="927"/>
      <c r="BK60" s="927"/>
      <c r="BL60" s="927"/>
      <c r="BM60" s="927"/>
      <c r="BN60" s="927"/>
      <c r="BO60" s="927"/>
      <c r="BP60" s="927"/>
      <c r="BQ60" s="927"/>
      <c r="BR60" s="927"/>
      <c r="BS60" s="927"/>
      <c r="BT60" s="927"/>
    </row>
    <row r="61" spans="1:72" x14ac:dyDescent="0.25">
      <c r="A61" s="927" t="s">
        <v>768</v>
      </c>
      <c r="B61" s="927">
        <f>2.205/2000/B60*mmBTU_to_GJ*1000000</f>
        <v>6.5713983050847455E-2</v>
      </c>
      <c r="C61" s="927"/>
      <c r="D61" s="927"/>
      <c r="E61" s="927"/>
      <c r="F61" s="927"/>
      <c r="G61" s="927"/>
      <c r="H61" s="927"/>
      <c r="I61" s="927"/>
      <c r="J61" s="927"/>
      <c r="K61" s="927"/>
      <c r="L61" s="927"/>
      <c r="M61" s="927"/>
      <c r="N61" s="927"/>
      <c r="O61" s="927"/>
      <c r="P61" s="927"/>
      <c r="Q61" s="927"/>
      <c r="R61" s="927"/>
      <c r="S61" s="927"/>
      <c r="T61" s="927"/>
      <c r="U61" s="927"/>
      <c r="V61" s="927"/>
      <c r="W61" s="927"/>
      <c r="X61" s="927"/>
      <c r="Y61" s="927"/>
      <c r="Z61" s="927"/>
      <c r="AA61" s="927"/>
      <c r="AB61" s="927"/>
      <c r="AC61" s="927"/>
      <c r="AD61" s="927"/>
      <c r="AE61" s="927"/>
      <c r="AF61" s="927"/>
      <c r="AG61" s="927"/>
      <c r="AH61" s="927"/>
      <c r="AI61" s="927"/>
      <c r="AJ61" s="927"/>
      <c r="AK61" s="927"/>
      <c r="AL61" s="927"/>
      <c r="AM61" s="927"/>
      <c r="AN61" s="927"/>
      <c r="AO61" s="927"/>
      <c r="AP61" s="927"/>
      <c r="AQ61" s="927"/>
      <c r="AR61" s="927"/>
      <c r="AS61" s="927"/>
      <c r="AT61" s="927"/>
      <c r="AU61" s="927"/>
      <c r="AV61" s="927"/>
      <c r="AW61" s="927"/>
      <c r="AX61" s="927"/>
      <c r="AY61" s="927"/>
      <c r="AZ61" s="927"/>
      <c r="BA61" s="927"/>
      <c r="BB61" s="927"/>
      <c r="BC61" s="927"/>
      <c r="BD61" s="927"/>
      <c r="BE61" s="927"/>
      <c r="BF61" s="927"/>
      <c r="BG61" s="927"/>
      <c r="BH61" s="927"/>
      <c r="BI61" s="927"/>
      <c r="BJ61" s="927"/>
      <c r="BK61" s="927"/>
      <c r="BL61" s="927"/>
      <c r="BM61" s="927"/>
      <c r="BN61" s="927"/>
      <c r="BO61" s="927"/>
      <c r="BP61" s="927"/>
      <c r="BQ61" s="927"/>
      <c r="BR61" s="927"/>
      <c r="BS61" s="927"/>
      <c r="BT61" s="927"/>
    </row>
    <row r="62" spans="1:72" x14ac:dyDescent="0.25">
      <c r="A62" s="927"/>
      <c r="B62" s="927"/>
      <c r="C62" s="927"/>
      <c r="D62" s="927"/>
      <c r="E62" s="927"/>
      <c r="F62" s="927"/>
      <c r="G62" s="927"/>
      <c r="H62" s="927"/>
      <c r="I62" s="927"/>
      <c r="J62" s="927"/>
      <c r="K62" s="927"/>
      <c r="L62" s="927"/>
      <c r="M62" s="927"/>
      <c r="N62" s="927"/>
      <c r="O62" s="927"/>
      <c r="P62" s="927"/>
      <c r="Q62" s="927"/>
      <c r="R62" s="927"/>
      <c r="S62" s="927"/>
      <c r="T62" s="927"/>
      <c r="U62" s="927"/>
      <c r="V62" s="927"/>
      <c r="W62" s="927"/>
      <c r="X62" s="927"/>
      <c r="Y62" s="927"/>
      <c r="Z62" s="927"/>
      <c r="AA62" s="927"/>
      <c r="AB62" s="927"/>
      <c r="AC62" s="927"/>
      <c r="AD62" s="927"/>
      <c r="AE62" s="927"/>
      <c r="AF62" s="927"/>
      <c r="AG62" s="927"/>
      <c r="AH62" s="927"/>
      <c r="AI62" s="927"/>
      <c r="AJ62" s="927"/>
      <c r="AK62" s="927"/>
      <c r="AL62" s="927"/>
      <c r="AM62" s="927"/>
      <c r="AN62" s="927"/>
      <c r="AO62" s="927"/>
      <c r="AP62" s="927"/>
      <c r="AQ62" s="927"/>
      <c r="AR62" s="927"/>
      <c r="AS62" s="927"/>
      <c r="AT62" s="927"/>
      <c r="AU62" s="927"/>
      <c r="AV62" s="927"/>
      <c r="AW62" s="927"/>
      <c r="AX62" s="927"/>
      <c r="AY62" s="927"/>
      <c r="AZ62" s="927"/>
      <c r="BA62" s="927"/>
      <c r="BB62" s="927"/>
      <c r="BC62" s="927"/>
      <c r="BD62" s="927"/>
      <c r="BE62" s="927"/>
      <c r="BF62" s="927"/>
      <c r="BG62" s="927"/>
      <c r="BH62" s="927"/>
      <c r="BI62" s="927"/>
      <c r="BJ62" s="927"/>
      <c r="BK62" s="927"/>
      <c r="BL62" s="927"/>
      <c r="BM62" s="927"/>
      <c r="BN62" s="927"/>
      <c r="BO62" s="927"/>
      <c r="BP62" s="927"/>
      <c r="BQ62" s="927"/>
      <c r="BR62" s="927"/>
      <c r="BS62" s="927"/>
      <c r="BT62" s="927"/>
    </row>
    <row r="63" spans="1:72" x14ac:dyDescent="0.25">
      <c r="A63" s="927"/>
      <c r="B63" s="927"/>
      <c r="C63" s="927"/>
      <c r="D63" s="927"/>
      <c r="E63" s="927"/>
      <c r="F63" s="927"/>
      <c r="G63" s="927"/>
      <c r="H63" s="927"/>
      <c r="I63" s="927"/>
      <c r="J63" s="927"/>
      <c r="K63" s="927"/>
      <c r="L63" s="927"/>
      <c r="M63" s="927"/>
      <c r="N63" s="927"/>
      <c r="O63" s="927"/>
      <c r="P63" s="927"/>
      <c r="Q63" s="927"/>
      <c r="R63" s="927"/>
      <c r="S63" s="927"/>
      <c r="T63" s="927"/>
      <c r="U63" s="927"/>
      <c r="V63" s="927"/>
      <c r="W63" s="927"/>
      <c r="X63" s="927"/>
      <c r="Y63" s="927"/>
      <c r="Z63" s="927"/>
      <c r="AA63" s="927"/>
      <c r="AB63" s="927"/>
      <c r="AC63" s="927"/>
      <c r="AD63" s="927"/>
      <c r="AE63" s="927"/>
      <c r="AF63" s="927"/>
      <c r="AG63" s="927"/>
      <c r="AH63" s="927"/>
      <c r="AI63" s="927"/>
      <c r="AJ63" s="927"/>
      <c r="AK63" s="927"/>
      <c r="AL63" s="927"/>
      <c r="AM63" s="927"/>
      <c r="AN63" s="927"/>
      <c r="AO63" s="927"/>
      <c r="AP63" s="927"/>
      <c r="AQ63" s="927"/>
      <c r="AR63" s="927"/>
      <c r="AS63" s="927"/>
      <c r="AT63" s="927"/>
      <c r="AU63" s="927"/>
      <c r="AV63" s="927"/>
      <c r="AW63" s="927"/>
      <c r="AX63" s="927"/>
      <c r="AY63" s="927"/>
      <c r="AZ63" s="927"/>
      <c r="BA63" s="927"/>
      <c r="BB63" s="927"/>
      <c r="BC63" s="927"/>
      <c r="BD63" s="927"/>
      <c r="BE63" s="927"/>
      <c r="BF63" s="927"/>
      <c r="BG63" s="927"/>
      <c r="BH63" s="927"/>
      <c r="BI63" s="927"/>
      <c r="BJ63" s="927"/>
      <c r="BK63" s="927"/>
      <c r="BL63" s="927"/>
      <c r="BM63" s="927"/>
      <c r="BN63" s="927"/>
      <c r="BO63" s="927"/>
      <c r="BP63" s="927"/>
      <c r="BQ63" s="927"/>
      <c r="BR63" s="927"/>
      <c r="BS63" s="927"/>
      <c r="BT63" s="927"/>
    </row>
    <row r="64" spans="1:72" x14ac:dyDescent="0.25">
      <c r="A64" s="927"/>
      <c r="B64" s="927" t="s">
        <v>774</v>
      </c>
      <c r="C64" s="927" t="s">
        <v>775</v>
      </c>
      <c r="D64" s="927"/>
      <c r="E64" s="927"/>
      <c r="F64" s="927"/>
      <c r="G64" s="927"/>
      <c r="H64" s="927"/>
      <c r="I64" s="927"/>
      <c r="J64" s="927"/>
      <c r="K64" s="927"/>
      <c r="L64" s="927"/>
      <c r="M64" s="927"/>
      <c r="N64" s="927"/>
      <c r="O64" s="927"/>
      <c r="P64" s="927"/>
      <c r="Q64" s="927"/>
      <c r="R64" s="927"/>
      <c r="S64" s="927"/>
      <c r="T64" s="927"/>
      <c r="U64" s="927"/>
      <c r="V64" s="927"/>
      <c r="W64" s="927"/>
      <c r="X64" s="927"/>
      <c r="Y64" s="927"/>
      <c r="Z64" s="927"/>
      <c r="AA64" s="927"/>
      <c r="AB64" s="927"/>
      <c r="AC64" s="927"/>
      <c r="AD64" s="927"/>
      <c r="AE64" s="927"/>
      <c r="AF64" s="927"/>
      <c r="AG64" s="927"/>
      <c r="AH64" s="927"/>
      <c r="AI64" s="927"/>
      <c r="AJ64" s="927"/>
      <c r="AK64" s="927"/>
      <c r="AL64" s="927"/>
      <c r="AM64" s="927"/>
      <c r="AN64" s="927"/>
      <c r="AO64" s="927"/>
      <c r="AP64" s="927"/>
      <c r="AQ64" s="927"/>
      <c r="AR64" s="927"/>
      <c r="AS64" s="927"/>
      <c r="AT64" s="927"/>
      <c r="AU64" s="927"/>
      <c r="AV64" s="927"/>
      <c r="AW64" s="927"/>
      <c r="AX64" s="927"/>
      <c r="AY64" s="927"/>
      <c r="AZ64" s="927"/>
      <c r="BA64" s="927"/>
      <c r="BB64" s="927"/>
      <c r="BC64" s="927"/>
      <c r="BD64" s="927"/>
      <c r="BE64" s="927"/>
      <c r="BF64" s="927"/>
      <c r="BG64" s="927"/>
      <c r="BH64" s="927"/>
      <c r="BI64" s="927"/>
      <c r="BJ64" s="927"/>
      <c r="BK64" s="927"/>
      <c r="BL64" s="927"/>
      <c r="BM64" s="927"/>
      <c r="BN64" s="927"/>
      <c r="BO64" s="927"/>
      <c r="BP64" s="927"/>
      <c r="BQ64" s="927"/>
      <c r="BR64" s="927"/>
      <c r="BS64" s="927"/>
      <c r="BT64" s="927"/>
    </row>
    <row r="65" spans="1:72" x14ac:dyDescent="0.25">
      <c r="A65" s="927"/>
      <c r="B65" s="927" t="s">
        <v>776</v>
      </c>
      <c r="C65" s="927" t="s">
        <v>777</v>
      </c>
      <c r="D65" s="927"/>
      <c r="E65" s="927"/>
      <c r="F65" s="927" t="s">
        <v>778</v>
      </c>
      <c r="G65" s="927"/>
      <c r="H65" s="927"/>
      <c r="I65" s="927"/>
      <c r="J65" s="927"/>
      <c r="K65" s="927"/>
      <c r="L65" s="927"/>
      <c r="M65" s="927"/>
      <c r="N65" s="927"/>
      <c r="O65" s="927"/>
      <c r="P65" s="927"/>
      <c r="Q65" s="927"/>
      <c r="R65" s="927"/>
      <c r="S65" s="927"/>
      <c r="T65" s="927"/>
      <c r="U65" s="927"/>
      <c r="V65" s="927"/>
      <c r="W65" s="927"/>
      <c r="X65" s="927"/>
      <c r="Y65" s="927"/>
      <c r="Z65" s="927"/>
      <c r="AA65" s="927"/>
      <c r="AB65" s="927"/>
      <c r="AC65" s="927"/>
      <c r="AD65" s="927"/>
      <c r="AE65" s="927"/>
      <c r="AF65" s="927"/>
      <c r="AG65" s="927"/>
      <c r="AH65" s="927"/>
      <c r="AI65" s="927"/>
      <c r="AJ65" s="927"/>
      <c r="AK65" s="927"/>
      <c r="AL65" s="927"/>
      <c r="AM65" s="927"/>
      <c r="AN65" s="927"/>
      <c r="AO65" s="927"/>
      <c r="AP65" s="927"/>
      <c r="AQ65" s="927"/>
      <c r="AR65" s="927"/>
      <c r="AS65" s="927"/>
      <c r="AT65" s="927"/>
      <c r="AU65" s="927"/>
      <c r="AV65" s="927"/>
      <c r="AW65" s="927"/>
      <c r="AX65" s="927"/>
      <c r="AY65" s="927"/>
      <c r="AZ65" s="927"/>
      <c r="BA65" s="927"/>
      <c r="BB65" s="927"/>
      <c r="BC65" s="927"/>
      <c r="BD65" s="927"/>
      <c r="BE65" s="927"/>
      <c r="BF65" s="927"/>
      <c r="BG65" s="927"/>
      <c r="BH65" s="927"/>
      <c r="BI65" s="927"/>
      <c r="BJ65" s="927"/>
      <c r="BK65" s="927"/>
      <c r="BL65" s="927"/>
      <c r="BM65" s="927"/>
      <c r="BN65" s="927"/>
      <c r="BO65" s="927"/>
      <c r="BP65" s="927"/>
      <c r="BQ65" s="927"/>
      <c r="BR65" s="927"/>
      <c r="BS65" s="927"/>
      <c r="BT65" s="927"/>
    </row>
    <row r="66" spans="1:72" x14ac:dyDescent="0.25">
      <c r="A66" s="927"/>
      <c r="B66" s="927" t="s">
        <v>779</v>
      </c>
      <c r="C66" s="927" t="s">
        <v>780</v>
      </c>
      <c r="D66" s="927"/>
      <c r="E66" s="927"/>
      <c r="F66" s="927"/>
      <c r="G66" s="927"/>
      <c r="H66" s="927"/>
      <c r="I66" s="927"/>
      <c r="J66" s="927"/>
      <c r="K66" s="927"/>
      <c r="L66" s="927"/>
      <c r="M66" s="927"/>
      <c r="N66" s="927"/>
      <c r="O66" s="927"/>
      <c r="P66" s="927"/>
      <c r="Q66" s="927"/>
      <c r="R66" s="927"/>
      <c r="S66" s="927"/>
      <c r="T66" s="927"/>
      <c r="U66" s="927"/>
      <c r="V66" s="927"/>
      <c r="W66" s="927"/>
      <c r="X66" s="927"/>
      <c r="Y66" s="927"/>
      <c r="Z66" s="927"/>
      <c r="AA66" s="927"/>
      <c r="AB66" s="927"/>
      <c r="AC66" s="927"/>
      <c r="AD66" s="927"/>
      <c r="AE66" s="927"/>
      <c r="AF66" s="927"/>
      <c r="AG66" s="927"/>
      <c r="AH66" s="927"/>
      <c r="AI66" s="927"/>
      <c r="AJ66" s="927"/>
      <c r="AK66" s="927"/>
      <c r="AL66" s="927"/>
      <c r="AM66" s="927"/>
      <c r="AN66" s="927"/>
      <c r="AO66" s="927"/>
      <c r="AP66" s="927"/>
      <c r="AQ66" s="927"/>
      <c r="AR66" s="927"/>
      <c r="AS66" s="927"/>
      <c r="AT66" s="927"/>
      <c r="AU66" s="927"/>
      <c r="AV66" s="927"/>
      <c r="AW66" s="927"/>
      <c r="AX66" s="927"/>
      <c r="AY66" s="927"/>
      <c r="AZ66" s="927"/>
      <c r="BA66" s="927"/>
      <c r="BB66" s="927"/>
      <c r="BC66" s="927"/>
      <c r="BD66" s="927"/>
      <c r="BE66" s="927"/>
      <c r="BF66" s="927"/>
      <c r="BG66" s="927"/>
      <c r="BH66" s="927"/>
      <c r="BI66" s="927"/>
      <c r="BJ66" s="927"/>
      <c r="BK66" s="927"/>
      <c r="BL66" s="927"/>
      <c r="BM66" s="927"/>
      <c r="BN66" s="927"/>
      <c r="BO66" s="927"/>
      <c r="BP66" s="927"/>
      <c r="BQ66" s="927"/>
      <c r="BR66" s="927"/>
      <c r="BS66" s="927"/>
      <c r="BT66" s="927"/>
    </row>
    <row r="67" spans="1:72" x14ac:dyDescent="0.25">
      <c r="A67" s="927"/>
      <c r="B67" s="927" t="s">
        <v>781</v>
      </c>
      <c r="C67" s="927"/>
      <c r="D67" s="927" t="s">
        <v>782</v>
      </c>
      <c r="E67" s="927"/>
      <c r="F67" s="927"/>
      <c r="G67" s="927"/>
      <c r="H67" s="927"/>
      <c r="I67" s="927"/>
      <c r="J67" s="927"/>
      <c r="K67" s="927"/>
      <c r="L67" s="927"/>
      <c r="M67" s="927"/>
      <c r="N67" s="927"/>
      <c r="O67" s="927"/>
      <c r="P67" s="927"/>
      <c r="Q67" s="927"/>
      <c r="R67" s="927"/>
      <c r="S67" s="927"/>
      <c r="T67" s="927"/>
      <c r="U67" s="927"/>
      <c r="V67" s="927"/>
      <c r="W67" s="927"/>
      <c r="X67" s="927"/>
      <c r="Y67" s="927"/>
      <c r="Z67" s="927"/>
      <c r="AA67" s="927"/>
      <c r="AB67" s="927"/>
      <c r="AC67" s="927"/>
      <c r="AD67" s="927"/>
      <c r="AE67" s="927"/>
      <c r="AF67" s="927"/>
      <c r="AG67" s="927"/>
      <c r="AH67" s="927"/>
      <c r="AI67" s="927"/>
      <c r="AJ67" s="927"/>
      <c r="AK67" s="927"/>
      <c r="AL67" s="927"/>
      <c r="AM67" s="927"/>
      <c r="AN67" s="927"/>
      <c r="AO67" s="927"/>
      <c r="AP67" s="927"/>
      <c r="AQ67" s="927"/>
      <c r="AR67" s="927"/>
      <c r="AS67" s="927"/>
      <c r="AT67" s="927"/>
      <c r="AU67" s="927"/>
      <c r="AV67" s="927"/>
      <c r="AW67" s="927"/>
      <c r="AX67" s="927"/>
      <c r="AY67" s="927"/>
      <c r="AZ67" s="927"/>
      <c r="BA67" s="927"/>
      <c r="BB67" s="927"/>
      <c r="BC67" s="927"/>
      <c r="BD67" s="927"/>
      <c r="BE67" s="927"/>
      <c r="BF67" s="927"/>
      <c r="BG67" s="927"/>
      <c r="BH67" s="927"/>
      <c r="BI67" s="927"/>
      <c r="BJ67" s="927"/>
      <c r="BK67" s="927"/>
      <c r="BL67" s="927"/>
      <c r="BM67" s="927"/>
      <c r="BN67" s="927"/>
      <c r="BO67" s="927"/>
      <c r="BP67" s="927"/>
      <c r="BQ67" s="927"/>
      <c r="BR67" s="927"/>
      <c r="BS67" s="927"/>
      <c r="BT67" s="927"/>
    </row>
    <row r="68" spans="1:72" x14ac:dyDescent="0.25">
      <c r="A68" s="927"/>
      <c r="B68" s="927"/>
      <c r="C68" s="927"/>
      <c r="D68" s="927"/>
      <c r="E68" s="927"/>
      <c r="F68" s="927"/>
      <c r="G68" s="927"/>
      <c r="H68" s="927"/>
      <c r="I68" s="927"/>
      <c r="J68" s="927"/>
      <c r="K68" s="927"/>
      <c r="L68" s="927"/>
      <c r="M68" s="927"/>
      <c r="N68" s="927"/>
      <c r="O68" s="927"/>
      <c r="P68" s="927"/>
      <c r="Q68" s="927"/>
      <c r="R68" s="927"/>
      <c r="S68" s="927"/>
      <c r="T68" s="927"/>
      <c r="U68" s="927"/>
      <c r="V68" s="927"/>
      <c r="W68" s="927"/>
      <c r="X68" s="927"/>
      <c r="Y68" s="927"/>
      <c r="Z68" s="927"/>
      <c r="AA68" s="927"/>
      <c r="AB68" s="927"/>
      <c r="AC68" s="927"/>
      <c r="AD68" s="927"/>
      <c r="AE68" s="927"/>
      <c r="AF68" s="927"/>
      <c r="AG68" s="927"/>
      <c r="AH68" s="927"/>
      <c r="AI68" s="927"/>
      <c r="AJ68" s="927"/>
      <c r="AK68" s="927"/>
      <c r="AL68" s="927"/>
      <c r="AM68" s="927"/>
      <c r="AN68" s="927"/>
      <c r="AO68" s="927"/>
      <c r="AP68" s="927"/>
      <c r="AQ68" s="927"/>
      <c r="AR68" s="927"/>
      <c r="AS68" s="927"/>
      <c r="AT68" s="927"/>
      <c r="AU68" s="927"/>
      <c r="AV68" s="927"/>
      <c r="AW68" s="927"/>
      <c r="AX68" s="927"/>
      <c r="AY68" s="927"/>
      <c r="AZ68" s="927"/>
      <c r="BA68" s="927"/>
      <c r="BB68" s="927"/>
      <c r="BC68" s="927"/>
      <c r="BD68" s="927"/>
      <c r="BE68" s="927"/>
      <c r="BF68" s="927"/>
      <c r="BG68" s="927"/>
      <c r="BH68" s="927"/>
      <c r="BI68" s="927"/>
      <c r="BJ68" s="927"/>
      <c r="BK68" s="927"/>
      <c r="BL68" s="927"/>
      <c r="BM68" s="927"/>
      <c r="BN68" s="927"/>
      <c r="BO68" s="927"/>
      <c r="BP68" s="927"/>
      <c r="BQ68" s="927"/>
      <c r="BR68" s="927"/>
      <c r="BS68" s="927"/>
      <c r="BT68" s="927"/>
    </row>
    <row r="69" spans="1:72" x14ac:dyDescent="0.25">
      <c r="A69" s="927"/>
      <c r="B69" s="927"/>
      <c r="C69" s="927"/>
      <c r="D69" s="927"/>
      <c r="E69" s="927"/>
      <c r="F69" s="927"/>
      <c r="G69" s="927"/>
      <c r="H69" s="927"/>
      <c r="I69" s="927"/>
      <c r="J69" s="927"/>
      <c r="K69" s="927"/>
      <c r="L69" s="927"/>
      <c r="M69" s="927"/>
      <c r="N69" s="927"/>
      <c r="O69" s="927"/>
      <c r="P69" s="927"/>
      <c r="Q69" s="927"/>
      <c r="R69" s="927"/>
      <c r="S69" s="927"/>
      <c r="T69" s="927"/>
      <c r="U69" s="927"/>
      <c r="V69" s="927"/>
      <c r="W69" s="927"/>
      <c r="X69" s="927"/>
      <c r="Y69" s="927"/>
      <c r="Z69" s="927"/>
      <c r="AA69" s="927"/>
      <c r="AB69" s="927"/>
      <c r="AC69" s="927"/>
      <c r="AD69" s="927"/>
      <c r="AE69" s="927"/>
      <c r="AF69" s="927"/>
      <c r="AG69" s="927"/>
      <c r="AH69" s="927"/>
      <c r="AI69" s="927"/>
      <c r="AJ69" s="927"/>
      <c r="AK69" s="927"/>
      <c r="AL69" s="927"/>
      <c r="AM69" s="927"/>
      <c r="AN69" s="927"/>
      <c r="AO69" s="927"/>
      <c r="AP69" s="927"/>
      <c r="AQ69" s="927"/>
      <c r="AR69" s="927"/>
      <c r="AS69" s="927"/>
      <c r="AT69" s="927"/>
      <c r="AU69" s="927"/>
      <c r="AV69" s="927"/>
      <c r="AW69" s="927"/>
      <c r="AX69" s="927"/>
      <c r="AY69" s="927"/>
      <c r="AZ69" s="927"/>
      <c r="BA69" s="927"/>
      <c r="BB69" s="927"/>
      <c r="BC69" s="927"/>
      <c r="BD69" s="927"/>
      <c r="BE69" s="927"/>
      <c r="BF69" s="927"/>
      <c r="BG69" s="927"/>
      <c r="BH69" s="927"/>
      <c r="BI69" s="927"/>
      <c r="BJ69" s="927"/>
      <c r="BK69" s="927"/>
      <c r="BL69" s="927"/>
      <c r="BM69" s="927"/>
      <c r="BN69" s="927"/>
      <c r="BO69" s="927"/>
      <c r="BP69" s="927"/>
      <c r="BQ69" s="927"/>
      <c r="BR69" s="927"/>
      <c r="BS69" s="927"/>
      <c r="BT69" s="927"/>
    </row>
    <row r="70" spans="1:72" x14ac:dyDescent="0.25">
      <c r="A70" s="927"/>
      <c r="B70" s="927"/>
      <c r="C70" s="927"/>
      <c r="D70" s="927"/>
      <c r="E70" s="927"/>
      <c r="F70" s="927"/>
      <c r="G70" s="927"/>
      <c r="H70" s="927"/>
      <c r="I70" s="927"/>
      <c r="J70" s="927"/>
      <c r="K70" s="927"/>
      <c r="L70" s="927"/>
      <c r="M70" s="927"/>
      <c r="N70" s="927"/>
      <c r="O70" s="927"/>
      <c r="P70" s="927"/>
      <c r="Q70" s="927"/>
      <c r="R70" s="927"/>
      <c r="S70" s="927"/>
      <c r="T70" s="927"/>
      <c r="U70" s="927"/>
      <c r="V70" s="927"/>
      <c r="W70" s="927"/>
      <c r="X70" s="927"/>
      <c r="Y70" s="927"/>
      <c r="Z70" s="927"/>
      <c r="AA70" s="927"/>
      <c r="AB70" s="927"/>
      <c r="AC70" s="927"/>
      <c r="AD70" s="927"/>
      <c r="AE70" s="927"/>
      <c r="AF70" s="927"/>
      <c r="AG70" s="927"/>
      <c r="AH70" s="927"/>
      <c r="AI70" s="927"/>
      <c r="AJ70" s="927"/>
      <c r="AK70" s="927"/>
      <c r="AL70" s="927"/>
      <c r="AM70" s="927"/>
      <c r="AN70" s="927"/>
      <c r="AO70" s="927"/>
      <c r="AP70" s="927"/>
      <c r="AQ70" s="927"/>
      <c r="AR70" s="927"/>
      <c r="AS70" s="927"/>
      <c r="AT70" s="927"/>
      <c r="AU70" s="927"/>
      <c r="AV70" s="927"/>
      <c r="AW70" s="927"/>
      <c r="AX70" s="927"/>
      <c r="AY70" s="927"/>
      <c r="AZ70" s="927"/>
      <c r="BA70" s="927"/>
      <c r="BB70" s="927"/>
      <c r="BC70" s="927"/>
      <c r="BD70" s="927"/>
      <c r="BE70" s="927"/>
      <c r="BF70" s="927"/>
      <c r="BG70" s="927"/>
      <c r="BH70" s="927"/>
      <c r="BI70" s="927"/>
      <c r="BJ70" s="927"/>
      <c r="BK70" s="927"/>
      <c r="BL70" s="927"/>
      <c r="BM70" s="927"/>
      <c r="BN70" s="927"/>
      <c r="BO70" s="927"/>
      <c r="BP70" s="927"/>
      <c r="BQ70" s="927"/>
      <c r="BR70" s="927"/>
      <c r="BS70" s="927"/>
      <c r="BT70" s="927"/>
    </row>
    <row r="71" spans="1:72" x14ac:dyDescent="0.25">
      <c r="A71" s="927"/>
      <c r="B71" s="927"/>
      <c r="C71" s="927"/>
      <c r="D71" s="927"/>
      <c r="E71" s="927"/>
      <c r="F71" s="927"/>
      <c r="G71" s="927"/>
      <c r="H71" s="927"/>
      <c r="I71" s="927"/>
      <c r="J71" s="927"/>
      <c r="K71" s="927"/>
      <c r="L71" s="927"/>
      <c r="M71" s="927"/>
      <c r="N71" s="927"/>
      <c r="O71" s="927"/>
      <c r="P71" s="927"/>
      <c r="Q71" s="927"/>
      <c r="R71" s="927"/>
      <c r="S71" s="927"/>
      <c r="T71" s="927"/>
      <c r="U71" s="927"/>
      <c r="V71" s="927"/>
      <c r="W71" s="927"/>
      <c r="X71" s="927"/>
      <c r="Y71" s="927"/>
      <c r="Z71" s="927"/>
      <c r="AA71" s="927"/>
      <c r="AB71" s="927"/>
      <c r="AC71" s="927"/>
      <c r="AD71" s="927"/>
      <c r="AE71" s="927"/>
      <c r="AF71" s="927"/>
      <c r="AG71" s="927"/>
      <c r="AH71" s="927"/>
      <c r="AI71" s="927"/>
      <c r="AJ71" s="927"/>
      <c r="AK71" s="927"/>
      <c r="AL71" s="927"/>
      <c r="AM71" s="927"/>
      <c r="AN71" s="927"/>
      <c r="AO71" s="927"/>
      <c r="AP71" s="927"/>
      <c r="AQ71" s="927"/>
      <c r="AR71" s="927"/>
      <c r="AS71" s="927"/>
      <c r="AT71" s="927"/>
      <c r="AU71" s="927"/>
      <c r="AV71" s="927"/>
      <c r="AW71" s="927"/>
      <c r="AX71" s="927"/>
      <c r="AY71" s="927"/>
      <c r="AZ71" s="927"/>
      <c r="BA71" s="927"/>
      <c r="BB71" s="927"/>
      <c r="BC71" s="927"/>
      <c r="BD71" s="927"/>
      <c r="BE71" s="927"/>
      <c r="BF71" s="927"/>
      <c r="BG71" s="927"/>
      <c r="BH71" s="927"/>
      <c r="BI71" s="927"/>
      <c r="BJ71" s="927"/>
      <c r="BK71" s="927"/>
      <c r="BL71" s="927"/>
      <c r="BM71" s="927"/>
      <c r="BN71" s="927"/>
      <c r="BO71" s="927"/>
      <c r="BP71" s="927"/>
      <c r="BQ71" s="927"/>
      <c r="BR71" s="927"/>
      <c r="BS71" s="927"/>
      <c r="BT71" s="927"/>
    </row>
    <row r="72" spans="1:72" x14ac:dyDescent="0.25">
      <c r="A72" s="927" t="s">
        <v>783</v>
      </c>
      <c r="B72" s="927"/>
      <c r="C72" s="927"/>
      <c r="D72" s="927"/>
      <c r="E72" s="927"/>
      <c r="F72" s="927"/>
      <c r="G72" s="927"/>
      <c r="H72" s="927"/>
      <c r="I72" s="927"/>
      <c r="J72" s="927"/>
      <c r="K72" s="927"/>
      <c r="L72" s="927"/>
      <c r="M72" s="927"/>
      <c r="N72" s="927"/>
      <c r="O72" s="927"/>
      <c r="P72" s="927"/>
      <c r="Q72" s="927"/>
      <c r="R72" s="927"/>
      <c r="S72" s="927"/>
      <c r="T72" s="927"/>
      <c r="U72" s="927"/>
      <c r="V72" s="927"/>
      <c r="W72" s="927"/>
      <c r="X72" s="927"/>
      <c r="Y72" s="927"/>
      <c r="Z72" s="927"/>
      <c r="AA72" s="927"/>
      <c r="AB72" s="927"/>
      <c r="AC72" s="927"/>
      <c r="AD72" s="927"/>
      <c r="AE72" s="927"/>
      <c r="AF72" s="927"/>
      <c r="AG72" s="927"/>
      <c r="AH72" s="927"/>
      <c r="AI72" s="927"/>
      <c r="AJ72" s="927"/>
      <c r="AK72" s="927"/>
      <c r="AL72" s="927"/>
      <c r="AM72" s="927"/>
      <c r="AN72" s="927"/>
      <c r="AO72" s="927"/>
      <c r="AP72" s="927"/>
      <c r="AQ72" s="927"/>
      <c r="AR72" s="927"/>
      <c r="AS72" s="927"/>
      <c r="AT72" s="927"/>
      <c r="AU72" s="927"/>
      <c r="AV72" s="927"/>
      <c r="AW72" s="927"/>
      <c r="AX72" s="927"/>
      <c r="AY72" s="927"/>
      <c r="AZ72" s="927"/>
      <c r="BA72" s="927"/>
      <c r="BB72" s="927"/>
      <c r="BC72" s="927"/>
      <c r="BD72" s="927"/>
      <c r="BE72" s="927"/>
      <c r="BF72" s="927"/>
      <c r="BG72" s="927"/>
      <c r="BH72" s="927"/>
      <c r="BI72" s="927"/>
      <c r="BJ72" s="927"/>
      <c r="BK72" s="927"/>
      <c r="BL72" s="927"/>
      <c r="BM72" s="927"/>
      <c r="BN72" s="927"/>
      <c r="BO72" s="927"/>
      <c r="BP72" s="927"/>
      <c r="BQ72" s="927"/>
      <c r="BR72" s="927"/>
      <c r="BS72" s="927"/>
      <c r="BT72" s="927"/>
    </row>
    <row r="73" spans="1:72" x14ac:dyDescent="0.25">
      <c r="A73" s="927"/>
      <c r="B73" s="927"/>
      <c r="C73" s="927"/>
      <c r="D73" s="927"/>
      <c r="E73" s="927"/>
      <c r="F73" s="927"/>
      <c r="G73" s="927"/>
      <c r="H73" s="927"/>
      <c r="I73" s="927"/>
      <c r="J73" s="927"/>
      <c r="K73" s="927"/>
      <c r="L73" s="927"/>
      <c r="M73" s="927"/>
      <c r="N73" s="927"/>
      <c r="O73" s="927"/>
      <c r="P73" s="927"/>
      <c r="Q73" s="927"/>
      <c r="R73" s="927"/>
      <c r="S73" s="927"/>
      <c r="T73" s="927"/>
      <c r="U73" s="927"/>
      <c r="V73" s="927"/>
      <c r="W73" s="927"/>
      <c r="X73" s="927"/>
      <c r="Y73" s="927"/>
      <c r="Z73" s="927"/>
      <c r="AA73" s="927"/>
      <c r="AB73" s="927"/>
      <c r="AC73" s="927"/>
      <c r="AD73" s="927"/>
      <c r="AE73" s="927"/>
      <c r="AF73" s="927"/>
      <c r="AG73" s="927"/>
      <c r="AH73" s="927"/>
      <c r="AI73" s="927"/>
      <c r="AJ73" s="927"/>
      <c r="AK73" s="927"/>
      <c r="AL73" s="927"/>
      <c r="AM73" s="927"/>
      <c r="AN73" s="927"/>
      <c r="AO73" s="927"/>
      <c r="AP73" s="927"/>
      <c r="AQ73" s="927"/>
      <c r="AR73" s="927"/>
      <c r="AS73" s="927"/>
      <c r="AT73" s="927"/>
      <c r="AU73" s="927"/>
      <c r="AV73" s="927"/>
      <c r="AW73" s="927"/>
      <c r="AX73" s="927"/>
      <c r="AY73" s="927"/>
      <c r="AZ73" s="927"/>
      <c r="BA73" s="927"/>
      <c r="BB73" s="927"/>
      <c r="BC73" s="927"/>
      <c r="BD73" s="927"/>
      <c r="BE73" s="927"/>
      <c r="BF73" s="927"/>
      <c r="BG73" s="927"/>
      <c r="BH73" s="927"/>
      <c r="BI73" s="927"/>
      <c r="BJ73" s="927"/>
      <c r="BK73" s="927"/>
      <c r="BL73" s="927"/>
      <c r="BM73" s="927"/>
      <c r="BN73" s="927"/>
      <c r="BO73" s="927"/>
      <c r="BP73" s="927"/>
      <c r="BQ73" s="927"/>
      <c r="BR73" s="927"/>
      <c r="BS73" s="927"/>
      <c r="BT73" s="927"/>
    </row>
    <row r="74" spans="1:72" x14ac:dyDescent="0.25">
      <c r="A74" s="927" t="s">
        <v>784</v>
      </c>
      <c r="B74" s="927"/>
      <c r="C74" s="927"/>
      <c r="D74" s="927"/>
      <c r="E74" s="927"/>
      <c r="F74" s="927"/>
      <c r="G74" s="927"/>
      <c r="H74" s="927"/>
      <c r="I74" s="927"/>
      <c r="J74" s="927"/>
      <c r="K74" s="927"/>
      <c r="L74" s="927"/>
      <c r="M74" s="927"/>
      <c r="N74" s="927"/>
      <c r="O74" s="927"/>
      <c r="P74" s="927"/>
      <c r="Q74" s="927"/>
      <c r="R74" s="927"/>
      <c r="S74" s="927"/>
      <c r="T74" s="927"/>
      <c r="U74" s="927"/>
      <c r="V74" s="927"/>
      <c r="W74" s="927"/>
      <c r="X74" s="927"/>
      <c r="Y74" s="927"/>
      <c r="Z74" s="927"/>
      <c r="AA74" s="927"/>
      <c r="AB74" s="927"/>
      <c r="AC74" s="927"/>
      <c r="AD74" s="927"/>
      <c r="AE74" s="927"/>
      <c r="AF74" s="927"/>
      <c r="AG74" s="927"/>
      <c r="AH74" s="927"/>
      <c r="AI74" s="927"/>
      <c r="AJ74" s="927"/>
      <c r="AK74" s="927"/>
      <c r="AL74" s="927"/>
      <c r="AM74" s="927"/>
      <c r="AN74" s="927"/>
      <c r="AO74" s="927"/>
      <c r="AP74" s="927"/>
      <c r="AQ74" s="927"/>
      <c r="AR74" s="927"/>
      <c r="AS74" s="927"/>
      <c r="AT74" s="927"/>
      <c r="AU74" s="927"/>
      <c r="AV74" s="927"/>
      <c r="AW74" s="927"/>
      <c r="AX74" s="927"/>
      <c r="AY74" s="927"/>
      <c r="AZ74" s="927"/>
      <c r="BA74" s="927"/>
      <c r="BB74" s="927"/>
      <c r="BC74" s="927"/>
      <c r="BD74" s="927"/>
      <c r="BE74" s="927"/>
      <c r="BF74" s="927"/>
      <c r="BG74" s="927"/>
      <c r="BH74" s="927"/>
      <c r="BI74" s="927"/>
      <c r="BJ74" s="927"/>
      <c r="BK74" s="927"/>
      <c r="BL74" s="927"/>
      <c r="BM74" s="927"/>
      <c r="BN74" s="927"/>
      <c r="BO74" s="927"/>
      <c r="BP74" s="927"/>
      <c r="BQ74" s="927"/>
      <c r="BR74" s="927"/>
      <c r="BS74" s="927"/>
      <c r="BT74" s="927"/>
    </row>
    <row r="75" spans="1:72" x14ac:dyDescent="0.25">
      <c r="A75" s="927" t="s">
        <v>785</v>
      </c>
      <c r="B75" s="927"/>
      <c r="C75" s="927"/>
      <c r="D75" s="927"/>
      <c r="E75" s="927"/>
      <c r="F75" s="927"/>
      <c r="G75" s="927"/>
      <c r="H75" s="927"/>
      <c r="I75" s="927"/>
      <c r="J75" s="927"/>
      <c r="K75" s="927"/>
      <c r="L75" s="927"/>
      <c r="M75" s="927"/>
      <c r="N75" s="927"/>
      <c r="O75" s="927"/>
      <c r="P75" s="927"/>
      <c r="Q75" s="927"/>
      <c r="R75" s="927"/>
      <c r="S75" s="927"/>
      <c r="T75" s="927"/>
      <c r="U75" s="927"/>
      <c r="V75" s="927"/>
      <c r="W75" s="927"/>
      <c r="X75" s="927"/>
      <c r="Y75" s="927"/>
      <c r="Z75" s="927"/>
      <c r="AA75" s="927"/>
      <c r="AB75" s="927"/>
      <c r="AC75" s="927"/>
      <c r="AD75" s="927"/>
      <c r="AE75" s="927"/>
      <c r="AF75" s="927"/>
      <c r="AG75" s="927"/>
      <c r="AH75" s="927"/>
      <c r="AI75" s="927"/>
      <c r="AJ75" s="927"/>
      <c r="AK75" s="927"/>
      <c r="AL75" s="927"/>
      <c r="AM75" s="927"/>
      <c r="AN75" s="927"/>
      <c r="AO75" s="927"/>
      <c r="AP75" s="927"/>
      <c r="AQ75" s="927"/>
      <c r="AR75" s="927"/>
      <c r="AS75" s="927"/>
      <c r="AT75" s="927"/>
      <c r="AU75" s="927"/>
      <c r="AV75" s="927"/>
      <c r="AW75" s="927"/>
      <c r="AX75" s="927"/>
      <c r="AY75" s="927"/>
      <c r="AZ75" s="927"/>
      <c r="BA75" s="927"/>
      <c r="BB75" s="927"/>
      <c r="BC75" s="927"/>
      <c r="BD75" s="927"/>
      <c r="BE75" s="927"/>
      <c r="BF75" s="927"/>
      <c r="BG75" s="927"/>
      <c r="BH75" s="927"/>
      <c r="BI75" s="927"/>
      <c r="BJ75" s="927"/>
      <c r="BK75" s="927"/>
      <c r="BL75" s="927"/>
      <c r="BM75" s="927"/>
      <c r="BN75" s="927"/>
      <c r="BO75" s="927"/>
      <c r="BP75" s="927"/>
      <c r="BQ75" s="927"/>
      <c r="BR75" s="927"/>
      <c r="BS75" s="927"/>
      <c r="BT75" s="927"/>
    </row>
    <row r="76" spans="1:72" x14ac:dyDescent="0.25">
      <c r="A76" s="927"/>
      <c r="B76" s="927"/>
      <c r="C76" s="927"/>
      <c r="D76" s="927"/>
      <c r="E76" s="927"/>
      <c r="F76" s="927"/>
      <c r="G76" s="927"/>
      <c r="H76" s="927"/>
      <c r="I76" s="927"/>
      <c r="J76" s="927"/>
      <c r="K76" s="927"/>
      <c r="L76" s="927"/>
      <c r="M76" s="927"/>
      <c r="N76" s="927"/>
      <c r="O76" s="927"/>
      <c r="P76" s="927"/>
      <c r="Q76" s="927"/>
      <c r="R76" s="927"/>
      <c r="S76" s="927"/>
      <c r="T76" s="927"/>
      <c r="U76" s="927"/>
      <c r="V76" s="927"/>
      <c r="W76" s="927"/>
      <c r="X76" s="927"/>
      <c r="Y76" s="927"/>
      <c r="Z76" s="927"/>
      <c r="AA76" s="927"/>
      <c r="AB76" s="927"/>
      <c r="AC76" s="927"/>
      <c r="AD76" s="927"/>
      <c r="AE76" s="927" t="s">
        <v>786</v>
      </c>
      <c r="AF76" s="927"/>
      <c r="AG76" s="927"/>
      <c r="AH76" s="927"/>
      <c r="AI76" s="927"/>
      <c r="AJ76" s="927"/>
      <c r="AK76" s="927"/>
      <c r="AL76" s="927"/>
      <c r="AM76" s="927"/>
      <c r="AN76" s="927"/>
      <c r="AO76" s="927"/>
      <c r="AP76" s="927"/>
      <c r="AQ76" s="927"/>
      <c r="AR76" s="927"/>
      <c r="AS76" s="927"/>
      <c r="AT76" s="927"/>
      <c r="AU76" s="927"/>
      <c r="AV76" s="927"/>
      <c r="AW76" s="927"/>
      <c r="AX76" s="927"/>
      <c r="AY76" s="927"/>
      <c r="AZ76" s="927"/>
      <c r="BA76" s="927"/>
      <c r="BB76" s="927"/>
      <c r="BC76" s="927"/>
      <c r="BD76" s="927"/>
      <c r="BE76" s="927"/>
      <c r="BF76" s="927"/>
      <c r="BG76" s="927"/>
      <c r="BH76" s="927"/>
      <c r="BI76" s="927"/>
      <c r="BJ76" s="927"/>
      <c r="BK76" s="927"/>
      <c r="BL76" s="927"/>
      <c r="BM76" s="927"/>
      <c r="BN76" s="927"/>
      <c r="BO76" s="927"/>
      <c r="BP76" s="927"/>
      <c r="BQ76" s="927"/>
      <c r="BR76" s="927"/>
      <c r="BS76" s="927"/>
      <c r="BT76" s="927"/>
    </row>
    <row r="77" spans="1:72" x14ac:dyDescent="0.25">
      <c r="A77" s="927" t="s">
        <v>787</v>
      </c>
      <c r="B77" s="927">
        <v>2007</v>
      </c>
      <c r="C77" s="927">
        <v>2008</v>
      </c>
      <c r="D77" s="927">
        <v>2009</v>
      </c>
      <c r="E77" s="927">
        <v>2010</v>
      </c>
      <c r="F77" s="927">
        <v>2011</v>
      </c>
      <c r="G77" s="927">
        <v>2012</v>
      </c>
      <c r="H77" s="927">
        <v>2013</v>
      </c>
      <c r="I77" s="927">
        <v>2014</v>
      </c>
      <c r="J77" s="927">
        <v>2015</v>
      </c>
      <c r="K77" s="927">
        <v>2016</v>
      </c>
      <c r="L77" s="927">
        <v>2017</v>
      </c>
      <c r="M77" s="927">
        <v>2018</v>
      </c>
      <c r="N77" s="927">
        <v>2019</v>
      </c>
      <c r="O77" s="927">
        <v>2020</v>
      </c>
      <c r="P77" s="927">
        <v>2021</v>
      </c>
      <c r="Q77" s="927">
        <v>2022</v>
      </c>
      <c r="R77" s="927">
        <v>2023</v>
      </c>
      <c r="S77" s="927">
        <v>2024</v>
      </c>
      <c r="T77" s="927">
        <v>2025</v>
      </c>
      <c r="U77" s="927">
        <v>2026</v>
      </c>
      <c r="V77" s="927">
        <v>2027</v>
      </c>
      <c r="W77" s="927">
        <v>2028</v>
      </c>
      <c r="X77" s="927">
        <v>2029</v>
      </c>
      <c r="Y77" s="927">
        <v>2030</v>
      </c>
      <c r="Z77" s="927">
        <v>2031</v>
      </c>
      <c r="AA77" s="927">
        <v>2032</v>
      </c>
      <c r="AB77" s="927">
        <v>2033</v>
      </c>
      <c r="AC77" s="927">
        <v>2034</v>
      </c>
      <c r="AD77" s="927">
        <v>2035</v>
      </c>
      <c r="AE77" s="927">
        <v>2035</v>
      </c>
      <c r="AF77" s="927"/>
      <c r="AG77" s="927"/>
      <c r="AH77" s="927"/>
      <c r="AI77" s="927"/>
      <c r="AJ77" s="927"/>
      <c r="AK77" s="927"/>
      <c r="AL77" s="927"/>
      <c r="AM77" s="927"/>
      <c r="AN77" s="927"/>
      <c r="AO77" s="927"/>
      <c r="AP77" s="927"/>
      <c r="AQ77" s="927"/>
      <c r="AR77" s="927"/>
      <c r="AS77" s="927"/>
      <c r="AT77" s="927"/>
      <c r="AU77" s="927"/>
      <c r="AV77" s="927"/>
      <c r="AW77" s="927"/>
      <c r="AX77" s="927"/>
      <c r="AY77" s="927"/>
      <c r="AZ77" s="927"/>
      <c r="BA77" s="927"/>
      <c r="BB77" s="927"/>
      <c r="BC77" s="927"/>
      <c r="BD77" s="927"/>
      <c r="BE77" s="927"/>
      <c r="BF77" s="927"/>
      <c r="BG77" s="927"/>
      <c r="BH77" s="927"/>
      <c r="BI77" s="927"/>
      <c r="BJ77" s="927"/>
      <c r="BK77" s="927"/>
      <c r="BL77" s="927"/>
      <c r="BM77" s="927"/>
      <c r="BN77" s="927"/>
      <c r="BO77" s="927"/>
      <c r="BP77" s="927"/>
      <c r="BQ77" s="927"/>
      <c r="BR77" s="927"/>
      <c r="BS77" s="927"/>
      <c r="BT77" s="927"/>
    </row>
    <row r="78" spans="1:72" x14ac:dyDescent="0.25">
      <c r="A78" s="927"/>
      <c r="B78" s="927"/>
      <c r="C78" s="927"/>
      <c r="D78" s="927"/>
      <c r="E78" s="927"/>
      <c r="F78" s="927"/>
      <c r="G78" s="927"/>
      <c r="H78" s="927"/>
      <c r="I78" s="927"/>
      <c r="J78" s="927"/>
      <c r="K78" s="927"/>
      <c r="L78" s="927"/>
      <c r="M78" s="927"/>
      <c r="N78" s="927"/>
      <c r="O78" s="927"/>
      <c r="P78" s="927"/>
      <c r="Q78" s="927"/>
      <c r="R78" s="927"/>
      <c r="S78" s="927"/>
      <c r="T78" s="927"/>
      <c r="U78" s="927"/>
      <c r="V78" s="927"/>
      <c r="W78" s="927"/>
      <c r="X78" s="927"/>
      <c r="Y78" s="927"/>
      <c r="Z78" s="927"/>
      <c r="AA78" s="927"/>
      <c r="AB78" s="927"/>
      <c r="AC78" s="927"/>
      <c r="AD78" s="927"/>
      <c r="AE78" s="927"/>
      <c r="AF78" s="927"/>
      <c r="AG78" s="927"/>
      <c r="AH78" s="927"/>
      <c r="AI78" s="927"/>
      <c r="AJ78" s="927"/>
      <c r="AK78" s="927"/>
      <c r="AL78" s="927"/>
      <c r="AM78" s="927"/>
      <c r="AN78" s="927"/>
      <c r="AO78" s="927"/>
      <c r="AP78" s="927"/>
      <c r="AQ78" s="927"/>
      <c r="AR78" s="927"/>
      <c r="AS78" s="927"/>
      <c r="AT78" s="927"/>
      <c r="AU78" s="927"/>
      <c r="AV78" s="927"/>
      <c r="AW78" s="927"/>
      <c r="AX78" s="927"/>
      <c r="AY78" s="927"/>
      <c r="AZ78" s="927"/>
      <c r="BA78" s="927"/>
      <c r="BB78" s="927"/>
      <c r="BC78" s="927"/>
      <c r="BD78" s="927"/>
      <c r="BE78" s="927"/>
      <c r="BF78" s="927"/>
      <c r="BG78" s="927"/>
      <c r="BH78" s="927"/>
      <c r="BI78" s="927"/>
      <c r="BJ78" s="927"/>
      <c r="BK78" s="927"/>
      <c r="BL78" s="927"/>
      <c r="BM78" s="927"/>
      <c r="BN78" s="927"/>
      <c r="BO78" s="927"/>
      <c r="BP78" s="927"/>
      <c r="BQ78" s="927"/>
      <c r="BR78" s="927"/>
      <c r="BS78" s="927"/>
      <c r="BT78" s="927"/>
    </row>
    <row r="79" spans="1:72" x14ac:dyDescent="0.25">
      <c r="A79" s="927" t="s">
        <v>473</v>
      </c>
      <c r="B79" s="927"/>
      <c r="C79" s="927"/>
      <c r="D79" s="927"/>
      <c r="E79" s="927"/>
      <c r="F79" s="927"/>
      <c r="G79" s="927"/>
      <c r="H79" s="927"/>
      <c r="I79" s="927"/>
      <c r="J79" s="927"/>
      <c r="K79" s="927"/>
      <c r="L79" s="927"/>
      <c r="M79" s="927"/>
      <c r="N79" s="927"/>
      <c r="O79" s="927"/>
      <c r="P79" s="927"/>
      <c r="Q79" s="927"/>
      <c r="R79" s="927"/>
      <c r="S79" s="927"/>
      <c r="T79" s="927"/>
      <c r="U79" s="927"/>
      <c r="V79" s="927"/>
      <c r="W79" s="927"/>
      <c r="X79" s="927"/>
      <c r="Y79" s="927"/>
      <c r="Z79" s="927"/>
      <c r="AA79" s="927"/>
      <c r="AB79" s="927"/>
      <c r="AC79" s="927"/>
      <c r="AD79" s="927"/>
      <c r="AE79" s="927"/>
      <c r="AF79" s="927"/>
      <c r="AG79" s="927"/>
      <c r="AH79" s="927"/>
      <c r="AI79" s="927"/>
      <c r="AJ79" s="927"/>
      <c r="AK79" s="927"/>
      <c r="AL79" s="927"/>
      <c r="AM79" s="927"/>
      <c r="AN79" s="927"/>
      <c r="AO79" s="927"/>
      <c r="AP79" s="927"/>
      <c r="AQ79" s="927"/>
      <c r="AR79" s="927"/>
      <c r="AS79" s="927"/>
      <c r="AT79" s="927"/>
      <c r="AU79" s="927"/>
      <c r="AV79" s="927"/>
      <c r="AW79" s="927"/>
      <c r="AX79" s="927"/>
      <c r="AY79" s="927"/>
      <c r="AZ79" s="927"/>
      <c r="BA79" s="927"/>
      <c r="BB79" s="927"/>
      <c r="BC79" s="927"/>
      <c r="BD79" s="927"/>
      <c r="BE79" s="927"/>
      <c r="BF79" s="927"/>
      <c r="BG79" s="927"/>
      <c r="BH79" s="927"/>
      <c r="BI79" s="927"/>
      <c r="BJ79" s="927"/>
      <c r="BK79" s="927"/>
      <c r="BL79" s="927"/>
      <c r="BM79" s="927"/>
      <c r="BN79" s="927"/>
      <c r="BO79" s="927"/>
      <c r="BP79" s="927"/>
      <c r="BQ79" s="927"/>
      <c r="BR79" s="927"/>
      <c r="BS79" s="927"/>
      <c r="BT79" s="927"/>
    </row>
    <row r="80" spans="1:72" x14ac:dyDescent="0.25">
      <c r="A80" s="927" t="s">
        <v>609</v>
      </c>
      <c r="B80" s="927">
        <v>26.25</v>
      </c>
      <c r="C80" s="927">
        <v>29.35</v>
      </c>
      <c r="D80" s="927">
        <v>24.9</v>
      </c>
      <c r="E80" s="927">
        <v>24.01</v>
      </c>
      <c r="F80" s="927">
        <v>24.09</v>
      </c>
      <c r="G80" s="927">
        <v>25.25</v>
      </c>
      <c r="H80" s="927">
        <v>26.47</v>
      </c>
      <c r="I80" s="927">
        <v>27.44</v>
      </c>
      <c r="J80" s="927">
        <v>28.03</v>
      </c>
      <c r="K80" s="927">
        <v>28.67</v>
      </c>
      <c r="L80" s="927">
        <v>29.21</v>
      </c>
      <c r="M80" s="927">
        <v>29.8</v>
      </c>
      <c r="N80" s="927">
        <v>30.06</v>
      </c>
      <c r="O80" s="927">
        <v>30.29</v>
      </c>
      <c r="P80" s="927">
        <v>30.53</v>
      </c>
      <c r="Q80" s="927">
        <v>30.73</v>
      </c>
      <c r="R80" s="927">
        <v>31.01</v>
      </c>
      <c r="S80" s="927">
        <v>31.28</v>
      </c>
      <c r="T80" s="927">
        <v>31.55</v>
      </c>
      <c r="U80" s="927">
        <v>31.7</v>
      </c>
      <c r="V80" s="927">
        <v>31.98</v>
      </c>
      <c r="W80" s="927">
        <v>32.229999999999997</v>
      </c>
      <c r="X80" s="927">
        <v>32.590000000000003</v>
      </c>
      <c r="Y80" s="927">
        <v>32.81</v>
      </c>
      <c r="Z80" s="927">
        <v>33.17</v>
      </c>
      <c r="AA80" s="927">
        <v>33.51</v>
      </c>
      <c r="AB80" s="927">
        <v>33.9</v>
      </c>
      <c r="AC80" s="927">
        <v>34.26</v>
      </c>
      <c r="AD80" s="927">
        <v>34.65</v>
      </c>
      <c r="AE80" s="966">
        <v>6.0000000000000001E-3</v>
      </c>
      <c r="AF80" s="927"/>
      <c r="AG80" s="927"/>
      <c r="AH80" s="927"/>
      <c r="AI80" s="927"/>
      <c r="AJ80" s="927"/>
      <c r="AK80" s="927"/>
      <c r="AL80" s="927"/>
      <c r="AM80" s="927"/>
      <c r="AN80" s="927"/>
      <c r="AO80" s="927"/>
      <c r="AP80" s="927"/>
      <c r="AQ80" s="927"/>
      <c r="AR80" s="927"/>
      <c r="AS80" s="927"/>
      <c r="AT80" s="927"/>
      <c r="AU80" s="927"/>
      <c r="AV80" s="927"/>
      <c r="AW80" s="927"/>
      <c r="AX80" s="927"/>
      <c r="AY80" s="927"/>
      <c r="AZ80" s="927"/>
      <c r="BA80" s="927"/>
      <c r="BB80" s="927"/>
      <c r="BC80" s="927"/>
      <c r="BD80" s="927"/>
      <c r="BE80" s="927"/>
      <c r="BF80" s="927"/>
      <c r="BG80" s="927"/>
      <c r="BH80" s="927"/>
      <c r="BI80" s="927"/>
      <c r="BJ80" s="927"/>
      <c r="BK80" s="927"/>
      <c r="BL80" s="927"/>
      <c r="BM80" s="927"/>
      <c r="BN80" s="927"/>
      <c r="BO80" s="927"/>
      <c r="BP80" s="927"/>
      <c r="BQ80" s="927"/>
      <c r="BR80" s="927"/>
      <c r="BS80" s="927"/>
      <c r="BT80" s="927"/>
    </row>
    <row r="81" spans="1:72" x14ac:dyDescent="0.25">
      <c r="A81" s="927" t="s">
        <v>610</v>
      </c>
      <c r="B81" s="927">
        <v>20.3</v>
      </c>
      <c r="C81" s="927">
        <v>24.47</v>
      </c>
      <c r="D81" s="927">
        <v>17.98</v>
      </c>
      <c r="E81" s="927">
        <v>17.57</v>
      </c>
      <c r="F81" s="927">
        <v>17.72</v>
      </c>
      <c r="G81" s="927">
        <v>18.84</v>
      </c>
      <c r="H81" s="927">
        <v>19.86</v>
      </c>
      <c r="I81" s="927">
        <v>20.58</v>
      </c>
      <c r="J81" s="927">
        <v>21.08</v>
      </c>
      <c r="K81" s="927">
        <v>22</v>
      </c>
      <c r="L81" s="927">
        <v>22.66</v>
      </c>
      <c r="M81" s="927">
        <v>23.32</v>
      </c>
      <c r="N81" s="927">
        <v>23.74</v>
      </c>
      <c r="O81" s="927">
        <v>24.1</v>
      </c>
      <c r="P81" s="927">
        <v>24.24</v>
      </c>
      <c r="Q81" s="927">
        <v>24.44</v>
      </c>
      <c r="R81" s="927">
        <v>24.76</v>
      </c>
      <c r="S81" s="927">
        <v>24.94</v>
      </c>
      <c r="T81" s="927">
        <v>25.23</v>
      </c>
      <c r="U81" s="927">
        <v>25.5</v>
      </c>
      <c r="V81" s="927">
        <v>25.72</v>
      </c>
      <c r="W81" s="927">
        <v>26.04</v>
      </c>
      <c r="X81" s="927">
        <v>26.44</v>
      </c>
      <c r="Y81" s="927">
        <v>26.61</v>
      </c>
      <c r="Z81" s="927">
        <v>27.05</v>
      </c>
      <c r="AA81" s="927">
        <v>27.45</v>
      </c>
      <c r="AB81" s="927">
        <v>27.82</v>
      </c>
      <c r="AC81" s="927">
        <v>28.24</v>
      </c>
      <c r="AD81" s="927">
        <v>28.66</v>
      </c>
      <c r="AE81" s="966">
        <v>6.0000000000000001E-3</v>
      </c>
      <c r="AF81" s="927"/>
      <c r="AG81" s="927"/>
      <c r="AH81" s="927"/>
      <c r="AI81" s="927"/>
      <c r="AJ81" s="927"/>
      <c r="AK81" s="927"/>
      <c r="AL81" s="927"/>
      <c r="AM81" s="927"/>
      <c r="AN81" s="927"/>
      <c r="AO81" s="927"/>
      <c r="AP81" s="927"/>
      <c r="AQ81" s="927"/>
      <c r="AR81" s="927"/>
      <c r="AS81" s="927"/>
      <c r="AT81" s="927"/>
      <c r="AU81" s="927"/>
      <c r="AV81" s="927"/>
      <c r="AW81" s="927"/>
      <c r="AX81" s="927"/>
      <c r="AY81" s="927"/>
      <c r="AZ81" s="927"/>
      <c r="BA81" s="927"/>
      <c r="BB81" s="927"/>
      <c r="BC81" s="927"/>
      <c r="BD81" s="927"/>
      <c r="BE81" s="927"/>
      <c r="BF81" s="927"/>
      <c r="BG81" s="927"/>
      <c r="BH81" s="927"/>
      <c r="BI81" s="927"/>
      <c r="BJ81" s="927"/>
      <c r="BK81" s="927"/>
      <c r="BL81" s="927"/>
      <c r="BM81" s="927"/>
      <c r="BN81" s="927"/>
      <c r="BO81" s="927"/>
      <c r="BP81" s="927"/>
      <c r="BQ81" s="927"/>
      <c r="BR81" s="927"/>
      <c r="BS81" s="927"/>
      <c r="BT81" s="927"/>
    </row>
    <row r="82" spans="1:72" x14ac:dyDescent="0.25">
      <c r="A82" s="927" t="s">
        <v>510</v>
      </c>
      <c r="B82" s="927">
        <v>12.94</v>
      </c>
      <c r="C82" s="927">
        <v>13.48</v>
      </c>
      <c r="D82" s="927">
        <v>11.39</v>
      </c>
      <c r="E82" s="927">
        <v>10.89</v>
      </c>
      <c r="F82" s="927">
        <v>11.78</v>
      </c>
      <c r="G82" s="927">
        <v>11.87</v>
      </c>
      <c r="H82" s="927">
        <v>11.48</v>
      </c>
      <c r="I82" s="927">
        <v>11.41</v>
      </c>
      <c r="J82" s="927">
        <v>11.56</v>
      </c>
      <c r="K82" s="927">
        <v>11.65</v>
      </c>
      <c r="L82" s="927">
        <v>11.69</v>
      </c>
      <c r="M82" s="927">
        <v>11.76</v>
      </c>
      <c r="N82" s="927">
        <v>11.83</v>
      </c>
      <c r="O82" s="927">
        <v>11.95</v>
      </c>
      <c r="P82" s="927">
        <v>12.07</v>
      </c>
      <c r="Q82" s="927">
        <v>12.26</v>
      </c>
      <c r="R82" s="927">
        <v>12.29</v>
      </c>
      <c r="S82" s="927">
        <v>12.2</v>
      </c>
      <c r="T82" s="927">
        <v>12.29</v>
      </c>
      <c r="U82" s="927">
        <v>12.46</v>
      </c>
      <c r="V82" s="927">
        <v>12.66</v>
      </c>
      <c r="W82" s="927">
        <v>12.9</v>
      </c>
      <c r="X82" s="927">
        <v>13.16</v>
      </c>
      <c r="Y82" s="927">
        <v>13.44</v>
      </c>
      <c r="Z82" s="927">
        <v>13.78</v>
      </c>
      <c r="AA82" s="927">
        <v>13.93</v>
      </c>
      <c r="AB82" s="927">
        <v>14.03</v>
      </c>
      <c r="AC82" s="927">
        <v>14.25</v>
      </c>
      <c r="AD82" s="927">
        <v>14.4</v>
      </c>
      <c r="AE82" s="966">
        <v>2E-3</v>
      </c>
      <c r="AF82" s="927"/>
      <c r="AG82" s="927"/>
      <c r="AH82" s="927"/>
      <c r="AI82" s="927"/>
      <c r="AJ82" s="927"/>
      <c r="AK82" s="927"/>
      <c r="AL82" s="927"/>
      <c r="AM82" s="927"/>
      <c r="AN82" s="927"/>
      <c r="AO82" s="927"/>
      <c r="AP82" s="927"/>
      <c r="AQ82" s="927"/>
      <c r="AR82" s="927"/>
      <c r="AS82" s="927"/>
      <c r="AT82" s="927"/>
      <c r="AU82" s="927"/>
      <c r="AV82" s="927"/>
      <c r="AW82" s="927"/>
      <c r="AX82" s="927"/>
      <c r="AY82" s="927"/>
      <c r="AZ82" s="927"/>
      <c r="BA82" s="927"/>
      <c r="BB82" s="927"/>
      <c r="BC82" s="927"/>
      <c r="BD82" s="927"/>
      <c r="BE82" s="927"/>
      <c r="BF82" s="927"/>
      <c r="BG82" s="927"/>
      <c r="BH82" s="927"/>
      <c r="BI82" s="927"/>
      <c r="BJ82" s="927"/>
      <c r="BK82" s="927"/>
      <c r="BL82" s="927"/>
      <c r="BM82" s="927"/>
      <c r="BN82" s="927"/>
      <c r="BO82" s="927"/>
      <c r="BP82" s="927"/>
      <c r="BQ82" s="927"/>
      <c r="BR82" s="927"/>
      <c r="BS82" s="927"/>
      <c r="BT82" s="927"/>
    </row>
    <row r="83" spans="1:72" x14ac:dyDescent="0.25">
      <c r="A83" s="927" t="s">
        <v>479</v>
      </c>
      <c r="B83" s="927">
        <v>31.82</v>
      </c>
      <c r="C83" s="927">
        <v>33.29</v>
      </c>
      <c r="D83" s="927">
        <v>32.33</v>
      </c>
      <c r="E83" s="927">
        <v>30.94</v>
      </c>
      <c r="F83" s="927">
        <v>29.9</v>
      </c>
      <c r="G83" s="927">
        <v>31.08</v>
      </c>
      <c r="H83" s="927">
        <v>31.47</v>
      </c>
      <c r="I83" s="927">
        <v>31.49</v>
      </c>
      <c r="J83" s="927">
        <v>31.43</v>
      </c>
      <c r="K83" s="927">
        <v>31.64</v>
      </c>
      <c r="L83" s="927">
        <v>31.8</v>
      </c>
      <c r="M83" s="927">
        <v>31.78</v>
      </c>
      <c r="N83" s="927">
        <v>31.68</v>
      </c>
      <c r="O83" s="927">
        <v>31.84</v>
      </c>
      <c r="P83" s="927">
        <v>32.01</v>
      </c>
      <c r="Q83" s="927">
        <v>32.08</v>
      </c>
      <c r="R83" s="927">
        <v>32.200000000000003</v>
      </c>
      <c r="S83" s="927">
        <v>32.28</v>
      </c>
      <c r="T83" s="927">
        <v>32.26</v>
      </c>
      <c r="U83" s="927">
        <v>32.4</v>
      </c>
      <c r="V83" s="927">
        <v>32.57</v>
      </c>
      <c r="W83" s="927">
        <v>32.729999999999997</v>
      </c>
      <c r="X83" s="927">
        <v>33.130000000000003</v>
      </c>
      <c r="Y83" s="927">
        <v>33.46</v>
      </c>
      <c r="Z83" s="927">
        <v>33.81</v>
      </c>
      <c r="AA83" s="927">
        <v>34.11</v>
      </c>
      <c r="AB83" s="927">
        <v>34.26</v>
      </c>
      <c r="AC83" s="927">
        <v>34.49</v>
      </c>
      <c r="AD83" s="927">
        <v>34.71</v>
      </c>
      <c r="AE83" s="966">
        <v>2E-3</v>
      </c>
      <c r="AF83" s="927"/>
      <c r="AG83" s="927"/>
      <c r="AH83" s="927"/>
      <c r="AI83" s="927"/>
      <c r="AJ83" s="927"/>
      <c r="AK83" s="927"/>
      <c r="AL83" s="927"/>
      <c r="AM83" s="927"/>
      <c r="AN83" s="927"/>
      <c r="AO83" s="927"/>
      <c r="AP83" s="927"/>
      <c r="AQ83" s="927"/>
      <c r="AR83" s="927"/>
      <c r="AS83" s="927"/>
      <c r="AT83" s="927"/>
      <c r="AU83" s="927"/>
      <c r="AV83" s="927"/>
      <c r="AW83" s="927"/>
      <c r="AX83" s="927"/>
      <c r="AY83" s="927"/>
      <c r="AZ83" s="927"/>
      <c r="BA83" s="927"/>
      <c r="BB83" s="927"/>
      <c r="BC83" s="927"/>
      <c r="BD83" s="927"/>
      <c r="BE83" s="927"/>
      <c r="BF83" s="927"/>
      <c r="BG83" s="927"/>
      <c r="BH83" s="927"/>
      <c r="BI83" s="927"/>
      <c r="BJ83" s="927"/>
      <c r="BK83" s="927"/>
      <c r="BL83" s="927"/>
      <c r="BM83" s="927"/>
      <c r="BN83" s="927"/>
      <c r="BO83" s="927"/>
      <c r="BP83" s="927"/>
      <c r="BQ83" s="927"/>
      <c r="BR83" s="927"/>
      <c r="BS83" s="927"/>
      <c r="BT83" s="927"/>
    </row>
    <row r="84" spans="1:72" x14ac:dyDescent="0.25">
      <c r="A84" s="927"/>
      <c r="B84" s="927"/>
      <c r="C84" s="927"/>
      <c r="D84" s="927"/>
      <c r="E84" s="927"/>
      <c r="F84" s="927"/>
      <c r="G84" s="927"/>
      <c r="H84" s="927"/>
      <c r="I84" s="927"/>
      <c r="J84" s="927"/>
      <c r="K84" s="927"/>
      <c r="L84" s="927"/>
      <c r="M84" s="927"/>
      <c r="N84" s="927"/>
      <c r="O84" s="927"/>
      <c r="P84" s="927"/>
      <c r="Q84" s="927"/>
      <c r="R84" s="927"/>
      <c r="S84" s="927"/>
      <c r="T84" s="927"/>
      <c r="U84" s="927"/>
      <c r="V84" s="927"/>
      <c r="W84" s="927"/>
      <c r="X84" s="927"/>
      <c r="Y84" s="927"/>
      <c r="Z84" s="927"/>
      <c r="AA84" s="927"/>
      <c r="AB84" s="927"/>
      <c r="AC84" s="927"/>
      <c r="AD84" s="927"/>
      <c r="AE84" s="927"/>
      <c r="AF84" s="927"/>
      <c r="AG84" s="927"/>
      <c r="AH84" s="927"/>
      <c r="AI84" s="927"/>
      <c r="AJ84" s="927"/>
      <c r="AK84" s="927"/>
      <c r="AL84" s="927"/>
      <c r="AM84" s="927"/>
      <c r="AN84" s="927"/>
      <c r="AO84" s="927"/>
      <c r="AP84" s="927"/>
      <c r="AQ84" s="927"/>
      <c r="AR84" s="927"/>
      <c r="AS84" s="927"/>
      <c r="AT84" s="927"/>
      <c r="AU84" s="927"/>
      <c r="AV84" s="927"/>
      <c r="AW84" s="927"/>
      <c r="AX84" s="927"/>
      <c r="AY84" s="927"/>
      <c r="AZ84" s="927"/>
      <c r="BA84" s="927"/>
      <c r="BB84" s="927"/>
      <c r="BC84" s="927"/>
      <c r="BD84" s="927"/>
      <c r="BE84" s="927"/>
      <c r="BF84" s="927"/>
      <c r="BG84" s="927"/>
      <c r="BH84" s="927"/>
      <c r="BI84" s="927"/>
      <c r="BJ84" s="927"/>
      <c r="BK84" s="927"/>
      <c r="BL84" s="927"/>
      <c r="BM84" s="927"/>
      <c r="BN84" s="927"/>
      <c r="BO84" s="927"/>
      <c r="BP84" s="927"/>
      <c r="BQ84" s="927"/>
      <c r="BR84" s="927"/>
      <c r="BS84" s="927"/>
      <c r="BT84" s="927"/>
    </row>
    <row r="85" spans="1:72" x14ac:dyDescent="0.25">
      <c r="A85" s="927" t="s">
        <v>480</v>
      </c>
      <c r="B85" s="927"/>
      <c r="C85" s="927"/>
      <c r="D85" s="927"/>
      <c r="E85" s="927"/>
      <c r="F85" s="927"/>
      <c r="G85" s="927"/>
      <c r="H85" s="927"/>
      <c r="I85" s="927"/>
      <c r="J85" s="927"/>
      <c r="K85" s="927"/>
      <c r="L85" s="927"/>
      <c r="M85" s="927"/>
      <c r="N85" s="927"/>
      <c r="O85" s="927"/>
      <c r="P85" s="927"/>
      <c r="Q85" s="927"/>
      <c r="R85" s="927"/>
      <c r="S85" s="927"/>
      <c r="T85" s="927"/>
      <c r="U85" s="927"/>
      <c r="V85" s="927"/>
      <c r="W85" s="927"/>
      <c r="X85" s="927"/>
      <c r="Y85" s="927"/>
      <c r="Z85" s="927"/>
      <c r="AA85" s="927"/>
      <c r="AB85" s="927"/>
      <c r="AC85" s="927"/>
      <c r="AD85" s="927"/>
      <c r="AE85" s="927"/>
      <c r="AF85" s="927"/>
      <c r="AG85" s="927"/>
      <c r="AH85" s="927"/>
      <c r="AI85" s="927"/>
      <c r="AJ85" s="927"/>
      <c r="AK85" s="927"/>
      <c r="AL85" s="927"/>
      <c r="AM85" s="927"/>
      <c r="AN85" s="927"/>
      <c r="AO85" s="927"/>
      <c r="AP85" s="927"/>
      <c r="AQ85" s="927"/>
      <c r="AR85" s="927"/>
      <c r="AS85" s="927"/>
      <c r="AT85" s="927"/>
      <c r="AU85" s="927"/>
      <c r="AV85" s="927"/>
      <c r="AW85" s="927"/>
      <c r="AX85" s="927"/>
      <c r="AY85" s="927"/>
      <c r="AZ85" s="927"/>
      <c r="BA85" s="927"/>
      <c r="BB85" s="927"/>
      <c r="BC85" s="927"/>
      <c r="BD85" s="927"/>
      <c r="BE85" s="927"/>
      <c r="BF85" s="927"/>
      <c r="BG85" s="927"/>
      <c r="BH85" s="927"/>
      <c r="BI85" s="927"/>
      <c r="BJ85" s="927"/>
      <c r="BK85" s="927"/>
      <c r="BL85" s="927"/>
      <c r="BM85" s="927"/>
      <c r="BN85" s="927"/>
      <c r="BO85" s="927"/>
      <c r="BP85" s="927"/>
      <c r="BQ85" s="927"/>
      <c r="BR85" s="927"/>
      <c r="BS85" s="927"/>
      <c r="BT85" s="927"/>
    </row>
    <row r="86" spans="1:72" x14ac:dyDescent="0.25">
      <c r="A86" s="927" t="s">
        <v>609</v>
      </c>
      <c r="B86" s="927">
        <v>20.65</v>
      </c>
      <c r="C86" s="927">
        <v>26.15</v>
      </c>
      <c r="D86" s="927">
        <v>19.82</v>
      </c>
      <c r="E86" s="927">
        <v>20.78</v>
      </c>
      <c r="F86" s="927">
        <v>20.86</v>
      </c>
      <c r="G86" s="927">
        <v>22.02</v>
      </c>
      <c r="H86" s="927">
        <v>23.23</v>
      </c>
      <c r="I86" s="927">
        <v>24.19</v>
      </c>
      <c r="J86" s="927">
        <v>24.77</v>
      </c>
      <c r="K86" s="927">
        <v>25.41</v>
      </c>
      <c r="L86" s="927">
        <v>25.95</v>
      </c>
      <c r="M86" s="927">
        <v>26.53</v>
      </c>
      <c r="N86" s="927">
        <v>26.79</v>
      </c>
      <c r="O86" s="927">
        <v>27.02</v>
      </c>
      <c r="P86" s="927">
        <v>27.25</v>
      </c>
      <c r="Q86" s="927">
        <v>27.46</v>
      </c>
      <c r="R86" s="927">
        <v>27.73</v>
      </c>
      <c r="S86" s="927">
        <v>28</v>
      </c>
      <c r="T86" s="927">
        <v>28.26</v>
      </c>
      <c r="U86" s="927">
        <v>28.41</v>
      </c>
      <c r="V86" s="927">
        <v>28.68</v>
      </c>
      <c r="W86" s="927">
        <v>28.93</v>
      </c>
      <c r="X86" s="927">
        <v>29.28</v>
      </c>
      <c r="Y86" s="927">
        <v>29.5</v>
      </c>
      <c r="Z86" s="927">
        <v>29.86</v>
      </c>
      <c r="AA86" s="927">
        <v>30.19</v>
      </c>
      <c r="AB86" s="927">
        <v>30.58</v>
      </c>
      <c r="AC86" s="927">
        <v>30.94</v>
      </c>
      <c r="AD86" s="927">
        <v>31.32</v>
      </c>
      <c r="AE86" s="966">
        <v>7.0000000000000001E-3</v>
      </c>
      <c r="AF86" s="927"/>
      <c r="AG86" s="927"/>
      <c r="AH86" s="927"/>
      <c r="AI86" s="927"/>
      <c r="AJ86" s="927"/>
      <c r="AK86" s="927"/>
      <c r="AL86" s="927"/>
      <c r="AM86" s="927"/>
      <c r="AN86" s="927"/>
      <c r="AO86" s="927"/>
      <c r="AP86" s="927"/>
      <c r="AQ86" s="927"/>
      <c r="AR86" s="927"/>
      <c r="AS86" s="927"/>
      <c r="AT86" s="927"/>
      <c r="AU86" s="927"/>
      <c r="AV86" s="927"/>
      <c r="AW86" s="927"/>
      <c r="AX86" s="927"/>
      <c r="AY86" s="927"/>
      <c r="AZ86" s="927"/>
      <c r="BA86" s="927"/>
      <c r="BB86" s="927"/>
      <c r="BC86" s="927"/>
      <c r="BD86" s="927"/>
      <c r="BE86" s="927"/>
      <c r="BF86" s="927"/>
      <c r="BG86" s="927"/>
      <c r="BH86" s="927"/>
      <c r="BI86" s="927"/>
      <c r="BJ86" s="927"/>
      <c r="BK86" s="927"/>
      <c r="BL86" s="927"/>
      <c r="BM86" s="927"/>
      <c r="BN86" s="927"/>
      <c r="BO86" s="927"/>
      <c r="BP86" s="927"/>
      <c r="BQ86" s="927"/>
      <c r="BR86" s="927"/>
      <c r="BS86" s="927"/>
      <c r="BT86" s="927"/>
    </row>
    <row r="87" spans="1:72" x14ac:dyDescent="0.25">
      <c r="A87" s="927" t="s">
        <v>610</v>
      </c>
      <c r="B87" s="927">
        <v>17.48</v>
      </c>
      <c r="C87" s="927">
        <v>21.5</v>
      </c>
      <c r="D87" s="927">
        <v>15.8</v>
      </c>
      <c r="E87" s="927">
        <v>14.82</v>
      </c>
      <c r="F87" s="927">
        <v>15.24</v>
      </c>
      <c r="G87" s="927">
        <v>16.38</v>
      </c>
      <c r="H87" s="927">
        <v>17.399999999999999</v>
      </c>
      <c r="I87" s="927">
        <v>18.11</v>
      </c>
      <c r="J87" s="927">
        <v>18.72</v>
      </c>
      <c r="K87" s="927">
        <v>19.559999999999999</v>
      </c>
      <c r="L87" s="927">
        <v>20.2</v>
      </c>
      <c r="M87" s="927">
        <v>20.84</v>
      </c>
      <c r="N87" s="927">
        <v>21.26</v>
      </c>
      <c r="O87" s="927">
        <v>21.6</v>
      </c>
      <c r="P87" s="927">
        <v>21.78</v>
      </c>
      <c r="Q87" s="927">
        <v>22.04</v>
      </c>
      <c r="R87" s="927">
        <v>22.29</v>
      </c>
      <c r="S87" s="927">
        <v>22.43</v>
      </c>
      <c r="T87" s="927">
        <v>22.72</v>
      </c>
      <c r="U87" s="927">
        <v>22.97</v>
      </c>
      <c r="V87" s="927">
        <v>23.21</v>
      </c>
      <c r="W87" s="927">
        <v>23.53</v>
      </c>
      <c r="X87" s="927">
        <v>23.93</v>
      </c>
      <c r="Y87" s="927">
        <v>24.11</v>
      </c>
      <c r="Z87" s="927">
        <v>24.54</v>
      </c>
      <c r="AA87" s="927">
        <v>24.94</v>
      </c>
      <c r="AB87" s="927">
        <v>25.28</v>
      </c>
      <c r="AC87" s="927">
        <v>25.69</v>
      </c>
      <c r="AD87" s="927">
        <v>26.13</v>
      </c>
      <c r="AE87" s="966">
        <v>7.0000000000000001E-3</v>
      </c>
      <c r="AF87" s="927"/>
      <c r="AG87" s="927"/>
      <c r="AH87" s="927"/>
      <c r="AI87" s="927"/>
      <c r="AJ87" s="927"/>
      <c r="AK87" s="927"/>
      <c r="AL87" s="927"/>
      <c r="AM87" s="927"/>
      <c r="AN87" s="927"/>
      <c r="AO87" s="927"/>
      <c r="AP87" s="927"/>
      <c r="AQ87" s="927"/>
      <c r="AR87" s="927"/>
      <c r="AS87" s="927"/>
      <c r="AT87" s="927"/>
      <c r="AU87" s="927"/>
      <c r="AV87" s="927"/>
      <c r="AW87" s="927"/>
      <c r="AX87" s="927"/>
      <c r="AY87" s="927"/>
      <c r="AZ87" s="927"/>
      <c r="BA87" s="927"/>
      <c r="BB87" s="927"/>
      <c r="BC87" s="927"/>
      <c r="BD87" s="927"/>
      <c r="BE87" s="927"/>
      <c r="BF87" s="927"/>
      <c r="BG87" s="927"/>
      <c r="BH87" s="927"/>
      <c r="BI87" s="927"/>
      <c r="BJ87" s="927"/>
      <c r="BK87" s="927"/>
      <c r="BL87" s="927"/>
      <c r="BM87" s="927"/>
      <c r="BN87" s="927"/>
      <c r="BO87" s="927"/>
      <c r="BP87" s="927"/>
      <c r="BQ87" s="927"/>
      <c r="BR87" s="927"/>
      <c r="BS87" s="927"/>
      <c r="BT87" s="927"/>
    </row>
    <row r="88" spans="1:72" x14ac:dyDescent="0.25">
      <c r="A88" s="927" t="s">
        <v>723</v>
      </c>
      <c r="B88" s="927">
        <v>8.39</v>
      </c>
      <c r="C88" s="927">
        <v>15.52</v>
      </c>
      <c r="D88" s="927">
        <v>9.27</v>
      </c>
      <c r="E88" s="927">
        <v>9.4499999999999993</v>
      </c>
      <c r="F88" s="927">
        <v>9.6300000000000008</v>
      </c>
      <c r="G88" s="927">
        <v>10.85</v>
      </c>
      <c r="H88" s="927">
        <v>11.98</v>
      </c>
      <c r="I88" s="927">
        <v>12.76</v>
      </c>
      <c r="J88" s="927">
        <v>13.13</v>
      </c>
      <c r="K88" s="927">
        <v>13.68</v>
      </c>
      <c r="L88" s="927">
        <v>14.17</v>
      </c>
      <c r="M88" s="927">
        <v>14.69</v>
      </c>
      <c r="N88" s="927">
        <v>15.26</v>
      </c>
      <c r="O88" s="927">
        <v>15.46</v>
      </c>
      <c r="P88" s="927">
        <v>15.68</v>
      </c>
      <c r="Q88" s="927">
        <v>15.89</v>
      </c>
      <c r="R88" s="927">
        <v>16.12</v>
      </c>
      <c r="S88" s="927">
        <v>16.34</v>
      </c>
      <c r="T88" s="927">
        <v>16.54</v>
      </c>
      <c r="U88" s="927">
        <v>16.63</v>
      </c>
      <c r="V88" s="927">
        <v>16.82</v>
      </c>
      <c r="W88" s="927">
        <v>17.059999999999999</v>
      </c>
      <c r="X88" s="927">
        <v>17.28</v>
      </c>
      <c r="Y88" s="927">
        <v>17.54</v>
      </c>
      <c r="Z88" s="927">
        <v>17.89</v>
      </c>
      <c r="AA88" s="927">
        <v>18.12</v>
      </c>
      <c r="AB88" s="927">
        <v>18.25</v>
      </c>
      <c r="AC88" s="927">
        <v>18.68</v>
      </c>
      <c r="AD88" s="927">
        <v>18.84</v>
      </c>
      <c r="AE88" s="966">
        <v>7.0000000000000001E-3</v>
      </c>
      <c r="AF88" s="927"/>
      <c r="AG88" s="927"/>
      <c r="AH88" s="927"/>
      <c r="AI88" s="927"/>
      <c r="AJ88" s="927"/>
      <c r="AK88" s="927"/>
      <c r="AL88" s="927"/>
      <c r="AM88" s="927"/>
      <c r="AN88" s="927"/>
      <c r="AO88" s="927"/>
      <c r="AP88" s="927"/>
      <c r="AQ88" s="927"/>
      <c r="AR88" s="927"/>
      <c r="AS88" s="927"/>
      <c r="AT88" s="927"/>
      <c r="AU88" s="927"/>
      <c r="AV88" s="927"/>
      <c r="AW88" s="927"/>
      <c r="AX88" s="927"/>
      <c r="AY88" s="927"/>
      <c r="AZ88" s="927"/>
      <c r="BA88" s="927"/>
      <c r="BB88" s="927"/>
      <c r="BC88" s="927"/>
      <c r="BD88" s="927"/>
      <c r="BE88" s="927"/>
      <c r="BF88" s="927"/>
      <c r="BG88" s="927"/>
      <c r="BH88" s="927"/>
      <c r="BI88" s="927"/>
      <c r="BJ88" s="927"/>
      <c r="BK88" s="927"/>
      <c r="BL88" s="927"/>
      <c r="BM88" s="927"/>
      <c r="BN88" s="927"/>
      <c r="BO88" s="927"/>
      <c r="BP88" s="927"/>
      <c r="BQ88" s="927"/>
      <c r="BR88" s="927"/>
      <c r="BS88" s="927"/>
      <c r="BT88" s="927"/>
    </row>
    <row r="89" spans="1:72" x14ac:dyDescent="0.25">
      <c r="A89" s="927" t="s">
        <v>510</v>
      </c>
      <c r="B89" s="927">
        <v>11.2</v>
      </c>
      <c r="C89" s="927">
        <v>11.94</v>
      </c>
      <c r="D89" s="927">
        <v>9.0500000000000007</v>
      </c>
      <c r="E89" s="927">
        <v>8.67</v>
      </c>
      <c r="F89" s="927">
        <v>9.7200000000000006</v>
      </c>
      <c r="G89" s="927">
        <v>10.07</v>
      </c>
      <c r="H89" s="927">
        <v>9.92</v>
      </c>
      <c r="I89" s="927">
        <v>9.85</v>
      </c>
      <c r="J89" s="927">
        <v>9.99</v>
      </c>
      <c r="K89" s="927">
        <v>10.08</v>
      </c>
      <c r="L89" s="927">
        <v>10.11</v>
      </c>
      <c r="M89" s="927">
        <v>10.16</v>
      </c>
      <c r="N89" s="927">
        <v>10.23</v>
      </c>
      <c r="O89" s="927">
        <v>10.35</v>
      </c>
      <c r="P89" s="927">
        <v>10.46</v>
      </c>
      <c r="Q89" s="927">
        <v>10.65</v>
      </c>
      <c r="R89" s="927">
        <v>10.69</v>
      </c>
      <c r="S89" s="927">
        <v>10.62</v>
      </c>
      <c r="T89" s="927">
        <v>10.7</v>
      </c>
      <c r="U89" s="927">
        <v>10.86</v>
      </c>
      <c r="V89" s="927">
        <v>11.04</v>
      </c>
      <c r="W89" s="927">
        <v>11.28</v>
      </c>
      <c r="X89" s="927">
        <v>11.52</v>
      </c>
      <c r="Y89" s="927">
        <v>11.78</v>
      </c>
      <c r="Z89" s="927">
        <v>12.11</v>
      </c>
      <c r="AA89" s="927">
        <v>12.26</v>
      </c>
      <c r="AB89" s="927">
        <v>12.32</v>
      </c>
      <c r="AC89" s="927">
        <v>12.52</v>
      </c>
      <c r="AD89" s="927">
        <v>12.66</v>
      </c>
      <c r="AE89" s="966">
        <v>2E-3</v>
      </c>
      <c r="AF89" s="927"/>
      <c r="AG89" s="927"/>
      <c r="AH89" s="927"/>
      <c r="AI89" s="927"/>
      <c r="AJ89" s="927"/>
      <c r="AK89" s="927"/>
      <c r="AL89" s="927"/>
      <c r="AM89" s="927"/>
      <c r="AN89" s="927"/>
      <c r="AO89" s="927"/>
      <c r="AP89" s="927"/>
      <c r="AQ89" s="927"/>
      <c r="AR89" s="927"/>
      <c r="AS89" s="927"/>
      <c r="AT89" s="927"/>
      <c r="AU89" s="927"/>
      <c r="AV89" s="927"/>
      <c r="AW89" s="927"/>
      <c r="AX89" s="927"/>
      <c r="AY89" s="927"/>
      <c r="AZ89" s="927"/>
      <c r="BA89" s="927"/>
      <c r="BB89" s="927"/>
      <c r="BC89" s="927"/>
      <c r="BD89" s="927"/>
      <c r="BE89" s="927"/>
      <c r="BF89" s="927"/>
      <c r="BG89" s="927"/>
      <c r="BH89" s="927"/>
      <c r="BI89" s="927"/>
      <c r="BJ89" s="927"/>
      <c r="BK89" s="927"/>
      <c r="BL89" s="927"/>
      <c r="BM89" s="927"/>
      <c r="BN89" s="927"/>
      <c r="BO89" s="927"/>
      <c r="BP89" s="927"/>
      <c r="BQ89" s="927"/>
      <c r="BR89" s="927"/>
      <c r="BS89" s="927"/>
      <c r="BT89" s="927"/>
    </row>
    <row r="90" spans="1:72" x14ac:dyDescent="0.25">
      <c r="A90" s="927" t="s">
        <v>479</v>
      </c>
      <c r="B90" s="927">
        <v>28.81</v>
      </c>
      <c r="C90" s="927">
        <v>30.47</v>
      </c>
      <c r="D90" s="927">
        <v>28.94</v>
      </c>
      <c r="E90" s="927">
        <v>27.37</v>
      </c>
      <c r="F90" s="927">
        <v>25.72</v>
      </c>
      <c r="G90" s="927">
        <v>26.72</v>
      </c>
      <c r="H90" s="927">
        <v>26.81</v>
      </c>
      <c r="I90" s="927">
        <v>26.55</v>
      </c>
      <c r="J90" s="927">
        <v>26.55</v>
      </c>
      <c r="K90" s="927">
        <v>26.81</v>
      </c>
      <c r="L90" s="927">
        <v>26.97</v>
      </c>
      <c r="M90" s="927">
        <v>26.98</v>
      </c>
      <c r="N90" s="927">
        <v>26.93</v>
      </c>
      <c r="O90" s="927">
        <v>27.12</v>
      </c>
      <c r="P90" s="927">
        <v>27.31</v>
      </c>
      <c r="Q90" s="927">
        <v>27.42</v>
      </c>
      <c r="R90" s="927">
        <v>27.62</v>
      </c>
      <c r="S90" s="927">
        <v>27.77</v>
      </c>
      <c r="T90" s="927">
        <v>27.72</v>
      </c>
      <c r="U90" s="927">
        <v>27.87</v>
      </c>
      <c r="V90" s="927">
        <v>28.05</v>
      </c>
      <c r="W90" s="927">
        <v>28.25</v>
      </c>
      <c r="X90" s="927">
        <v>28.67</v>
      </c>
      <c r="Y90" s="927">
        <v>28.99</v>
      </c>
      <c r="Z90" s="927">
        <v>29.37</v>
      </c>
      <c r="AA90" s="927">
        <v>29.73</v>
      </c>
      <c r="AB90" s="927">
        <v>29.9</v>
      </c>
      <c r="AC90" s="927">
        <v>30.15</v>
      </c>
      <c r="AD90" s="927">
        <v>30.37</v>
      </c>
      <c r="AE90" s="966">
        <v>0</v>
      </c>
      <c r="AF90" s="927"/>
      <c r="AG90" s="927"/>
      <c r="AH90" s="927"/>
      <c r="AI90" s="927"/>
      <c r="AJ90" s="927"/>
      <c r="AK90" s="927"/>
      <c r="AL90" s="927"/>
      <c r="AM90" s="927"/>
      <c r="AN90" s="927"/>
      <c r="AO90" s="927"/>
      <c r="AP90" s="927"/>
      <c r="AQ90" s="927"/>
      <c r="AR90" s="927"/>
      <c r="AS90" s="927"/>
      <c r="AT90" s="927"/>
      <c r="AU90" s="927"/>
      <c r="AV90" s="927"/>
      <c r="AW90" s="927"/>
      <c r="AX90" s="927"/>
      <c r="AY90" s="927"/>
      <c r="AZ90" s="927"/>
      <c r="BA90" s="927"/>
      <c r="BB90" s="927"/>
      <c r="BC90" s="927"/>
      <c r="BD90" s="927"/>
      <c r="BE90" s="927"/>
      <c r="BF90" s="927"/>
      <c r="BG90" s="927"/>
      <c r="BH90" s="927"/>
      <c r="BI90" s="927"/>
      <c r="BJ90" s="927"/>
      <c r="BK90" s="927"/>
      <c r="BL90" s="927"/>
      <c r="BM90" s="927"/>
      <c r="BN90" s="927"/>
      <c r="BO90" s="927"/>
      <c r="BP90" s="927"/>
      <c r="BQ90" s="927"/>
      <c r="BR90" s="927"/>
      <c r="BS90" s="927"/>
      <c r="BT90" s="927"/>
    </row>
    <row r="91" spans="1:72" x14ac:dyDescent="0.25">
      <c r="A91" s="927"/>
      <c r="B91" s="927"/>
      <c r="C91" s="927"/>
      <c r="D91" s="927"/>
      <c r="E91" s="927"/>
      <c r="F91" s="927"/>
      <c r="G91" s="927"/>
      <c r="H91" s="927"/>
      <c r="I91" s="927"/>
      <c r="J91" s="927"/>
      <c r="K91" s="927"/>
      <c r="L91" s="927"/>
      <c r="M91" s="927"/>
      <c r="N91" s="927"/>
      <c r="O91" s="927"/>
      <c r="P91" s="927"/>
      <c r="Q91" s="927"/>
      <c r="R91" s="927"/>
      <c r="S91" s="927"/>
      <c r="T91" s="927"/>
      <c r="U91" s="927"/>
      <c r="V91" s="927"/>
      <c r="W91" s="927"/>
      <c r="X91" s="927"/>
      <c r="Y91" s="927"/>
      <c r="Z91" s="927"/>
      <c r="AA91" s="927"/>
      <c r="AB91" s="927"/>
      <c r="AC91" s="927"/>
      <c r="AD91" s="927"/>
      <c r="AE91" s="927"/>
      <c r="AF91" s="927"/>
      <c r="AG91" s="927"/>
      <c r="AH91" s="927"/>
      <c r="AI91" s="927"/>
      <c r="AJ91" s="927"/>
      <c r="AK91" s="927"/>
      <c r="AL91" s="927"/>
      <c r="AM91" s="927"/>
      <c r="AN91" s="927"/>
      <c r="AO91" s="927"/>
      <c r="AP91" s="927"/>
      <c r="AQ91" s="927"/>
      <c r="AR91" s="927"/>
      <c r="AS91" s="927"/>
      <c r="AT91" s="927"/>
      <c r="AU91" s="927"/>
      <c r="AV91" s="927"/>
      <c r="AW91" s="927"/>
      <c r="AX91" s="927"/>
      <c r="AY91" s="927"/>
      <c r="AZ91" s="927"/>
      <c r="BA91" s="927"/>
      <c r="BB91" s="927"/>
      <c r="BC91" s="927"/>
      <c r="BD91" s="927"/>
      <c r="BE91" s="927"/>
      <c r="BF91" s="927"/>
      <c r="BG91" s="927"/>
      <c r="BH91" s="927"/>
      <c r="BI91" s="927"/>
      <c r="BJ91" s="927"/>
      <c r="BK91" s="927"/>
      <c r="BL91" s="927"/>
      <c r="BM91" s="927"/>
      <c r="BN91" s="927"/>
      <c r="BO91" s="927"/>
      <c r="BP91" s="927"/>
      <c r="BQ91" s="927"/>
      <c r="BR91" s="927"/>
      <c r="BS91" s="927"/>
      <c r="BT91" s="927"/>
    </row>
    <row r="92" spans="1:72" x14ac:dyDescent="0.25">
      <c r="A92" s="927" t="s">
        <v>612</v>
      </c>
      <c r="B92" s="927"/>
      <c r="C92" s="927"/>
      <c r="D92" s="927"/>
      <c r="E92" s="927"/>
      <c r="F92" s="927"/>
      <c r="G92" s="927"/>
      <c r="H92" s="927"/>
      <c r="I92" s="927"/>
      <c r="J92" s="927"/>
      <c r="K92" s="927"/>
      <c r="L92" s="927"/>
      <c r="M92" s="927"/>
      <c r="N92" s="927"/>
      <c r="O92" s="927"/>
      <c r="P92" s="927"/>
      <c r="Q92" s="927"/>
      <c r="R92" s="927"/>
      <c r="S92" s="927"/>
      <c r="T92" s="927"/>
      <c r="U92" s="927"/>
      <c r="V92" s="927"/>
      <c r="W92" s="927"/>
      <c r="X92" s="927"/>
      <c r="Y92" s="927"/>
      <c r="Z92" s="927"/>
      <c r="AA92" s="927"/>
      <c r="AB92" s="927"/>
      <c r="AC92" s="927"/>
      <c r="AD92" s="927"/>
      <c r="AE92" s="927"/>
      <c r="AF92" s="927"/>
      <c r="AG92" s="927"/>
      <c r="AH92" s="927"/>
      <c r="AI92" s="927"/>
      <c r="AJ92" s="927"/>
      <c r="AK92" s="927"/>
      <c r="AL92" s="927"/>
      <c r="AM92" s="927"/>
      <c r="AN92" s="927"/>
      <c r="AO92" s="927"/>
      <c r="AP92" s="927"/>
      <c r="AQ92" s="927"/>
      <c r="AR92" s="927"/>
      <c r="AS92" s="927"/>
      <c r="AT92" s="927"/>
      <c r="AU92" s="927"/>
      <c r="AV92" s="927"/>
      <c r="AW92" s="927"/>
      <c r="AX92" s="927"/>
      <c r="AY92" s="927"/>
      <c r="AZ92" s="927"/>
      <c r="BA92" s="927"/>
      <c r="BB92" s="927"/>
      <c r="BC92" s="927"/>
      <c r="BD92" s="927"/>
      <c r="BE92" s="927"/>
      <c r="BF92" s="927"/>
      <c r="BG92" s="927"/>
      <c r="BH92" s="927"/>
      <c r="BI92" s="927"/>
      <c r="BJ92" s="927"/>
      <c r="BK92" s="927"/>
      <c r="BL92" s="927"/>
      <c r="BM92" s="927"/>
      <c r="BN92" s="927"/>
      <c r="BO92" s="927"/>
      <c r="BP92" s="927"/>
      <c r="BQ92" s="927"/>
      <c r="BR92" s="927"/>
      <c r="BS92" s="927"/>
      <c r="BT92" s="927"/>
    </row>
    <row r="93" spans="1:72" x14ac:dyDescent="0.25">
      <c r="A93" s="927" t="s">
        <v>609</v>
      </c>
      <c r="B93" s="927">
        <v>22.01</v>
      </c>
      <c r="C93" s="927">
        <v>24.2</v>
      </c>
      <c r="D93" s="927">
        <v>18.64</v>
      </c>
      <c r="E93" s="927">
        <v>18.36</v>
      </c>
      <c r="F93" s="927">
        <v>18.46</v>
      </c>
      <c r="G93" s="927">
        <v>19.61</v>
      </c>
      <c r="H93" s="927">
        <v>20.9</v>
      </c>
      <c r="I93" s="927">
        <v>21.9</v>
      </c>
      <c r="J93" s="927">
        <v>22.49</v>
      </c>
      <c r="K93" s="927">
        <v>23.25</v>
      </c>
      <c r="L93" s="927">
        <v>23.76</v>
      </c>
      <c r="M93" s="927">
        <v>24.31</v>
      </c>
      <c r="N93" s="927">
        <v>24.62</v>
      </c>
      <c r="O93" s="927">
        <v>24.86</v>
      </c>
      <c r="P93" s="927">
        <v>25.09</v>
      </c>
      <c r="Q93" s="927">
        <v>25.3</v>
      </c>
      <c r="R93" s="927">
        <v>25.59</v>
      </c>
      <c r="S93" s="927">
        <v>25.86</v>
      </c>
      <c r="T93" s="927">
        <v>26.12</v>
      </c>
      <c r="U93" s="927">
        <v>26.27</v>
      </c>
      <c r="V93" s="927">
        <v>26.55</v>
      </c>
      <c r="W93" s="927">
        <v>26.8</v>
      </c>
      <c r="X93" s="927">
        <v>27.15</v>
      </c>
      <c r="Y93" s="927">
        <v>27.38</v>
      </c>
      <c r="Z93" s="927">
        <v>27.74</v>
      </c>
      <c r="AA93" s="927">
        <v>28.08</v>
      </c>
      <c r="AB93" s="927">
        <v>28.48</v>
      </c>
      <c r="AC93" s="927">
        <v>28.86</v>
      </c>
      <c r="AD93" s="927">
        <v>29.25</v>
      </c>
      <c r="AE93" s="966">
        <v>7.0000000000000001E-3</v>
      </c>
      <c r="AF93" s="927"/>
      <c r="AG93" s="927"/>
      <c r="AH93" s="927"/>
      <c r="AI93" s="927"/>
      <c r="AJ93" s="927"/>
      <c r="AK93" s="927"/>
      <c r="AL93" s="927"/>
      <c r="AM93" s="927"/>
      <c r="AN93" s="927"/>
      <c r="AO93" s="927"/>
      <c r="AP93" s="927"/>
      <c r="AQ93" s="927"/>
      <c r="AR93" s="927"/>
      <c r="AS93" s="927"/>
      <c r="AT93" s="927"/>
      <c r="AU93" s="927"/>
      <c r="AV93" s="927"/>
      <c r="AW93" s="927"/>
      <c r="AX93" s="927"/>
      <c r="AY93" s="927"/>
      <c r="AZ93" s="927"/>
      <c r="BA93" s="927"/>
      <c r="BB93" s="927"/>
      <c r="BC93" s="927"/>
      <c r="BD93" s="927"/>
      <c r="BE93" s="927"/>
      <c r="BF93" s="927"/>
      <c r="BG93" s="927"/>
      <c r="BH93" s="927"/>
      <c r="BI93" s="927"/>
      <c r="BJ93" s="927"/>
      <c r="BK93" s="927"/>
      <c r="BL93" s="927"/>
      <c r="BM93" s="927"/>
      <c r="BN93" s="927"/>
      <c r="BO93" s="927"/>
      <c r="BP93" s="927"/>
      <c r="BQ93" s="927"/>
      <c r="BR93" s="927"/>
      <c r="BS93" s="927"/>
      <c r="BT93" s="927"/>
    </row>
    <row r="94" spans="1:72" x14ac:dyDescent="0.25">
      <c r="A94" s="927" t="s">
        <v>610</v>
      </c>
      <c r="B94" s="927">
        <v>18.07</v>
      </c>
      <c r="C94" s="927">
        <v>22.31</v>
      </c>
      <c r="D94" s="927">
        <v>16.399999999999999</v>
      </c>
      <c r="E94" s="927">
        <v>14.38</v>
      </c>
      <c r="F94" s="927">
        <v>15.38</v>
      </c>
      <c r="G94" s="927">
        <v>16.55</v>
      </c>
      <c r="H94" s="927">
        <v>17.59</v>
      </c>
      <c r="I94" s="927">
        <v>18.32</v>
      </c>
      <c r="J94" s="927">
        <v>19</v>
      </c>
      <c r="K94" s="927">
        <v>19.8</v>
      </c>
      <c r="L94" s="927">
        <v>20.440000000000001</v>
      </c>
      <c r="M94" s="927">
        <v>21.08</v>
      </c>
      <c r="N94" s="927">
        <v>21.49</v>
      </c>
      <c r="O94" s="927">
        <v>21.83</v>
      </c>
      <c r="P94" s="927">
        <v>22.03</v>
      </c>
      <c r="Q94" s="927">
        <v>22.36</v>
      </c>
      <c r="R94" s="927">
        <v>22.56</v>
      </c>
      <c r="S94" s="927">
        <v>22.67</v>
      </c>
      <c r="T94" s="927">
        <v>22.97</v>
      </c>
      <c r="U94" s="927">
        <v>23.22</v>
      </c>
      <c r="V94" s="927">
        <v>23.48</v>
      </c>
      <c r="W94" s="927">
        <v>23.81</v>
      </c>
      <c r="X94" s="927">
        <v>24.22</v>
      </c>
      <c r="Y94" s="927">
        <v>24.4</v>
      </c>
      <c r="Z94" s="927">
        <v>24.84</v>
      </c>
      <c r="AA94" s="927">
        <v>25.25</v>
      </c>
      <c r="AB94" s="927">
        <v>25.6</v>
      </c>
      <c r="AC94" s="927">
        <v>26.02</v>
      </c>
      <c r="AD94" s="927">
        <v>26.48</v>
      </c>
      <c r="AE94" s="966">
        <v>6.0000000000000001E-3</v>
      </c>
      <c r="AF94" s="927"/>
      <c r="AG94" s="927"/>
      <c r="AH94" s="927"/>
      <c r="AI94" s="927"/>
      <c r="AJ94" s="927"/>
      <c r="AK94" s="927"/>
      <c r="AL94" s="927"/>
      <c r="AM94" s="927"/>
      <c r="AN94" s="927"/>
      <c r="AO94" s="927"/>
      <c r="AP94" s="927"/>
      <c r="AQ94" s="927"/>
      <c r="AR94" s="927"/>
      <c r="AS94" s="927"/>
      <c r="AT94" s="927"/>
      <c r="AU94" s="927"/>
      <c r="AV94" s="927"/>
      <c r="AW94" s="927"/>
      <c r="AX94" s="927"/>
      <c r="AY94" s="927"/>
      <c r="AZ94" s="927"/>
      <c r="BA94" s="927"/>
      <c r="BB94" s="927"/>
      <c r="BC94" s="927"/>
      <c r="BD94" s="927"/>
      <c r="BE94" s="927"/>
      <c r="BF94" s="927"/>
      <c r="BG94" s="927"/>
      <c r="BH94" s="927"/>
      <c r="BI94" s="927"/>
      <c r="BJ94" s="927"/>
      <c r="BK94" s="927"/>
      <c r="BL94" s="927"/>
      <c r="BM94" s="927"/>
      <c r="BN94" s="927"/>
      <c r="BO94" s="927"/>
      <c r="BP94" s="927"/>
      <c r="BQ94" s="927"/>
      <c r="BR94" s="927"/>
      <c r="BS94" s="927"/>
      <c r="BT94" s="927"/>
    </row>
    <row r="95" spans="1:72" x14ac:dyDescent="0.25">
      <c r="A95" s="927" t="s">
        <v>611</v>
      </c>
      <c r="B95" s="927">
        <v>8.84</v>
      </c>
      <c r="C95" s="927">
        <v>16.309999999999999</v>
      </c>
      <c r="D95" s="927">
        <v>9.75</v>
      </c>
      <c r="E95" s="927">
        <v>13.12</v>
      </c>
      <c r="F95" s="927">
        <v>13.24</v>
      </c>
      <c r="G95" s="927">
        <v>14.32</v>
      </c>
      <c r="H95" s="927">
        <v>15.31</v>
      </c>
      <c r="I95" s="927">
        <v>16.079999999999998</v>
      </c>
      <c r="J95" s="927">
        <v>16.47</v>
      </c>
      <c r="K95" s="927">
        <v>16.96</v>
      </c>
      <c r="L95" s="927">
        <v>17.37</v>
      </c>
      <c r="M95" s="927">
        <v>17.82</v>
      </c>
      <c r="N95" s="927">
        <v>18.09</v>
      </c>
      <c r="O95" s="927">
        <v>18.2</v>
      </c>
      <c r="P95" s="927">
        <v>18.43</v>
      </c>
      <c r="Q95" s="927">
        <v>18.61</v>
      </c>
      <c r="R95" s="927">
        <v>18.82</v>
      </c>
      <c r="S95" s="927">
        <v>19.03</v>
      </c>
      <c r="T95" s="927">
        <v>19.23</v>
      </c>
      <c r="U95" s="927">
        <v>19.3</v>
      </c>
      <c r="V95" s="927">
        <v>19.489999999999998</v>
      </c>
      <c r="W95" s="927">
        <v>19.73</v>
      </c>
      <c r="X95" s="927">
        <v>19.98</v>
      </c>
      <c r="Y95" s="927">
        <v>20.27</v>
      </c>
      <c r="Z95" s="927">
        <v>20.61</v>
      </c>
      <c r="AA95" s="927">
        <v>20.87</v>
      </c>
      <c r="AB95" s="927">
        <v>21.12</v>
      </c>
      <c r="AC95" s="927">
        <v>21.44</v>
      </c>
      <c r="AD95" s="927">
        <v>21.72</v>
      </c>
      <c r="AE95" s="966">
        <v>1.0999999999999999E-2</v>
      </c>
      <c r="AF95" s="927"/>
      <c r="AG95" s="927"/>
      <c r="AH95" s="927"/>
      <c r="AI95" s="927"/>
      <c r="AJ95" s="927"/>
      <c r="AK95" s="927"/>
      <c r="AL95" s="927"/>
      <c r="AM95" s="927"/>
      <c r="AN95" s="927"/>
      <c r="AO95" s="927"/>
      <c r="AP95" s="927"/>
      <c r="AQ95" s="927"/>
      <c r="AR95" s="927"/>
      <c r="AS95" s="927"/>
      <c r="AT95" s="927"/>
      <c r="AU95" s="927"/>
      <c r="AV95" s="927"/>
      <c r="AW95" s="927"/>
      <c r="AX95" s="927"/>
      <c r="AY95" s="927"/>
      <c r="AZ95" s="927"/>
      <c r="BA95" s="927"/>
      <c r="BB95" s="927"/>
      <c r="BC95" s="927"/>
      <c r="BD95" s="927"/>
      <c r="BE95" s="927"/>
      <c r="BF95" s="927"/>
      <c r="BG95" s="927"/>
      <c r="BH95" s="927"/>
      <c r="BI95" s="927"/>
      <c r="BJ95" s="927"/>
      <c r="BK95" s="927"/>
      <c r="BL95" s="927"/>
      <c r="BM95" s="927"/>
      <c r="BN95" s="927"/>
      <c r="BO95" s="927"/>
      <c r="BP95" s="927"/>
      <c r="BQ95" s="927"/>
      <c r="BR95" s="927"/>
      <c r="BS95" s="927"/>
      <c r="BT95" s="927"/>
    </row>
    <row r="96" spans="1:72" x14ac:dyDescent="0.25">
      <c r="A96" s="927" t="s">
        <v>613</v>
      </c>
      <c r="B96" s="927">
        <v>7.58</v>
      </c>
      <c r="C96" s="927">
        <v>9.11</v>
      </c>
      <c r="D96" s="927">
        <v>4.2</v>
      </c>
      <c r="E96" s="927">
        <v>4.87</v>
      </c>
      <c r="F96" s="927">
        <v>5.97</v>
      </c>
      <c r="G96" s="927">
        <v>6.39</v>
      </c>
      <c r="H96" s="927">
        <v>6.33</v>
      </c>
      <c r="I96" s="927">
        <v>6.28</v>
      </c>
      <c r="J96" s="927">
        <v>6.45</v>
      </c>
      <c r="K96" s="927">
        <v>6.52</v>
      </c>
      <c r="L96" s="927">
        <v>6.51</v>
      </c>
      <c r="M96" s="927">
        <v>6.55</v>
      </c>
      <c r="N96" s="927">
        <v>6.6</v>
      </c>
      <c r="O96" s="927">
        <v>6.7</v>
      </c>
      <c r="P96" s="927">
        <v>6.78</v>
      </c>
      <c r="Q96" s="927">
        <v>6.96</v>
      </c>
      <c r="R96" s="927">
        <v>7.01</v>
      </c>
      <c r="S96" s="927">
        <v>6.96</v>
      </c>
      <c r="T96" s="927">
        <v>7.02</v>
      </c>
      <c r="U96" s="927">
        <v>7.15</v>
      </c>
      <c r="V96" s="927">
        <v>7.29</v>
      </c>
      <c r="W96" s="927">
        <v>7.51</v>
      </c>
      <c r="X96" s="927">
        <v>7.73</v>
      </c>
      <c r="Y96" s="927">
        <v>7.98</v>
      </c>
      <c r="Z96" s="927">
        <v>8.2899999999999991</v>
      </c>
      <c r="AA96" s="927">
        <v>8.4</v>
      </c>
      <c r="AB96" s="927">
        <v>8.42</v>
      </c>
      <c r="AC96" s="927">
        <v>8.61</v>
      </c>
      <c r="AD96" s="927">
        <v>8.73</v>
      </c>
      <c r="AE96" s="966">
        <v>-2E-3</v>
      </c>
      <c r="AF96" s="927"/>
      <c r="AG96" s="927"/>
      <c r="AH96" s="927"/>
      <c r="AI96" s="927"/>
      <c r="AJ96" s="927"/>
      <c r="AK96" s="927"/>
      <c r="AL96" s="927"/>
      <c r="AM96" s="927"/>
      <c r="AN96" s="927"/>
      <c r="AO96" s="927"/>
      <c r="AP96" s="927"/>
      <c r="AQ96" s="927"/>
      <c r="AR96" s="927"/>
      <c r="AS96" s="927"/>
      <c r="AT96" s="927"/>
      <c r="AU96" s="927"/>
      <c r="AV96" s="927"/>
      <c r="AW96" s="927"/>
      <c r="AX96" s="927"/>
      <c r="AY96" s="927"/>
      <c r="AZ96" s="927"/>
      <c r="BA96" s="927"/>
      <c r="BB96" s="927"/>
      <c r="BC96" s="927"/>
      <c r="BD96" s="927"/>
      <c r="BE96" s="927"/>
      <c r="BF96" s="927"/>
      <c r="BG96" s="927"/>
      <c r="BH96" s="927"/>
      <c r="BI96" s="927"/>
      <c r="BJ96" s="927"/>
      <c r="BK96" s="927"/>
      <c r="BL96" s="927"/>
      <c r="BM96" s="927"/>
      <c r="BN96" s="927"/>
      <c r="BO96" s="927"/>
      <c r="BP96" s="927"/>
      <c r="BQ96" s="927"/>
      <c r="BR96" s="927"/>
      <c r="BS96" s="927"/>
      <c r="BT96" s="927"/>
    </row>
    <row r="97" spans="1:72" x14ac:dyDescent="0.25">
      <c r="A97" s="927" t="s">
        <v>614</v>
      </c>
      <c r="B97" s="927">
        <v>3.69</v>
      </c>
      <c r="C97" s="927">
        <v>4.49</v>
      </c>
      <c r="D97" s="927">
        <v>4.72</v>
      </c>
      <c r="E97" s="927">
        <v>4.8</v>
      </c>
      <c r="F97" s="927">
        <v>4.8600000000000003</v>
      </c>
      <c r="G97" s="927">
        <v>5.0199999999999996</v>
      </c>
      <c r="H97" s="927">
        <v>5.05</v>
      </c>
      <c r="I97" s="927">
        <v>5.08</v>
      </c>
      <c r="J97" s="927">
        <v>5.08</v>
      </c>
      <c r="K97" s="927">
        <v>5.09</v>
      </c>
      <c r="L97" s="927">
        <v>5.16</v>
      </c>
      <c r="M97" s="927">
        <v>5.22</v>
      </c>
      <c r="N97" s="927">
        <v>5.29</v>
      </c>
      <c r="O97" s="927">
        <v>5.32</v>
      </c>
      <c r="P97" s="927">
        <v>5.35</v>
      </c>
      <c r="Q97" s="927">
        <v>5.36</v>
      </c>
      <c r="R97" s="927">
        <v>5.35</v>
      </c>
      <c r="S97" s="927">
        <v>5.32</v>
      </c>
      <c r="T97" s="927">
        <v>5.24</v>
      </c>
      <c r="U97" s="927">
        <v>5.16</v>
      </c>
      <c r="V97" s="927">
        <v>5.14</v>
      </c>
      <c r="W97" s="927">
        <v>5.14</v>
      </c>
      <c r="X97" s="927">
        <v>5.1100000000000003</v>
      </c>
      <c r="Y97" s="927">
        <v>5.1100000000000003</v>
      </c>
      <c r="Z97" s="927">
        <v>5.09</v>
      </c>
      <c r="AA97" s="927">
        <v>5.08</v>
      </c>
      <c r="AB97" s="927">
        <v>5.08</v>
      </c>
      <c r="AC97" s="927">
        <v>5.0599999999999996</v>
      </c>
      <c r="AD97" s="927">
        <v>5.0599999999999996</v>
      </c>
      <c r="AE97" s="966">
        <v>4.0000000000000001E-3</v>
      </c>
      <c r="AF97" s="927"/>
      <c r="AG97" s="927"/>
      <c r="AH97" s="927"/>
      <c r="AI97" s="927"/>
      <c r="AJ97" s="927"/>
      <c r="AK97" s="927"/>
      <c r="AL97" s="927"/>
      <c r="AM97" s="927"/>
      <c r="AN97" s="927"/>
      <c r="AO97" s="927"/>
      <c r="AP97" s="927"/>
      <c r="AQ97" s="927"/>
      <c r="AR97" s="927"/>
      <c r="AS97" s="927"/>
      <c r="AT97" s="927"/>
      <c r="AU97" s="927"/>
      <c r="AV97" s="927"/>
      <c r="AW97" s="927"/>
      <c r="AX97" s="927"/>
      <c r="AY97" s="927"/>
      <c r="AZ97" s="927"/>
      <c r="BA97" s="927"/>
      <c r="BB97" s="927"/>
      <c r="BC97" s="927"/>
      <c r="BD97" s="927"/>
      <c r="BE97" s="927"/>
      <c r="BF97" s="927"/>
      <c r="BG97" s="927"/>
      <c r="BH97" s="927"/>
      <c r="BI97" s="927"/>
      <c r="BJ97" s="927"/>
      <c r="BK97" s="927"/>
      <c r="BL97" s="927"/>
      <c r="BM97" s="927"/>
      <c r="BN97" s="927"/>
      <c r="BO97" s="927"/>
      <c r="BP97" s="927"/>
      <c r="BQ97" s="927"/>
      <c r="BR97" s="927"/>
      <c r="BS97" s="927"/>
      <c r="BT97" s="927"/>
    </row>
    <row r="98" spans="1:72" x14ac:dyDescent="0.25">
      <c r="A98" s="927" t="s">
        <v>615</v>
      </c>
      <c r="B98" s="927">
        <v>2.48</v>
      </c>
      <c r="C98" s="927">
        <v>2.84</v>
      </c>
      <c r="D98" s="927">
        <v>2.79</v>
      </c>
      <c r="E98" s="927">
        <v>2.69</v>
      </c>
      <c r="F98" s="927">
        <v>2.69</v>
      </c>
      <c r="G98" s="927">
        <v>2.69</v>
      </c>
      <c r="H98" s="927">
        <v>2.66</v>
      </c>
      <c r="I98" s="927">
        <v>2.68</v>
      </c>
      <c r="J98" s="927">
        <v>2.69</v>
      </c>
      <c r="K98" s="927">
        <v>2.68</v>
      </c>
      <c r="L98" s="927">
        <v>2.69</v>
      </c>
      <c r="M98" s="927">
        <v>2.68</v>
      </c>
      <c r="N98" s="927">
        <v>2.67</v>
      </c>
      <c r="O98" s="927">
        <v>2.66</v>
      </c>
      <c r="P98" s="927">
        <v>2.65</v>
      </c>
      <c r="Q98" s="927">
        <v>2.65</v>
      </c>
      <c r="R98" s="927">
        <v>2.63</v>
      </c>
      <c r="S98" s="927">
        <v>2.63</v>
      </c>
      <c r="T98" s="927">
        <v>2.63</v>
      </c>
      <c r="U98" s="927">
        <v>2.64</v>
      </c>
      <c r="V98" s="927">
        <v>2.63</v>
      </c>
      <c r="W98" s="927">
        <v>2.64</v>
      </c>
      <c r="X98" s="927">
        <v>2.65</v>
      </c>
      <c r="Y98" s="927">
        <v>2.66</v>
      </c>
      <c r="Z98" s="927">
        <v>2.67</v>
      </c>
      <c r="AA98" s="927">
        <v>2.67</v>
      </c>
      <c r="AB98" s="927">
        <v>2.69</v>
      </c>
      <c r="AC98" s="927">
        <v>2.7</v>
      </c>
      <c r="AD98" s="927">
        <v>2.71</v>
      </c>
      <c r="AE98" s="966">
        <v>-2E-3</v>
      </c>
      <c r="AF98" s="927"/>
      <c r="AG98" s="927"/>
      <c r="AH98" s="927"/>
      <c r="AI98" s="927"/>
      <c r="AJ98" s="927"/>
      <c r="AK98" s="927"/>
      <c r="AL98" s="927"/>
      <c r="AM98" s="927"/>
      <c r="AN98" s="927"/>
      <c r="AO98" s="927"/>
      <c r="AP98" s="927"/>
      <c r="AQ98" s="927"/>
      <c r="AR98" s="927"/>
      <c r="AS98" s="927"/>
      <c r="AT98" s="927"/>
      <c r="AU98" s="927"/>
      <c r="AV98" s="927"/>
      <c r="AW98" s="927"/>
      <c r="AX98" s="927"/>
      <c r="AY98" s="927"/>
      <c r="AZ98" s="927"/>
      <c r="BA98" s="927"/>
      <c r="BB98" s="927"/>
      <c r="BC98" s="927"/>
      <c r="BD98" s="927"/>
      <c r="BE98" s="927"/>
      <c r="BF98" s="927"/>
      <c r="BG98" s="927"/>
      <c r="BH98" s="927"/>
      <c r="BI98" s="927"/>
      <c r="BJ98" s="927"/>
      <c r="BK98" s="927"/>
      <c r="BL98" s="927"/>
      <c r="BM98" s="927"/>
      <c r="BN98" s="927"/>
      <c r="BO98" s="927"/>
      <c r="BP98" s="927"/>
      <c r="BQ98" s="927"/>
      <c r="BR98" s="927"/>
      <c r="BS98" s="927"/>
      <c r="BT98" s="927"/>
    </row>
    <row r="99" spans="1:72" x14ac:dyDescent="0.25">
      <c r="A99" s="927" t="s">
        <v>616</v>
      </c>
      <c r="B99" s="927" t="s">
        <v>788</v>
      </c>
      <c r="C99" s="927" t="s">
        <v>788</v>
      </c>
      <c r="D99" s="927" t="s">
        <v>788</v>
      </c>
      <c r="E99" s="927" t="s">
        <v>788</v>
      </c>
      <c r="F99" s="927">
        <v>1.26</v>
      </c>
      <c r="G99" s="927">
        <v>1.04</v>
      </c>
      <c r="H99" s="927">
        <v>1.04</v>
      </c>
      <c r="I99" s="927">
        <v>1.41</v>
      </c>
      <c r="J99" s="927">
        <v>1.42</v>
      </c>
      <c r="K99" s="927">
        <v>1.46</v>
      </c>
      <c r="L99" s="927">
        <v>1.48</v>
      </c>
      <c r="M99" s="927">
        <v>1.48</v>
      </c>
      <c r="N99" s="927">
        <v>1.47</v>
      </c>
      <c r="O99" s="927">
        <v>1.46</v>
      </c>
      <c r="P99" s="927">
        <v>1.49</v>
      </c>
      <c r="Q99" s="927">
        <v>1.5</v>
      </c>
      <c r="R99" s="927">
        <v>1.52</v>
      </c>
      <c r="S99" s="927">
        <v>1.49</v>
      </c>
      <c r="T99" s="927">
        <v>1.49</v>
      </c>
      <c r="U99" s="927">
        <v>1.47</v>
      </c>
      <c r="V99" s="927">
        <v>1.46</v>
      </c>
      <c r="W99" s="927">
        <v>1.45</v>
      </c>
      <c r="X99" s="927">
        <v>1.44</v>
      </c>
      <c r="Y99" s="927">
        <v>1.44</v>
      </c>
      <c r="Z99" s="927">
        <v>1.44</v>
      </c>
      <c r="AA99" s="927">
        <v>1.44</v>
      </c>
      <c r="AB99" s="927">
        <v>1.46</v>
      </c>
      <c r="AC99" s="927">
        <v>1.48</v>
      </c>
      <c r="AD99" s="927">
        <v>1.51</v>
      </c>
      <c r="AE99" s="927" t="s">
        <v>788</v>
      </c>
      <c r="AF99" s="927"/>
      <c r="AG99" s="927"/>
      <c r="AH99" s="927"/>
      <c r="AI99" s="927"/>
      <c r="AJ99" s="927"/>
      <c r="AK99" s="927"/>
      <c r="AL99" s="927"/>
      <c r="AM99" s="927"/>
      <c r="AN99" s="927"/>
      <c r="AO99" s="927"/>
      <c r="AP99" s="927"/>
      <c r="AQ99" s="927"/>
      <c r="AR99" s="927"/>
      <c r="AS99" s="927"/>
      <c r="AT99" s="927"/>
      <c r="AU99" s="927"/>
      <c r="AV99" s="927"/>
      <c r="AW99" s="927"/>
      <c r="AX99" s="927"/>
      <c r="AY99" s="927"/>
      <c r="AZ99" s="927"/>
      <c r="BA99" s="927"/>
      <c r="BB99" s="927"/>
      <c r="BC99" s="927"/>
      <c r="BD99" s="927"/>
      <c r="BE99" s="927"/>
      <c r="BF99" s="927"/>
      <c r="BG99" s="927"/>
      <c r="BH99" s="927"/>
      <c r="BI99" s="927"/>
      <c r="BJ99" s="927"/>
      <c r="BK99" s="927"/>
      <c r="BL99" s="927"/>
      <c r="BM99" s="927"/>
      <c r="BN99" s="927"/>
      <c r="BO99" s="927"/>
      <c r="BP99" s="927"/>
      <c r="BQ99" s="927"/>
      <c r="BR99" s="927"/>
      <c r="BS99" s="927"/>
      <c r="BT99" s="927"/>
    </row>
    <row r="100" spans="1:72" x14ac:dyDescent="0.25">
      <c r="A100" s="927" t="s">
        <v>479</v>
      </c>
      <c r="B100" s="927">
        <v>19.02</v>
      </c>
      <c r="C100" s="927">
        <v>20.21</v>
      </c>
      <c r="D100" s="927">
        <v>20.04</v>
      </c>
      <c r="E100" s="927">
        <v>19.149999999999999</v>
      </c>
      <c r="F100" s="927">
        <v>17.11</v>
      </c>
      <c r="G100" s="927">
        <v>17.73</v>
      </c>
      <c r="H100" s="927">
        <v>17.62</v>
      </c>
      <c r="I100" s="927">
        <v>17.350000000000001</v>
      </c>
      <c r="J100" s="927">
        <v>17.37</v>
      </c>
      <c r="K100" s="927">
        <v>17.62</v>
      </c>
      <c r="L100" s="927">
        <v>17.75</v>
      </c>
      <c r="M100" s="927">
        <v>17.77</v>
      </c>
      <c r="N100" s="927">
        <v>17.75</v>
      </c>
      <c r="O100" s="927">
        <v>17.920000000000002</v>
      </c>
      <c r="P100" s="927">
        <v>18.07</v>
      </c>
      <c r="Q100" s="927">
        <v>18.190000000000001</v>
      </c>
      <c r="R100" s="927">
        <v>18.38</v>
      </c>
      <c r="S100" s="927">
        <v>18.53</v>
      </c>
      <c r="T100" s="927">
        <v>18.5</v>
      </c>
      <c r="U100" s="927">
        <v>18.61</v>
      </c>
      <c r="V100" s="927">
        <v>18.78</v>
      </c>
      <c r="W100" s="927">
        <v>18.97</v>
      </c>
      <c r="X100" s="927">
        <v>19.3</v>
      </c>
      <c r="Y100" s="927">
        <v>19.579999999999998</v>
      </c>
      <c r="Z100" s="927">
        <v>19.88</v>
      </c>
      <c r="AA100" s="927">
        <v>20.16</v>
      </c>
      <c r="AB100" s="927">
        <v>20.3</v>
      </c>
      <c r="AC100" s="927">
        <v>20.52</v>
      </c>
      <c r="AD100" s="927">
        <v>20.71</v>
      </c>
      <c r="AE100" s="966">
        <v>1E-3</v>
      </c>
      <c r="AF100" s="927"/>
      <c r="AG100" s="927"/>
      <c r="AH100" s="927"/>
      <c r="AI100" s="927"/>
      <c r="AJ100" s="927"/>
      <c r="AK100" s="927"/>
      <c r="AL100" s="927"/>
      <c r="AM100" s="927"/>
      <c r="AN100" s="927"/>
      <c r="AO100" s="927"/>
      <c r="AP100" s="927"/>
      <c r="AQ100" s="927"/>
      <c r="AR100" s="927"/>
      <c r="AS100" s="927"/>
      <c r="AT100" s="927"/>
      <c r="AU100" s="927"/>
      <c r="AV100" s="927"/>
      <c r="AW100" s="927"/>
      <c r="AX100" s="927"/>
      <c r="AY100" s="927"/>
      <c r="AZ100" s="927"/>
      <c r="BA100" s="927"/>
      <c r="BB100" s="927"/>
      <c r="BC100" s="927"/>
      <c r="BD100" s="927"/>
      <c r="BE100" s="927"/>
      <c r="BF100" s="927"/>
      <c r="BG100" s="927"/>
      <c r="BH100" s="927"/>
      <c r="BI100" s="927"/>
      <c r="BJ100" s="927"/>
      <c r="BK100" s="927"/>
      <c r="BL100" s="927"/>
      <c r="BM100" s="927"/>
      <c r="BN100" s="927"/>
      <c r="BO100" s="927"/>
      <c r="BP100" s="927"/>
      <c r="BQ100" s="927"/>
      <c r="BR100" s="927"/>
      <c r="BS100" s="927"/>
      <c r="BT100" s="927"/>
    </row>
    <row r="101" spans="1:72" x14ac:dyDescent="0.25">
      <c r="A101" s="927"/>
      <c r="B101" s="927"/>
      <c r="C101" s="927"/>
      <c r="D101" s="927"/>
      <c r="E101" s="927"/>
      <c r="F101" s="927"/>
      <c r="G101" s="927"/>
      <c r="H101" s="927"/>
      <c r="I101" s="927"/>
      <c r="J101" s="927"/>
      <c r="K101" s="927"/>
      <c r="L101" s="927"/>
      <c r="M101" s="927"/>
      <c r="N101" s="927"/>
      <c r="O101" s="927"/>
      <c r="P101" s="927"/>
      <c r="Q101" s="927"/>
      <c r="R101" s="927"/>
      <c r="S101" s="927"/>
      <c r="T101" s="927"/>
      <c r="U101" s="927"/>
      <c r="V101" s="927"/>
      <c r="W101" s="927"/>
      <c r="X101" s="927"/>
      <c r="Y101" s="927"/>
      <c r="Z101" s="927"/>
      <c r="AA101" s="927"/>
      <c r="AB101" s="927"/>
      <c r="AC101" s="927"/>
      <c r="AD101" s="927"/>
      <c r="AE101" s="927"/>
      <c r="AF101" s="927"/>
      <c r="AG101" s="927"/>
      <c r="AH101" s="927"/>
      <c r="AI101" s="927"/>
      <c r="AJ101" s="927"/>
      <c r="AK101" s="927"/>
      <c r="AL101" s="927"/>
      <c r="AM101" s="927"/>
      <c r="AN101" s="927"/>
      <c r="AO101" s="927"/>
      <c r="AP101" s="927"/>
      <c r="AQ101" s="927"/>
      <c r="AR101" s="927"/>
      <c r="AS101" s="927"/>
      <c r="AT101" s="927"/>
      <c r="AU101" s="927"/>
      <c r="AV101" s="927"/>
      <c r="AW101" s="927"/>
      <c r="AX101" s="927"/>
      <c r="AY101" s="927"/>
      <c r="AZ101" s="927"/>
      <c r="BA101" s="927"/>
      <c r="BB101" s="927"/>
      <c r="BC101" s="927"/>
      <c r="BD101" s="927"/>
      <c r="BE101" s="927"/>
      <c r="BF101" s="927"/>
      <c r="BG101" s="927"/>
      <c r="BH101" s="927"/>
      <c r="BI101" s="927"/>
      <c r="BJ101" s="927"/>
      <c r="BK101" s="927"/>
      <c r="BL101" s="927"/>
      <c r="BM101" s="927"/>
      <c r="BN101" s="927"/>
      <c r="BO101" s="927"/>
      <c r="BP101" s="927"/>
      <c r="BQ101" s="927"/>
      <c r="BR101" s="927"/>
      <c r="BS101" s="927"/>
      <c r="BT101" s="927"/>
    </row>
    <row r="102" spans="1:72" x14ac:dyDescent="0.25">
      <c r="A102" s="927" t="s">
        <v>487</v>
      </c>
      <c r="B102" s="927"/>
      <c r="C102" s="927"/>
      <c r="D102" s="927"/>
      <c r="E102" s="927"/>
      <c r="F102" s="927"/>
      <c r="G102" s="927"/>
      <c r="H102" s="927"/>
      <c r="I102" s="927"/>
      <c r="J102" s="927"/>
      <c r="K102" s="927"/>
      <c r="L102" s="927"/>
      <c r="M102" s="927"/>
      <c r="N102" s="927"/>
      <c r="O102" s="927"/>
      <c r="P102" s="927"/>
      <c r="Q102" s="927"/>
      <c r="R102" s="927"/>
      <c r="S102" s="927"/>
      <c r="T102" s="927"/>
      <c r="U102" s="927"/>
      <c r="V102" s="927"/>
      <c r="W102" s="927"/>
      <c r="X102" s="927"/>
      <c r="Y102" s="927"/>
      <c r="Z102" s="927"/>
      <c r="AA102" s="927"/>
      <c r="AB102" s="927"/>
      <c r="AC102" s="927"/>
      <c r="AD102" s="927"/>
      <c r="AE102" s="927"/>
      <c r="AF102" s="927"/>
      <c r="AG102" s="927"/>
      <c r="AH102" s="927"/>
      <c r="AI102" s="927"/>
      <c r="AJ102" s="927"/>
      <c r="AK102" s="927"/>
      <c r="AL102" s="927"/>
      <c r="AM102" s="927"/>
      <c r="AN102" s="927"/>
      <c r="AO102" s="927"/>
      <c r="AP102" s="927"/>
      <c r="AQ102" s="927"/>
      <c r="AR102" s="927"/>
      <c r="AS102" s="927"/>
      <c r="AT102" s="927"/>
      <c r="AU102" s="927"/>
      <c r="AV102" s="927"/>
      <c r="AW102" s="927"/>
      <c r="AX102" s="927"/>
      <c r="AY102" s="927"/>
      <c r="AZ102" s="927"/>
      <c r="BA102" s="927"/>
      <c r="BB102" s="927"/>
      <c r="BC102" s="927"/>
      <c r="BD102" s="927"/>
      <c r="BE102" s="927"/>
      <c r="BF102" s="927"/>
      <c r="BG102" s="927"/>
      <c r="BH102" s="927"/>
      <c r="BI102" s="927"/>
      <c r="BJ102" s="927"/>
      <c r="BK102" s="927"/>
      <c r="BL102" s="927"/>
      <c r="BM102" s="927"/>
      <c r="BN102" s="927"/>
      <c r="BO102" s="927"/>
      <c r="BP102" s="927"/>
      <c r="BQ102" s="927"/>
      <c r="BR102" s="927"/>
      <c r="BS102" s="927"/>
      <c r="BT102" s="927"/>
    </row>
    <row r="103" spans="1:72" x14ac:dyDescent="0.25">
      <c r="A103" s="927" t="s">
        <v>617</v>
      </c>
      <c r="B103" s="927">
        <v>23.83</v>
      </c>
      <c r="C103" s="927">
        <v>29.93</v>
      </c>
      <c r="D103" s="927">
        <v>25.2</v>
      </c>
      <c r="E103" s="927">
        <v>23.89</v>
      </c>
      <c r="F103" s="927">
        <v>23.98</v>
      </c>
      <c r="G103" s="927">
        <v>25.13</v>
      </c>
      <c r="H103" s="927">
        <v>26.33</v>
      </c>
      <c r="I103" s="927">
        <v>27.29</v>
      </c>
      <c r="J103" s="927">
        <v>27.88</v>
      </c>
      <c r="K103" s="927">
        <v>28.53</v>
      </c>
      <c r="L103" s="927">
        <v>29.07</v>
      </c>
      <c r="M103" s="927">
        <v>29.65</v>
      </c>
      <c r="N103" s="927">
        <v>29.91</v>
      </c>
      <c r="O103" s="927">
        <v>30.13</v>
      </c>
      <c r="P103" s="927">
        <v>30.36</v>
      </c>
      <c r="Q103" s="927">
        <v>30.56</v>
      </c>
      <c r="R103" s="927">
        <v>30.83</v>
      </c>
      <c r="S103" s="927">
        <v>31.1</v>
      </c>
      <c r="T103" s="927">
        <v>31.36</v>
      </c>
      <c r="U103" s="927">
        <v>31.5</v>
      </c>
      <c r="V103" s="927">
        <v>31.77</v>
      </c>
      <c r="W103" s="927">
        <v>32.01</v>
      </c>
      <c r="X103" s="927">
        <v>32.36</v>
      </c>
      <c r="Y103" s="927">
        <v>32.58</v>
      </c>
      <c r="Z103" s="927">
        <v>32.93</v>
      </c>
      <c r="AA103" s="927">
        <v>33.26</v>
      </c>
      <c r="AB103" s="927">
        <v>33.64</v>
      </c>
      <c r="AC103" s="927">
        <v>34</v>
      </c>
      <c r="AD103" s="927">
        <v>34.380000000000003</v>
      </c>
      <c r="AE103" s="966">
        <v>5.0000000000000001E-3</v>
      </c>
      <c r="AF103" s="927"/>
      <c r="AG103" s="927"/>
      <c r="AH103" s="927"/>
      <c r="AI103" s="927"/>
      <c r="AJ103" s="927"/>
      <c r="AK103" s="927"/>
      <c r="AL103" s="927"/>
      <c r="AM103" s="927"/>
      <c r="AN103" s="927"/>
      <c r="AO103" s="927"/>
      <c r="AP103" s="927"/>
      <c r="AQ103" s="927"/>
      <c r="AR103" s="927"/>
      <c r="AS103" s="927"/>
      <c r="AT103" s="927"/>
      <c r="AU103" s="927"/>
      <c r="AV103" s="927"/>
      <c r="AW103" s="927"/>
      <c r="AX103" s="927"/>
      <c r="AY103" s="927"/>
      <c r="AZ103" s="927"/>
      <c r="BA103" s="927"/>
      <c r="BB103" s="927"/>
      <c r="BC103" s="927"/>
      <c r="BD103" s="927"/>
      <c r="BE103" s="927"/>
      <c r="BF103" s="927"/>
      <c r="BG103" s="927"/>
      <c r="BH103" s="927"/>
      <c r="BI103" s="927"/>
      <c r="BJ103" s="927"/>
      <c r="BK103" s="927"/>
      <c r="BL103" s="927"/>
      <c r="BM103" s="927"/>
      <c r="BN103" s="927"/>
      <c r="BO103" s="927"/>
      <c r="BP103" s="927"/>
      <c r="BQ103" s="927"/>
      <c r="BR103" s="927"/>
      <c r="BS103" s="927"/>
      <c r="BT103" s="927"/>
    </row>
    <row r="104" spans="1:72" x14ac:dyDescent="0.25">
      <c r="A104" s="927" t="s">
        <v>618</v>
      </c>
      <c r="B104" s="927">
        <v>27.43</v>
      </c>
      <c r="C104" s="927">
        <v>26.93</v>
      </c>
      <c r="D104" s="927">
        <v>23.29</v>
      </c>
      <c r="E104" s="927">
        <v>20.64</v>
      </c>
      <c r="F104" s="927">
        <v>20.97</v>
      </c>
      <c r="G104" s="927">
        <v>22.13</v>
      </c>
      <c r="H104" s="927">
        <v>24.21</v>
      </c>
      <c r="I104" s="927">
        <v>25.23</v>
      </c>
      <c r="J104" s="927">
        <v>25.55</v>
      </c>
      <c r="K104" s="927">
        <v>25.08</v>
      </c>
      <c r="L104" s="927">
        <v>25.9</v>
      </c>
      <c r="M104" s="927">
        <v>26.54</v>
      </c>
      <c r="N104" s="927">
        <v>26.68</v>
      </c>
      <c r="O104" s="927">
        <v>26.95</v>
      </c>
      <c r="P104" s="927">
        <v>27.32</v>
      </c>
      <c r="Q104" s="927">
        <v>27.82</v>
      </c>
      <c r="R104" s="927">
        <v>28.31</v>
      </c>
      <c r="S104" s="927">
        <v>28.55</v>
      </c>
      <c r="T104" s="927">
        <v>28.86</v>
      </c>
      <c r="U104" s="927">
        <v>29.22</v>
      </c>
      <c r="V104" s="927">
        <v>29.49</v>
      </c>
      <c r="W104" s="927">
        <v>30.03</v>
      </c>
      <c r="X104" s="927">
        <v>30.44</v>
      </c>
      <c r="Y104" s="927">
        <v>30.64</v>
      </c>
      <c r="Z104" s="927">
        <v>30.86</v>
      </c>
      <c r="AA104" s="927">
        <v>31.29</v>
      </c>
      <c r="AB104" s="927">
        <v>31.49</v>
      </c>
      <c r="AC104" s="927">
        <v>31.77</v>
      </c>
      <c r="AD104" s="927">
        <v>32.229999999999997</v>
      </c>
      <c r="AE104" s="966">
        <v>7.0000000000000001E-3</v>
      </c>
      <c r="AF104" s="927"/>
      <c r="AG104" s="927"/>
      <c r="AH104" s="927"/>
      <c r="AI104" s="927"/>
      <c r="AJ104" s="927"/>
      <c r="AK104" s="927"/>
      <c r="AL104" s="927"/>
      <c r="AM104" s="927"/>
      <c r="AN104" s="927"/>
      <c r="AO104" s="927"/>
      <c r="AP104" s="927"/>
      <c r="AQ104" s="927"/>
      <c r="AR104" s="927"/>
      <c r="AS104" s="927"/>
      <c r="AT104" s="927"/>
      <c r="AU104" s="927"/>
      <c r="AV104" s="927"/>
      <c r="AW104" s="927"/>
      <c r="AX104" s="927"/>
      <c r="AY104" s="927"/>
      <c r="AZ104" s="927"/>
      <c r="BA104" s="927"/>
      <c r="BB104" s="927"/>
      <c r="BC104" s="927"/>
      <c r="BD104" s="927"/>
      <c r="BE104" s="927"/>
      <c r="BF104" s="927"/>
      <c r="BG104" s="927"/>
      <c r="BH104" s="927"/>
      <c r="BI104" s="927"/>
      <c r="BJ104" s="927"/>
      <c r="BK104" s="927"/>
      <c r="BL104" s="927"/>
      <c r="BM104" s="927"/>
      <c r="BN104" s="927"/>
      <c r="BO104" s="927"/>
      <c r="BP104" s="927"/>
      <c r="BQ104" s="927"/>
      <c r="BR104" s="927"/>
      <c r="BS104" s="927"/>
      <c r="BT104" s="927"/>
    </row>
    <row r="105" spans="1:72" x14ac:dyDescent="0.25">
      <c r="A105" s="927" t="s">
        <v>619</v>
      </c>
      <c r="B105" s="927">
        <v>23.66</v>
      </c>
      <c r="C105" s="927">
        <v>26.76</v>
      </c>
      <c r="D105" s="927">
        <v>19.14</v>
      </c>
      <c r="E105" s="927">
        <v>20.55</v>
      </c>
      <c r="F105" s="927">
        <v>20.88</v>
      </c>
      <c r="G105" s="927">
        <v>22.03</v>
      </c>
      <c r="H105" s="927">
        <v>24.02</v>
      </c>
      <c r="I105" s="927">
        <v>24.94</v>
      </c>
      <c r="J105" s="927">
        <v>25.37</v>
      </c>
      <c r="K105" s="927">
        <v>25.94</v>
      </c>
      <c r="L105" s="927">
        <v>26.47</v>
      </c>
      <c r="M105" s="927">
        <v>26.89</v>
      </c>
      <c r="N105" s="927">
        <v>27.2</v>
      </c>
      <c r="O105" s="927">
        <v>27.59</v>
      </c>
      <c r="P105" s="927">
        <v>27.82</v>
      </c>
      <c r="Q105" s="927">
        <v>28.18</v>
      </c>
      <c r="R105" s="927">
        <v>28.42</v>
      </c>
      <c r="S105" s="927">
        <v>28.54</v>
      </c>
      <c r="T105" s="927">
        <v>28.87</v>
      </c>
      <c r="U105" s="927">
        <v>29.19</v>
      </c>
      <c r="V105" s="927">
        <v>29.47</v>
      </c>
      <c r="W105" s="927">
        <v>29.9</v>
      </c>
      <c r="X105" s="927">
        <v>30.27</v>
      </c>
      <c r="Y105" s="927">
        <v>30.42</v>
      </c>
      <c r="Z105" s="927">
        <v>30.77</v>
      </c>
      <c r="AA105" s="927">
        <v>31.16</v>
      </c>
      <c r="AB105" s="927">
        <v>31.44</v>
      </c>
      <c r="AC105" s="927">
        <v>31.81</v>
      </c>
      <c r="AD105" s="927">
        <v>32.33</v>
      </c>
      <c r="AE105" s="966">
        <v>7.0000000000000001E-3</v>
      </c>
      <c r="AF105" s="927"/>
      <c r="AG105" s="927"/>
      <c r="AH105" s="927"/>
      <c r="AI105" s="927"/>
      <c r="AJ105" s="927"/>
      <c r="AK105" s="927"/>
      <c r="AL105" s="927"/>
      <c r="AM105" s="927"/>
      <c r="AN105" s="927"/>
      <c r="AO105" s="927"/>
      <c r="AP105" s="927"/>
      <c r="AQ105" s="927"/>
      <c r="AR105" s="927"/>
      <c r="AS105" s="927"/>
      <c r="AT105" s="927"/>
      <c r="AU105" s="927"/>
      <c r="AV105" s="927"/>
      <c r="AW105" s="927"/>
      <c r="AX105" s="927"/>
      <c r="AY105" s="927"/>
      <c r="AZ105" s="927"/>
      <c r="BA105" s="927"/>
      <c r="BB105" s="927"/>
      <c r="BC105" s="927"/>
      <c r="BD105" s="927"/>
      <c r="BE105" s="927"/>
      <c r="BF105" s="927"/>
      <c r="BG105" s="927"/>
      <c r="BH105" s="927"/>
      <c r="BI105" s="927"/>
      <c r="BJ105" s="927"/>
      <c r="BK105" s="927"/>
      <c r="BL105" s="927"/>
      <c r="BM105" s="927"/>
      <c r="BN105" s="927"/>
      <c r="BO105" s="927"/>
      <c r="BP105" s="927"/>
      <c r="BQ105" s="927"/>
      <c r="BR105" s="927"/>
      <c r="BS105" s="927"/>
      <c r="BT105" s="927"/>
    </row>
    <row r="106" spans="1:72" x14ac:dyDescent="0.25">
      <c r="A106" s="927" t="s">
        <v>620</v>
      </c>
      <c r="B106" s="927">
        <v>15.77</v>
      </c>
      <c r="C106" s="927">
        <v>22.71</v>
      </c>
      <c r="D106" s="927">
        <v>12.73</v>
      </c>
      <c r="E106" s="927">
        <v>14.79</v>
      </c>
      <c r="F106" s="927">
        <v>15.16</v>
      </c>
      <c r="G106" s="927">
        <v>16.54</v>
      </c>
      <c r="H106" s="927">
        <v>17.690000000000001</v>
      </c>
      <c r="I106" s="927">
        <v>18.46</v>
      </c>
      <c r="J106" s="927">
        <v>19.04</v>
      </c>
      <c r="K106" s="927">
        <v>19.760000000000002</v>
      </c>
      <c r="L106" s="927">
        <v>20.41</v>
      </c>
      <c r="M106" s="927">
        <v>20.97</v>
      </c>
      <c r="N106" s="927">
        <v>21.35</v>
      </c>
      <c r="O106" s="927">
        <v>21.69</v>
      </c>
      <c r="P106" s="927">
        <v>21.85</v>
      </c>
      <c r="Q106" s="927">
        <v>22.09</v>
      </c>
      <c r="R106" s="927">
        <v>22.41</v>
      </c>
      <c r="S106" s="927">
        <v>22.61</v>
      </c>
      <c r="T106" s="927">
        <v>22.92</v>
      </c>
      <c r="U106" s="927">
        <v>23.19</v>
      </c>
      <c r="V106" s="927">
        <v>23.48</v>
      </c>
      <c r="W106" s="927">
        <v>23.9</v>
      </c>
      <c r="X106" s="927">
        <v>24.26</v>
      </c>
      <c r="Y106" s="927">
        <v>24.51</v>
      </c>
      <c r="Z106" s="927">
        <v>24.9</v>
      </c>
      <c r="AA106" s="927">
        <v>25.3</v>
      </c>
      <c r="AB106" s="927">
        <v>25.64</v>
      </c>
      <c r="AC106" s="927">
        <v>26.05</v>
      </c>
      <c r="AD106" s="927">
        <v>26.48</v>
      </c>
      <c r="AE106" s="966">
        <v>6.0000000000000001E-3</v>
      </c>
      <c r="AF106" s="927"/>
      <c r="AG106" s="927"/>
      <c r="AH106" s="927"/>
      <c r="AI106" s="927"/>
      <c r="AJ106" s="927"/>
      <c r="AK106" s="927"/>
      <c r="AL106" s="927"/>
      <c r="AM106" s="927"/>
      <c r="AN106" s="927"/>
      <c r="AO106" s="927"/>
      <c r="AP106" s="927"/>
      <c r="AQ106" s="927"/>
      <c r="AR106" s="927"/>
      <c r="AS106" s="927"/>
      <c r="AT106" s="927"/>
      <c r="AU106" s="927"/>
      <c r="AV106" s="927"/>
      <c r="AW106" s="927"/>
      <c r="AX106" s="927"/>
      <c r="AY106" s="927"/>
      <c r="AZ106" s="927"/>
      <c r="BA106" s="927"/>
      <c r="BB106" s="927"/>
      <c r="BC106" s="927"/>
      <c r="BD106" s="927"/>
      <c r="BE106" s="927"/>
      <c r="BF106" s="927"/>
      <c r="BG106" s="927"/>
      <c r="BH106" s="927"/>
      <c r="BI106" s="927"/>
      <c r="BJ106" s="927"/>
      <c r="BK106" s="927"/>
      <c r="BL106" s="927"/>
      <c r="BM106" s="927"/>
      <c r="BN106" s="927"/>
      <c r="BO106" s="927"/>
      <c r="BP106" s="927"/>
      <c r="BQ106" s="927"/>
      <c r="BR106" s="927"/>
      <c r="BS106" s="927"/>
      <c r="BT106" s="927"/>
    </row>
    <row r="107" spans="1:72" x14ac:dyDescent="0.25">
      <c r="A107" s="927" t="s">
        <v>724</v>
      </c>
      <c r="B107" s="927">
        <v>21.55</v>
      </c>
      <c r="C107" s="927">
        <v>27.65</v>
      </c>
      <c r="D107" s="927">
        <v>17.77</v>
      </c>
      <c r="E107" s="927">
        <v>19.12</v>
      </c>
      <c r="F107" s="927">
        <v>19.309999999999999</v>
      </c>
      <c r="G107" s="927">
        <v>20.51</v>
      </c>
      <c r="H107" s="927">
        <v>21.54</v>
      </c>
      <c r="I107" s="927">
        <v>22.25</v>
      </c>
      <c r="J107" s="927">
        <v>22.93</v>
      </c>
      <c r="K107" s="927">
        <v>23.68</v>
      </c>
      <c r="L107" s="927">
        <v>24.26</v>
      </c>
      <c r="M107" s="927">
        <v>24.91</v>
      </c>
      <c r="N107" s="927">
        <v>25.29</v>
      </c>
      <c r="O107" s="927">
        <v>25.6</v>
      </c>
      <c r="P107" s="927">
        <v>25.79</v>
      </c>
      <c r="Q107" s="927">
        <v>26.12</v>
      </c>
      <c r="R107" s="927">
        <v>26.26</v>
      </c>
      <c r="S107" s="927">
        <v>26.34</v>
      </c>
      <c r="T107" s="927">
        <v>26.63</v>
      </c>
      <c r="U107" s="927">
        <v>26.83</v>
      </c>
      <c r="V107" s="927">
        <v>27.09</v>
      </c>
      <c r="W107" s="927">
        <v>27.4</v>
      </c>
      <c r="X107" s="927">
        <v>27.8</v>
      </c>
      <c r="Y107" s="927">
        <v>27.96</v>
      </c>
      <c r="Z107" s="927">
        <v>28.38</v>
      </c>
      <c r="AA107" s="927">
        <v>28.78</v>
      </c>
      <c r="AB107" s="927">
        <v>29.09</v>
      </c>
      <c r="AC107" s="927">
        <v>29.49</v>
      </c>
      <c r="AD107" s="927">
        <v>29.96</v>
      </c>
      <c r="AE107" s="966">
        <v>3.0000000000000001E-3</v>
      </c>
      <c r="AF107" s="927"/>
      <c r="AG107" s="927"/>
      <c r="AH107" s="927"/>
      <c r="AI107" s="927"/>
      <c r="AJ107" s="927"/>
      <c r="AK107" s="927"/>
      <c r="AL107" s="927"/>
      <c r="AM107" s="927"/>
      <c r="AN107" s="927"/>
      <c r="AO107" s="927"/>
      <c r="AP107" s="927"/>
      <c r="AQ107" s="927"/>
      <c r="AR107" s="927"/>
      <c r="AS107" s="927"/>
      <c r="AT107" s="927"/>
      <c r="AU107" s="927"/>
      <c r="AV107" s="927"/>
      <c r="AW107" s="927"/>
      <c r="AX107" s="927"/>
      <c r="AY107" s="927"/>
      <c r="AZ107" s="927"/>
      <c r="BA107" s="927"/>
      <c r="BB107" s="927"/>
      <c r="BC107" s="927"/>
      <c r="BD107" s="927"/>
      <c r="BE107" s="927"/>
      <c r="BF107" s="927"/>
      <c r="BG107" s="927"/>
      <c r="BH107" s="927"/>
      <c r="BI107" s="927"/>
      <c r="BJ107" s="927"/>
      <c r="BK107" s="927"/>
      <c r="BL107" s="927"/>
      <c r="BM107" s="927"/>
      <c r="BN107" s="927"/>
      <c r="BO107" s="927"/>
      <c r="BP107" s="927"/>
      <c r="BQ107" s="927"/>
      <c r="BR107" s="927"/>
      <c r="BS107" s="927"/>
      <c r="BT107" s="927"/>
    </row>
    <row r="108" spans="1:72" x14ac:dyDescent="0.25">
      <c r="A108" s="927" t="s">
        <v>611</v>
      </c>
      <c r="B108" s="927">
        <v>9.19</v>
      </c>
      <c r="C108" s="927">
        <v>14.49</v>
      </c>
      <c r="D108" s="927">
        <v>8.86</v>
      </c>
      <c r="E108" s="927">
        <v>10.210000000000001</v>
      </c>
      <c r="F108" s="927">
        <v>10.32</v>
      </c>
      <c r="G108" s="927">
        <v>11.5</v>
      </c>
      <c r="H108" s="927">
        <v>12.44</v>
      </c>
      <c r="I108" s="927">
        <v>13.18</v>
      </c>
      <c r="J108" s="927">
        <v>13.58</v>
      </c>
      <c r="K108" s="927">
        <v>13.9</v>
      </c>
      <c r="L108" s="927">
        <v>14.43</v>
      </c>
      <c r="M108" s="927">
        <v>14.81</v>
      </c>
      <c r="N108" s="927">
        <v>14.97</v>
      </c>
      <c r="O108" s="927">
        <v>14.99</v>
      </c>
      <c r="P108" s="927">
        <v>15.23</v>
      </c>
      <c r="Q108" s="927">
        <v>15.34</v>
      </c>
      <c r="R108" s="927">
        <v>15.55</v>
      </c>
      <c r="S108" s="927">
        <v>15.75</v>
      </c>
      <c r="T108" s="927">
        <v>15.93</v>
      </c>
      <c r="U108" s="927">
        <v>15.98</v>
      </c>
      <c r="V108" s="927">
        <v>16.27</v>
      </c>
      <c r="W108" s="927">
        <v>16.5</v>
      </c>
      <c r="X108" s="927">
        <v>16.8</v>
      </c>
      <c r="Y108" s="927">
        <v>17.100000000000001</v>
      </c>
      <c r="Z108" s="927">
        <v>17.420000000000002</v>
      </c>
      <c r="AA108" s="927">
        <v>17.690000000000001</v>
      </c>
      <c r="AB108" s="927">
        <v>17.93</v>
      </c>
      <c r="AC108" s="927">
        <v>18.239999999999998</v>
      </c>
      <c r="AD108" s="927">
        <v>18.600000000000001</v>
      </c>
      <c r="AE108" s="966">
        <v>8.9999999999999993E-3</v>
      </c>
      <c r="AF108" s="927"/>
      <c r="AG108" s="927"/>
      <c r="AH108" s="927"/>
      <c r="AI108" s="927"/>
      <c r="AJ108" s="927"/>
      <c r="AK108" s="927"/>
      <c r="AL108" s="927"/>
      <c r="AM108" s="927"/>
      <c r="AN108" s="927"/>
      <c r="AO108" s="927"/>
      <c r="AP108" s="927"/>
      <c r="AQ108" s="927"/>
      <c r="AR108" s="927"/>
      <c r="AS108" s="927"/>
      <c r="AT108" s="927"/>
      <c r="AU108" s="927"/>
      <c r="AV108" s="927"/>
      <c r="AW108" s="927"/>
      <c r="AX108" s="927"/>
      <c r="AY108" s="927"/>
      <c r="AZ108" s="927"/>
      <c r="BA108" s="927"/>
      <c r="BB108" s="927"/>
      <c r="BC108" s="927"/>
      <c r="BD108" s="927"/>
      <c r="BE108" s="927"/>
      <c r="BF108" s="927"/>
      <c r="BG108" s="927"/>
      <c r="BH108" s="927"/>
      <c r="BI108" s="927"/>
      <c r="BJ108" s="927"/>
      <c r="BK108" s="927"/>
      <c r="BL108" s="927"/>
      <c r="BM108" s="927"/>
      <c r="BN108" s="927"/>
      <c r="BO108" s="927"/>
      <c r="BP108" s="927"/>
      <c r="BQ108" s="927"/>
      <c r="BR108" s="927"/>
      <c r="BS108" s="927"/>
      <c r="BT108" s="927"/>
    </row>
    <row r="109" spans="1:72" x14ac:dyDescent="0.25">
      <c r="A109" s="927" t="s">
        <v>622</v>
      </c>
      <c r="B109" s="927">
        <v>13.84</v>
      </c>
      <c r="C109" s="927">
        <v>15.96</v>
      </c>
      <c r="D109" s="927">
        <v>11.36</v>
      </c>
      <c r="E109" s="927">
        <v>12</v>
      </c>
      <c r="F109" s="927">
        <v>13.09</v>
      </c>
      <c r="G109" s="927">
        <v>13.49</v>
      </c>
      <c r="H109" s="927">
        <v>13.36</v>
      </c>
      <c r="I109" s="927">
        <v>13.25</v>
      </c>
      <c r="J109" s="927">
        <v>13.37</v>
      </c>
      <c r="K109" s="927">
        <v>13.41</v>
      </c>
      <c r="L109" s="927">
        <v>13.38</v>
      </c>
      <c r="M109" s="927">
        <v>13.37</v>
      </c>
      <c r="N109" s="927">
        <v>13.38</v>
      </c>
      <c r="O109" s="927">
        <v>13.44</v>
      </c>
      <c r="P109" s="927">
        <v>13.46</v>
      </c>
      <c r="Q109" s="927">
        <v>13.58</v>
      </c>
      <c r="R109" s="927">
        <v>13.54</v>
      </c>
      <c r="S109" s="927">
        <v>13.41</v>
      </c>
      <c r="T109" s="927">
        <v>13.43</v>
      </c>
      <c r="U109" s="927">
        <v>13.54</v>
      </c>
      <c r="V109" s="927">
        <v>13.65</v>
      </c>
      <c r="W109" s="927">
        <v>13.83</v>
      </c>
      <c r="X109" s="927">
        <v>14</v>
      </c>
      <c r="Y109" s="927">
        <v>14.19</v>
      </c>
      <c r="Z109" s="927">
        <v>14.46</v>
      </c>
      <c r="AA109" s="927">
        <v>14.54</v>
      </c>
      <c r="AB109" s="927">
        <v>14.55</v>
      </c>
      <c r="AC109" s="927">
        <v>14.7</v>
      </c>
      <c r="AD109" s="927">
        <v>14.78</v>
      </c>
      <c r="AE109" s="966">
        <v>-3.0000000000000001E-3</v>
      </c>
      <c r="AF109" s="927"/>
      <c r="AG109" s="927"/>
      <c r="AH109" s="927"/>
      <c r="AI109" s="927"/>
      <c r="AJ109" s="927"/>
      <c r="AK109" s="927"/>
      <c r="AL109" s="927"/>
      <c r="AM109" s="927"/>
      <c r="AN109" s="927"/>
      <c r="AO109" s="927"/>
      <c r="AP109" s="927"/>
      <c r="AQ109" s="927"/>
      <c r="AR109" s="927"/>
      <c r="AS109" s="927"/>
      <c r="AT109" s="927"/>
      <c r="AU109" s="927"/>
      <c r="AV109" s="927"/>
      <c r="AW109" s="927"/>
      <c r="AX109" s="927"/>
      <c r="AY109" s="927"/>
      <c r="AZ109" s="927"/>
      <c r="BA109" s="927"/>
      <c r="BB109" s="927"/>
      <c r="BC109" s="927"/>
      <c r="BD109" s="927"/>
      <c r="BE109" s="927"/>
      <c r="BF109" s="927"/>
      <c r="BG109" s="927"/>
      <c r="BH109" s="927"/>
      <c r="BI109" s="927"/>
      <c r="BJ109" s="927"/>
      <c r="BK109" s="927"/>
      <c r="BL109" s="927"/>
      <c r="BM109" s="927"/>
      <c r="BN109" s="927"/>
      <c r="BO109" s="927"/>
      <c r="BP109" s="927"/>
      <c r="BQ109" s="927"/>
      <c r="BR109" s="927"/>
      <c r="BS109" s="927"/>
      <c r="BT109" s="927"/>
    </row>
    <row r="110" spans="1:72" x14ac:dyDescent="0.25">
      <c r="A110" s="927" t="s">
        <v>479</v>
      </c>
      <c r="B110" s="927">
        <v>32.03</v>
      </c>
      <c r="C110" s="927">
        <v>33.729999999999997</v>
      </c>
      <c r="D110" s="927">
        <v>32.299999999999997</v>
      </c>
      <c r="E110" s="927">
        <v>30.29</v>
      </c>
      <c r="F110" s="927">
        <v>27.63</v>
      </c>
      <c r="G110" s="927">
        <v>29.66</v>
      </c>
      <c r="H110" s="927">
        <v>29.72</v>
      </c>
      <c r="I110" s="927">
        <v>29.07</v>
      </c>
      <c r="J110" s="927">
        <v>28.79</v>
      </c>
      <c r="K110" s="927">
        <v>29.01</v>
      </c>
      <c r="L110" s="927">
        <v>29.04</v>
      </c>
      <c r="M110" s="927">
        <v>28.87</v>
      </c>
      <c r="N110" s="927">
        <v>28.59</v>
      </c>
      <c r="O110" s="927">
        <v>28.55</v>
      </c>
      <c r="P110" s="927">
        <v>28.54</v>
      </c>
      <c r="Q110" s="927">
        <v>28.43</v>
      </c>
      <c r="R110" s="927">
        <v>28.48</v>
      </c>
      <c r="S110" s="927">
        <v>28.64</v>
      </c>
      <c r="T110" s="927">
        <v>28.63</v>
      </c>
      <c r="U110" s="927">
        <v>28.88</v>
      </c>
      <c r="V110" s="927">
        <v>29.32</v>
      </c>
      <c r="W110" s="927">
        <v>29.79</v>
      </c>
      <c r="X110" s="927">
        <v>30.51</v>
      </c>
      <c r="Y110" s="927">
        <v>31.01</v>
      </c>
      <c r="Z110" s="927">
        <v>31.61</v>
      </c>
      <c r="AA110" s="927">
        <v>32.15</v>
      </c>
      <c r="AB110" s="927">
        <v>32.47</v>
      </c>
      <c r="AC110" s="927">
        <v>32.89</v>
      </c>
      <c r="AD110" s="927">
        <v>33.26</v>
      </c>
      <c r="AE110" s="966">
        <v>-1E-3</v>
      </c>
      <c r="AF110" s="927"/>
      <c r="AG110" s="927"/>
      <c r="AH110" s="927"/>
      <c r="AI110" s="927"/>
      <c r="AJ110" s="927"/>
      <c r="AK110" s="927"/>
      <c r="AL110" s="927"/>
      <c r="AM110" s="927"/>
      <c r="AN110" s="927"/>
      <c r="AO110" s="927"/>
      <c r="AP110" s="927"/>
      <c r="AQ110" s="927"/>
      <c r="AR110" s="927"/>
      <c r="AS110" s="927"/>
      <c r="AT110" s="927"/>
      <c r="AU110" s="927"/>
      <c r="AV110" s="927"/>
      <c r="AW110" s="927"/>
      <c r="AX110" s="927"/>
      <c r="AY110" s="927"/>
      <c r="AZ110" s="927"/>
      <c r="BA110" s="927"/>
      <c r="BB110" s="927"/>
      <c r="BC110" s="927"/>
      <c r="BD110" s="927"/>
      <c r="BE110" s="927"/>
      <c r="BF110" s="927"/>
      <c r="BG110" s="927"/>
      <c r="BH110" s="927"/>
      <c r="BI110" s="927"/>
      <c r="BJ110" s="927"/>
      <c r="BK110" s="927"/>
      <c r="BL110" s="927"/>
      <c r="BM110" s="927"/>
      <c r="BN110" s="927"/>
      <c r="BO110" s="927"/>
      <c r="BP110" s="927"/>
      <c r="BQ110" s="927"/>
      <c r="BR110" s="927"/>
      <c r="BS110" s="927"/>
      <c r="BT110" s="927"/>
    </row>
    <row r="111" spans="1:72" x14ac:dyDescent="0.25">
      <c r="A111" s="927"/>
      <c r="B111" s="927"/>
      <c r="C111" s="927"/>
      <c r="D111" s="927"/>
      <c r="E111" s="927"/>
      <c r="F111" s="927"/>
      <c r="G111" s="927"/>
      <c r="H111" s="927"/>
      <c r="I111" s="927"/>
      <c r="J111" s="927"/>
      <c r="K111" s="927"/>
      <c r="L111" s="927"/>
      <c r="M111" s="927"/>
      <c r="N111" s="927"/>
      <c r="O111" s="927"/>
      <c r="P111" s="927"/>
      <c r="Q111" s="927"/>
      <c r="R111" s="927"/>
      <c r="S111" s="927"/>
      <c r="T111" s="927"/>
      <c r="U111" s="927"/>
      <c r="V111" s="927"/>
      <c r="W111" s="927"/>
      <c r="X111" s="927"/>
      <c r="Y111" s="927"/>
      <c r="Z111" s="927"/>
      <c r="AA111" s="927"/>
      <c r="AB111" s="927"/>
      <c r="AC111" s="927"/>
      <c r="AD111" s="927"/>
      <c r="AE111" s="927"/>
      <c r="AF111" s="927"/>
      <c r="AG111" s="927"/>
      <c r="AH111" s="927"/>
      <c r="AI111" s="927"/>
      <c r="AJ111" s="927"/>
      <c r="AK111" s="927"/>
      <c r="AL111" s="927"/>
      <c r="AM111" s="927"/>
      <c r="AN111" s="927"/>
      <c r="AO111" s="927"/>
      <c r="AP111" s="927"/>
      <c r="AQ111" s="927"/>
      <c r="AR111" s="927"/>
      <c r="AS111" s="927"/>
      <c r="AT111" s="927"/>
      <c r="AU111" s="927"/>
      <c r="AV111" s="927"/>
      <c r="AW111" s="927"/>
      <c r="AX111" s="927"/>
      <c r="AY111" s="927"/>
      <c r="AZ111" s="927"/>
      <c r="BA111" s="927"/>
      <c r="BB111" s="927"/>
      <c r="BC111" s="927"/>
      <c r="BD111" s="927"/>
      <c r="BE111" s="927"/>
      <c r="BF111" s="927"/>
      <c r="BG111" s="927"/>
      <c r="BH111" s="927"/>
      <c r="BI111" s="927"/>
      <c r="BJ111" s="927"/>
      <c r="BK111" s="927"/>
      <c r="BL111" s="927"/>
      <c r="BM111" s="927"/>
      <c r="BN111" s="927"/>
      <c r="BO111" s="927"/>
      <c r="BP111" s="927"/>
      <c r="BQ111" s="927"/>
      <c r="BR111" s="927"/>
      <c r="BS111" s="927"/>
      <c r="BT111" s="927"/>
    </row>
    <row r="112" spans="1:72" x14ac:dyDescent="0.25">
      <c r="A112" s="927" t="s">
        <v>623</v>
      </c>
      <c r="B112" s="927"/>
      <c r="C112" s="927"/>
      <c r="D112" s="927"/>
      <c r="E112" s="927"/>
      <c r="F112" s="927"/>
      <c r="G112" s="927"/>
      <c r="H112" s="927"/>
      <c r="I112" s="927"/>
      <c r="J112" s="927"/>
      <c r="K112" s="927"/>
      <c r="L112" s="927"/>
      <c r="M112" s="927"/>
      <c r="N112" s="927"/>
      <c r="O112" s="927"/>
      <c r="P112" s="927"/>
      <c r="Q112" s="927"/>
      <c r="R112" s="927"/>
      <c r="S112" s="927"/>
      <c r="T112" s="927"/>
      <c r="U112" s="927"/>
      <c r="V112" s="927"/>
      <c r="W112" s="927"/>
      <c r="X112" s="927"/>
      <c r="Y112" s="927"/>
      <c r="Z112" s="927"/>
      <c r="AA112" s="927"/>
      <c r="AB112" s="927"/>
      <c r="AC112" s="927"/>
      <c r="AD112" s="927"/>
      <c r="AE112" s="927"/>
      <c r="AF112" s="927"/>
      <c r="AG112" s="927"/>
      <c r="AH112" s="927"/>
      <c r="AI112" s="927"/>
      <c r="AJ112" s="927"/>
      <c r="AK112" s="927"/>
      <c r="AL112" s="927"/>
      <c r="AM112" s="927"/>
      <c r="AN112" s="927"/>
      <c r="AO112" s="927"/>
      <c r="AP112" s="927"/>
      <c r="AQ112" s="927"/>
      <c r="AR112" s="927"/>
      <c r="AS112" s="927"/>
      <c r="AT112" s="927"/>
      <c r="AU112" s="927"/>
      <c r="AV112" s="927"/>
      <c r="AW112" s="927"/>
      <c r="AX112" s="927"/>
      <c r="AY112" s="927"/>
      <c r="AZ112" s="927"/>
      <c r="BA112" s="927"/>
      <c r="BB112" s="927"/>
      <c r="BC112" s="927"/>
      <c r="BD112" s="927"/>
      <c r="BE112" s="927"/>
      <c r="BF112" s="927"/>
      <c r="BG112" s="927"/>
      <c r="BH112" s="927"/>
      <c r="BI112" s="927"/>
      <c r="BJ112" s="927"/>
      <c r="BK112" s="927"/>
      <c r="BL112" s="927"/>
      <c r="BM112" s="927"/>
      <c r="BN112" s="927"/>
      <c r="BO112" s="927"/>
      <c r="BP112" s="927"/>
      <c r="BQ112" s="927"/>
      <c r="BR112" s="927"/>
      <c r="BS112" s="927"/>
      <c r="BT112" s="927"/>
    </row>
    <row r="113" spans="1:72" x14ac:dyDescent="0.25">
      <c r="A113" s="927" t="s">
        <v>610</v>
      </c>
      <c r="B113" s="927">
        <v>15.75</v>
      </c>
      <c r="C113" s="927">
        <v>19.37</v>
      </c>
      <c r="D113" s="927">
        <v>14.24</v>
      </c>
      <c r="E113" s="927">
        <v>13.91</v>
      </c>
      <c r="F113" s="927">
        <v>14.06</v>
      </c>
      <c r="G113" s="927">
        <v>15.2</v>
      </c>
      <c r="H113" s="927">
        <v>16.21</v>
      </c>
      <c r="I113" s="927">
        <v>16.89</v>
      </c>
      <c r="J113" s="927">
        <v>17.36</v>
      </c>
      <c r="K113" s="927">
        <v>18.22</v>
      </c>
      <c r="L113" s="927">
        <v>18.88</v>
      </c>
      <c r="M113" s="927">
        <v>19.510000000000002</v>
      </c>
      <c r="N113" s="927">
        <v>19.920000000000002</v>
      </c>
      <c r="O113" s="927">
        <v>20.25</v>
      </c>
      <c r="P113" s="927">
        <v>20.399999999999999</v>
      </c>
      <c r="Q113" s="927">
        <v>20.58</v>
      </c>
      <c r="R113" s="927">
        <v>20.89</v>
      </c>
      <c r="S113" s="927">
        <v>21.07</v>
      </c>
      <c r="T113" s="927">
        <v>21.35</v>
      </c>
      <c r="U113" s="927">
        <v>21.6</v>
      </c>
      <c r="V113" s="927">
        <v>21.83</v>
      </c>
      <c r="W113" s="927">
        <v>22.14</v>
      </c>
      <c r="X113" s="927">
        <v>22.54</v>
      </c>
      <c r="Y113" s="927">
        <v>22.71</v>
      </c>
      <c r="Z113" s="927">
        <v>23.14</v>
      </c>
      <c r="AA113" s="927">
        <v>23.54</v>
      </c>
      <c r="AB113" s="927">
        <v>23.87</v>
      </c>
      <c r="AC113" s="927">
        <v>24.28</v>
      </c>
      <c r="AD113" s="927">
        <v>24.7</v>
      </c>
      <c r="AE113" s="966">
        <v>8.9999999999999993E-3</v>
      </c>
      <c r="AF113" s="927"/>
      <c r="AG113" s="927"/>
      <c r="AH113" s="927"/>
      <c r="AI113" s="927"/>
      <c r="AJ113" s="927"/>
      <c r="AK113" s="927"/>
      <c r="AL113" s="927"/>
      <c r="AM113" s="927"/>
      <c r="AN113" s="927"/>
      <c r="AO113" s="927"/>
      <c r="AP113" s="927"/>
      <c r="AQ113" s="927"/>
      <c r="AR113" s="927"/>
      <c r="AS113" s="927"/>
      <c r="AT113" s="927"/>
      <c r="AU113" s="927"/>
      <c r="AV113" s="927"/>
      <c r="AW113" s="927"/>
      <c r="AX113" s="927"/>
      <c r="AY113" s="927"/>
      <c r="AZ113" s="927"/>
      <c r="BA113" s="927"/>
      <c r="BB113" s="927"/>
      <c r="BC113" s="927"/>
      <c r="BD113" s="927"/>
      <c r="BE113" s="927"/>
      <c r="BF113" s="927"/>
      <c r="BG113" s="927"/>
      <c r="BH113" s="927"/>
      <c r="BI113" s="927"/>
      <c r="BJ113" s="927"/>
      <c r="BK113" s="927"/>
      <c r="BL113" s="927"/>
      <c r="BM113" s="927"/>
      <c r="BN113" s="927"/>
      <c r="BO113" s="927"/>
      <c r="BP113" s="927"/>
      <c r="BQ113" s="927"/>
      <c r="BR113" s="927"/>
      <c r="BS113" s="927"/>
      <c r="BT113" s="927"/>
    </row>
    <row r="114" spans="1:72" x14ac:dyDescent="0.25">
      <c r="A114" s="927" t="s">
        <v>611</v>
      </c>
      <c r="B114" s="927">
        <v>9.0399999999999991</v>
      </c>
      <c r="C114" s="927">
        <v>14.56</v>
      </c>
      <c r="D114" s="927">
        <v>8.7799999999999994</v>
      </c>
      <c r="E114" s="927">
        <v>12</v>
      </c>
      <c r="F114" s="927">
        <v>12.17</v>
      </c>
      <c r="G114" s="927">
        <v>13.34</v>
      </c>
      <c r="H114" s="927">
        <v>14.37</v>
      </c>
      <c r="I114" s="927">
        <v>15.11</v>
      </c>
      <c r="J114" s="927">
        <v>15.53</v>
      </c>
      <c r="K114" s="927">
        <v>15.93</v>
      </c>
      <c r="L114" s="927">
        <v>16.45</v>
      </c>
      <c r="M114" s="927">
        <v>16.89</v>
      </c>
      <c r="N114" s="927">
        <v>17.14</v>
      </c>
      <c r="O114" s="927">
        <v>17.22</v>
      </c>
      <c r="P114" s="927">
        <v>17.47</v>
      </c>
      <c r="Q114" s="927">
        <v>17.63</v>
      </c>
      <c r="R114" s="927">
        <v>17.850000000000001</v>
      </c>
      <c r="S114" s="927">
        <v>18.079999999999998</v>
      </c>
      <c r="T114" s="927">
        <v>18.3</v>
      </c>
      <c r="U114" s="927">
        <v>18.38</v>
      </c>
      <c r="V114" s="927">
        <v>18.68</v>
      </c>
      <c r="W114" s="927">
        <v>18.940000000000001</v>
      </c>
      <c r="X114" s="927">
        <v>19.23</v>
      </c>
      <c r="Y114" s="927">
        <v>19.55</v>
      </c>
      <c r="Z114" s="927">
        <v>19.899999999999999</v>
      </c>
      <c r="AA114" s="927">
        <v>20.190000000000001</v>
      </c>
      <c r="AB114" s="927">
        <v>20.43</v>
      </c>
      <c r="AC114" s="927">
        <v>20.77</v>
      </c>
      <c r="AD114" s="927">
        <v>21.12</v>
      </c>
      <c r="AE114" s="966">
        <v>1.4E-2</v>
      </c>
      <c r="AF114" s="927"/>
      <c r="AG114" s="927"/>
      <c r="AH114" s="927"/>
      <c r="AI114" s="927"/>
      <c r="AJ114" s="927"/>
      <c r="AK114" s="927"/>
      <c r="AL114" s="927"/>
      <c r="AM114" s="927"/>
      <c r="AN114" s="927"/>
      <c r="AO114" s="927"/>
      <c r="AP114" s="927"/>
      <c r="AQ114" s="927"/>
      <c r="AR114" s="927"/>
      <c r="AS114" s="927"/>
      <c r="AT114" s="927"/>
      <c r="AU114" s="927"/>
      <c r="AV114" s="927"/>
      <c r="AW114" s="927"/>
      <c r="AX114" s="927"/>
      <c r="AY114" s="927"/>
      <c r="AZ114" s="927"/>
      <c r="BA114" s="927"/>
      <c r="BB114" s="927"/>
      <c r="BC114" s="927"/>
      <c r="BD114" s="927"/>
      <c r="BE114" s="927"/>
      <c r="BF114" s="927"/>
      <c r="BG114" s="927"/>
      <c r="BH114" s="927"/>
      <c r="BI114" s="927"/>
      <c r="BJ114" s="927"/>
      <c r="BK114" s="927"/>
      <c r="BL114" s="927"/>
      <c r="BM114" s="927"/>
      <c r="BN114" s="927"/>
      <c r="BO114" s="927"/>
      <c r="BP114" s="927"/>
      <c r="BQ114" s="927"/>
      <c r="BR114" s="927"/>
      <c r="BS114" s="927"/>
      <c r="BT114" s="927"/>
    </row>
    <row r="115" spans="1:72" x14ac:dyDescent="0.25">
      <c r="A115" s="927" t="s">
        <v>510</v>
      </c>
      <c r="B115" s="927">
        <v>7.26</v>
      </c>
      <c r="C115" s="927">
        <v>9.09</v>
      </c>
      <c r="D115" s="927">
        <v>4.1399999999999997</v>
      </c>
      <c r="E115" s="927">
        <v>4.8499999999999996</v>
      </c>
      <c r="F115" s="927">
        <v>5.82</v>
      </c>
      <c r="G115" s="927">
        <v>6.17</v>
      </c>
      <c r="H115" s="927">
        <v>5.94</v>
      </c>
      <c r="I115" s="927">
        <v>5.9</v>
      </c>
      <c r="J115" s="927">
        <v>6.08</v>
      </c>
      <c r="K115" s="927">
        <v>6.16</v>
      </c>
      <c r="L115" s="927">
        <v>6.17</v>
      </c>
      <c r="M115" s="927">
        <v>6.22</v>
      </c>
      <c r="N115" s="927">
        <v>6.29</v>
      </c>
      <c r="O115" s="927">
        <v>6.42</v>
      </c>
      <c r="P115" s="927">
        <v>6.52</v>
      </c>
      <c r="Q115" s="927">
        <v>6.69</v>
      </c>
      <c r="R115" s="927">
        <v>6.74</v>
      </c>
      <c r="S115" s="927">
        <v>6.7</v>
      </c>
      <c r="T115" s="927">
        <v>6.75</v>
      </c>
      <c r="U115" s="927">
        <v>6.91</v>
      </c>
      <c r="V115" s="927">
        <v>7.05</v>
      </c>
      <c r="W115" s="927">
        <v>7.27</v>
      </c>
      <c r="X115" s="927">
        <v>7.51</v>
      </c>
      <c r="Y115" s="927">
        <v>7.73</v>
      </c>
      <c r="Z115" s="927">
        <v>8.02</v>
      </c>
      <c r="AA115" s="927">
        <v>8.14</v>
      </c>
      <c r="AB115" s="927">
        <v>8.17</v>
      </c>
      <c r="AC115" s="927">
        <v>8.35</v>
      </c>
      <c r="AD115" s="927">
        <v>8.4600000000000009</v>
      </c>
      <c r="AE115" s="966">
        <v>-3.0000000000000001E-3</v>
      </c>
      <c r="AF115" s="927"/>
      <c r="AG115" s="927"/>
      <c r="AH115" s="927"/>
      <c r="AI115" s="927"/>
      <c r="AJ115" s="927"/>
      <c r="AK115" s="927"/>
      <c r="AL115" s="927"/>
      <c r="AM115" s="927"/>
      <c r="AN115" s="927"/>
      <c r="AO115" s="927"/>
      <c r="AP115" s="927"/>
      <c r="AQ115" s="927"/>
      <c r="AR115" s="927"/>
      <c r="AS115" s="927"/>
      <c r="AT115" s="927"/>
      <c r="AU115" s="927"/>
      <c r="AV115" s="927"/>
      <c r="AW115" s="927"/>
      <c r="AX115" s="927"/>
      <c r="AY115" s="927"/>
      <c r="AZ115" s="927"/>
      <c r="BA115" s="927"/>
      <c r="BB115" s="927"/>
      <c r="BC115" s="927"/>
      <c r="BD115" s="927"/>
      <c r="BE115" s="927"/>
      <c r="BF115" s="927"/>
      <c r="BG115" s="927"/>
      <c r="BH115" s="927"/>
      <c r="BI115" s="927"/>
      <c r="BJ115" s="927"/>
      <c r="BK115" s="927"/>
      <c r="BL115" s="927"/>
      <c r="BM115" s="927"/>
      <c r="BN115" s="927"/>
      <c r="BO115" s="927"/>
      <c r="BP115" s="927"/>
      <c r="BQ115" s="927"/>
      <c r="BR115" s="927"/>
      <c r="BS115" s="927"/>
      <c r="BT115" s="927"/>
    </row>
    <row r="116" spans="1:72" x14ac:dyDescent="0.25">
      <c r="A116" s="927" t="s">
        <v>624</v>
      </c>
      <c r="B116" s="927">
        <v>1.8</v>
      </c>
      <c r="C116" s="927">
        <v>2.0499999999999998</v>
      </c>
      <c r="D116" s="927">
        <v>2.15</v>
      </c>
      <c r="E116" s="927">
        <v>1.99</v>
      </c>
      <c r="F116" s="927">
        <v>1.98</v>
      </c>
      <c r="G116" s="927">
        <v>1.99</v>
      </c>
      <c r="H116" s="927">
        <v>1.99</v>
      </c>
      <c r="I116" s="927">
        <v>1.99</v>
      </c>
      <c r="J116" s="927">
        <v>2.0099999999999998</v>
      </c>
      <c r="K116" s="927">
        <v>1.99</v>
      </c>
      <c r="L116" s="927">
        <v>2</v>
      </c>
      <c r="M116" s="927">
        <v>1.99</v>
      </c>
      <c r="N116" s="927">
        <v>1.99</v>
      </c>
      <c r="O116" s="927">
        <v>1.98</v>
      </c>
      <c r="P116" s="927">
        <v>1.98</v>
      </c>
      <c r="Q116" s="927">
        <v>1.99</v>
      </c>
      <c r="R116" s="927">
        <v>1.99</v>
      </c>
      <c r="S116" s="927">
        <v>1.99</v>
      </c>
      <c r="T116" s="927">
        <v>1.99</v>
      </c>
      <c r="U116" s="927">
        <v>2</v>
      </c>
      <c r="V116" s="927">
        <v>2</v>
      </c>
      <c r="W116" s="927">
        <v>2.0099999999999998</v>
      </c>
      <c r="X116" s="927">
        <v>2.02</v>
      </c>
      <c r="Y116" s="927">
        <v>2.0299999999999998</v>
      </c>
      <c r="Z116" s="927">
        <v>2.04</v>
      </c>
      <c r="AA116" s="927">
        <v>2.0499999999999998</v>
      </c>
      <c r="AB116" s="927">
        <v>2.06</v>
      </c>
      <c r="AC116" s="927">
        <v>2.0699999999999998</v>
      </c>
      <c r="AD116" s="927">
        <v>2.09</v>
      </c>
      <c r="AE116" s="966">
        <v>1E-3</v>
      </c>
      <c r="AF116" s="927"/>
      <c r="AG116" s="927"/>
      <c r="AH116" s="927"/>
      <c r="AI116" s="927"/>
      <c r="AJ116" s="927"/>
      <c r="AK116" s="927"/>
      <c r="AL116" s="927"/>
      <c r="AM116" s="927"/>
      <c r="AN116" s="927"/>
      <c r="AO116" s="927"/>
      <c r="AP116" s="927"/>
      <c r="AQ116" s="927"/>
      <c r="AR116" s="927"/>
      <c r="AS116" s="927"/>
      <c r="AT116" s="927"/>
      <c r="AU116" s="927"/>
      <c r="AV116" s="927"/>
      <c r="AW116" s="927"/>
      <c r="AX116" s="927"/>
      <c r="AY116" s="927"/>
      <c r="AZ116" s="927"/>
      <c r="BA116" s="927"/>
      <c r="BB116" s="927"/>
      <c r="BC116" s="927"/>
      <c r="BD116" s="927"/>
      <c r="BE116" s="927"/>
      <c r="BF116" s="927"/>
      <c r="BG116" s="927"/>
      <c r="BH116" s="927"/>
      <c r="BI116" s="927"/>
      <c r="BJ116" s="927"/>
      <c r="BK116" s="927"/>
      <c r="BL116" s="927"/>
      <c r="BM116" s="927"/>
      <c r="BN116" s="927"/>
      <c r="BO116" s="927"/>
      <c r="BP116" s="927"/>
      <c r="BQ116" s="927"/>
      <c r="BR116" s="927"/>
      <c r="BS116" s="927"/>
      <c r="BT116" s="927"/>
    </row>
    <row r="117" spans="1:72" x14ac:dyDescent="0.25">
      <c r="A117" s="927"/>
      <c r="B117" s="927"/>
      <c r="C117" s="927"/>
      <c r="D117" s="927"/>
      <c r="E117" s="927"/>
      <c r="F117" s="927"/>
      <c r="G117" s="927"/>
      <c r="H117" s="927"/>
      <c r="I117" s="927"/>
      <c r="J117" s="927"/>
      <c r="K117" s="927"/>
      <c r="L117" s="927"/>
      <c r="M117" s="927"/>
      <c r="N117" s="927"/>
      <c r="O117" s="927"/>
      <c r="P117" s="927"/>
      <c r="Q117" s="927"/>
      <c r="R117" s="927"/>
      <c r="S117" s="927"/>
      <c r="T117" s="927"/>
      <c r="U117" s="927"/>
      <c r="V117" s="927"/>
      <c r="W117" s="927"/>
      <c r="X117" s="927"/>
      <c r="Y117" s="927"/>
      <c r="Z117" s="927"/>
      <c r="AA117" s="927"/>
      <c r="AB117" s="927"/>
      <c r="AC117" s="927"/>
      <c r="AD117" s="927"/>
      <c r="AE117" s="927"/>
      <c r="AF117" s="927"/>
      <c r="AG117" s="927"/>
      <c r="AH117" s="927"/>
      <c r="AI117" s="927"/>
      <c r="AJ117" s="927"/>
      <c r="AK117" s="927"/>
      <c r="AL117" s="927"/>
      <c r="AM117" s="927"/>
      <c r="AN117" s="927"/>
      <c r="AO117" s="927"/>
      <c r="AP117" s="927"/>
      <c r="AQ117" s="927"/>
      <c r="AR117" s="927"/>
      <c r="AS117" s="927"/>
      <c r="AT117" s="927"/>
      <c r="AU117" s="927"/>
      <c r="AV117" s="927"/>
      <c r="AW117" s="927"/>
      <c r="AX117" s="927"/>
      <c r="AY117" s="927"/>
      <c r="AZ117" s="927"/>
      <c r="BA117" s="927"/>
      <c r="BB117" s="927"/>
      <c r="BC117" s="927"/>
      <c r="BD117" s="927"/>
      <c r="BE117" s="927"/>
      <c r="BF117" s="927"/>
      <c r="BG117" s="927"/>
      <c r="BH117" s="927"/>
      <c r="BI117" s="927"/>
      <c r="BJ117" s="927"/>
      <c r="BK117" s="927"/>
      <c r="BL117" s="927"/>
      <c r="BM117" s="927"/>
      <c r="BN117" s="927"/>
      <c r="BO117" s="927"/>
      <c r="BP117" s="927"/>
      <c r="BQ117" s="927"/>
      <c r="BR117" s="927"/>
      <c r="BS117" s="927"/>
      <c r="BT117" s="927"/>
    </row>
    <row r="118" spans="1:72" x14ac:dyDescent="0.25">
      <c r="A118" s="927" t="s">
        <v>625</v>
      </c>
      <c r="B118" s="927"/>
      <c r="C118" s="927"/>
      <c r="D118" s="927"/>
      <c r="E118" s="927"/>
      <c r="F118" s="927"/>
      <c r="G118" s="927"/>
      <c r="H118" s="927"/>
      <c r="I118" s="927"/>
      <c r="J118" s="927"/>
      <c r="K118" s="927"/>
      <c r="L118" s="927"/>
      <c r="M118" s="927"/>
      <c r="N118" s="927"/>
      <c r="O118" s="927"/>
      <c r="P118" s="927"/>
      <c r="Q118" s="927"/>
      <c r="R118" s="927"/>
      <c r="S118" s="927"/>
      <c r="T118" s="927"/>
      <c r="U118" s="927"/>
      <c r="V118" s="927"/>
      <c r="W118" s="927"/>
      <c r="X118" s="927"/>
      <c r="Y118" s="927"/>
      <c r="Z118" s="927"/>
      <c r="AA118" s="927"/>
      <c r="AB118" s="927"/>
      <c r="AC118" s="927"/>
      <c r="AD118" s="927"/>
      <c r="AE118" s="927"/>
      <c r="AF118" s="927"/>
      <c r="AG118" s="927"/>
      <c r="AH118" s="927"/>
      <c r="AI118" s="927"/>
      <c r="AJ118" s="927"/>
      <c r="AK118" s="927"/>
      <c r="AL118" s="927"/>
      <c r="AM118" s="927"/>
      <c r="AN118" s="927"/>
      <c r="AO118" s="927"/>
      <c r="AP118" s="927"/>
      <c r="AQ118" s="927"/>
      <c r="AR118" s="927"/>
      <c r="AS118" s="927"/>
      <c r="AT118" s="927"/>
      <c r="AU118" s="927"/>
      <c r="AV118" s="927"/>
      <c r="AW118" s="927"/>
      <c r="AX118" s="927"/>
      <c r="AY118" s="927"/>
      <c r="AZ118" s="927"/>
      <c r="BA118" s="927"/>
      <c r="BB118" s="927"/>
      <c r="BC118" s="927"/>
      <c r="BD118" s="927"/>
      <c r="BE118" s="927"/>
      <c r="BF118" s="927"/>
      <c r="BG118" s="927"/>
      <c r="BH118" s="927"/>
      <c r="BI118" s="927"/>
      <c r="BJ118" s="927"/>
      <c r="BK118" s="927"/>
      <c r="BL118" s="927"/>
      <c r="BM118" s="927"/>
      <c r="BN118" s="927"/>
      <c r="BO118" s="927"/>
      <c r="BP118" s="927"/>
      <c r="BQ118" s="927"/>
      <c r="BR118" s="927"/>
      <c r="BS118" s="927"/>
      <c r="BT118" s="927"/>
    </row>
    <row r="119" spans="1:72" x14ac:dyDescent="0.25">
      <c r="A119" s="927" t="s">
        <v>609</v>
      </c>
      <c r="B119" s="927">
        <v>18.940000000000001</v>
      </c>
      <c r="C119" s="927">
        <v>20.190000000000001</v>
      </c>
      <c r="D119" s="927">
        <v>18.36</v>
      </c>
      <c r="E119" s="927">
        <v>16.850000000000001</v>
      </c>
      <c r="F119" s="927">
        <v>16.87</v>
      </c>
      <c r="G119" s="927">
        <v>17.87</v>
      </c>
      <c r="H119" s="927">
        <v>18.97</v>
      </c>
      <c r="I119" s="927">
        <v>19.82</v>
      </c>
      <c r="J119" s="927">
        <v>20.3</v>
      </c>
      <c r="K119" s="927">
        <v>20.84</v>
      </c>
      <c r="L119" s="927">
        <v>21.26</v>
      </c>
      <c r="M119" s="927">
        <v>21.71</v>
      </c>
      <c r="N119" s="927">
        <v>21.93</v>
      </c>
      <c r="O119" s="927">
        <v>22.15</v>
      </c>
      <c r="P119" s="927">
        <v>22.36</v>
      </c>
      <c r="Q119" s="927">
        <v>22.56</v>
      </c>
      <c r="R119" s="927">
        <v>22.83</v>
      </c>
      <c r="S119" s="927">
        <v>23.09</v>
      </c>
      <c r="T119" s="927">
        <v>23.34</v>
      </c>
      <c r="U119" s="927">
        <v>23.49</v>
      </c>
      <c r="V119" s="927">
        <v>23.75</v>
      </c>
      <c r="W119" s="927">
        <v>24</v>
      </c>
      <c r="X119" s="927">
        <v>24.34</v>
      </c>
      <c r="Y119" s="927">
        <v>24.55</v>
      </c>
      <c r="Z119" s="927">
        <v>24.91</v>
      </c>
      <c r="AA119" s="927">
        <v>25.25</v>
      </c>
      <c r="AB119" s="927">
        <v>25.63</v>
      </c>
      <c r="AC119" s="927">
        <v>25.99</v>
      </c>
      <c r="AD119" s="927">
        <v>26.37</v>
      </c>
      <c r="AE119" s="966">
        <v>0.01</v>
      </c>
      <c r="AF119" s="927"/>
      <c r="AG119" s="927"/>
      <c r="AH119" s="927"/>
      <c r="AI119" s="927"/>
      <c r="AJ119" s="927"/>
      <c r="AK119" s="927"/>
      <c r="AL119" s="927"/>
      <c r="AM119" s="927"/>
      <c r="AN119" s="927"/>
      <c r="AO119" s="927"/>
      <c r="AP119" s="927"/>
      <c r="AQ119" s="927"/>
      <c r="AR119" s="927"/>
      <c r="AS119" s="927"/>
      <c r="AT119" s="927"/>
      <c r="AU119" s="927"/>
      <c r="AV119" s="927"/>
      <c r="AW119" s="927"/>
      <c r="AX119" s="927"/>
      <c r="AY119" s="927"/>
      <c r="AZ119" s="927"/>
      <c r="BA119" s="927"/>
      <c r="BB119" s="927"/>
      <c r="BC119" s="927"/>
      <c r="BD119" s="927"/>
      <c r="BE119" s="927"/>
      <c r="BF119" s="927"/>
      <c r="BG119" s="927"/>
      <c r="BH119" s="927"/>
      <c r="BI119" s="927"/>
      <c r="BJ119" s="927"/>
      <c r="BK119" s="927"/>
      <c r="BL119" s="927"/>
      <c r="BM119" s="927"/>
      <c r="BN119" s="927"/>
      <c r="BO119" s="927"/>
      <c r="BP119" s="927"/>
      <c r="BQ119" s="927"/>
      <c r="BR119" s="927"/>
      <c r="BS119" s="927"/>
      <c r="BT119" s="927"/>
    </row>
    <row r="120" spans="1:72" x14ac:dyDescent="0.25">
      <c r="A120" s="927" t="s">
        <v>618</v>
      </c>
      <c r="B120" s="927">
        <v>27.43</v>
      </c>
      <c r="C120" s="927">
        <v>26.93</v>
      </c>
      <c r="D120" s="927">
        <v>23.29</v>
      </c>
      <c r="E120" s="927">
        <v>20.64</v>
      </c>
      <c r="F120" s="927">
        <v>20.97</v>
      </c>
      <c r="G120" s="927">
        <v>22.13</v>
      </c>
      <c r="H120" s="927">
        <v>24.21</v>
      </c>
      <c r="I120" s="927">
        <v>25.23</v>
      </c>
      <c r="J120" s="927">
        <v>25.55</v>
      </c>
      <c r="K120" s="927">
        <v>25.08</v>
      </c>
      <c r="L120" s="927">
        <v>25.9</v>
      </c>
      <c r="M120" s="927">
        <v>26.54</v>
      </c>
      <c r="N120" s="927">
        <v>26.68</v>
      </c>
      <c r="O120" s="927">
        <v>26.95</v>
      </c>
      <c r="P120" s="927">
        <v>27.32</v>
      </c>
      <c r="Q120" s="927">
        <v>27.82</v>
      </c>
      <c r="R120" s="927">
        <v>28.31</v>
      </c>
      <c r="S120" s="927">
        <v>28.55</v>
      </c>
      <c r="T120" s="927">
        <v>28.86</v>
      </c>
      <c r="U120" s="927">
        <v>29.22</v>
      </c>
      <c r="V120" s="927">
        <v>29.49</v>
      </c>
      <c r="W120" s="927">
        <v>30.03</v>
      </c>
      <c r="X120" s="927">
        <v>30.44</v>
      </c>
      <c r="Y120" s="927">
        <v>30.64</v>
      </c>
      <c r="Z120" s="927">
        <v>30.86</v>
      </c>
      <c r="AA120" s="927">
        <v>31.29</v>
      </c>
      <c r="AB120" s="927">
        <v>31.49</v>
      </c>
      <c r="AC120" s="927">
        <v>31.77</v>
      </c>
      <c r="AD120" s="927">
        <v>32.229999999999997</v>
      </c>
      <c r="AE120" s="966">
        <v>7.0000000000000001E-3</v>
      </c>
      <c r="AF120" s="927"/>
      <c r="AG120" s="927"/>
      <c r="AH120" s="927"/>
      <c r="AI120" s="927"/>
      <c r="AJ120" s="927"/>
      <c r="AK120" s="927"/>
      <c r="AL120" s="927"/>
      <c r="AM120" s="927"/>
      <c r="AN120" s="927"/>
      <c r="AO120" s="927"/>
      <c r="AP120" s="927"/>
      <c r="AQ120" s="927"/>
      <c r="AR120" s="927"/>
      <c r="AS120" s="927"/>
      <c r="AT120" s="927"/>
      <c r="AU120" s="927"/>
      <c r="AV120" s="927"/>
      <c r="AW120" s="927"/>
      <c r="AX120" s="927"/>
      <c r="AY120" s="927"/>
      <c r="AZ120" s="927"/>
      <c r="BA120" s="927"/>
      <c r="BB120" s="927"/>
      <c r="BC120" s="927"/>
      <c r="BD120" s="927"/>
      <c r="BE120" s="927"/>
      <c r="BF120" s="927"/>
      <c r="BG120" s="927"/>
      <c r="BH120" s="927"/>
      <c r="BI120" s="927"/>
      <c r="BJ120" s="927"/>
      <c r="BK120" s="927"/>
      <c r="BL120" s="927"/>
      <c r="BM120" s="927"/>
      <c r="BN120" s="927"/>
      <c r="BO120" s="927"/>
      <c r="BP120" s="927"/>
      <c r="BQ120" s="927"/>
      <c r="BR120" s="927"/>
      <c r="BS120" s="927"/>
      <c r="BT120" s="927"/>
    </row>
    <row r="121" spans="1:72" x14ac:dyDescent="0.25">
      <c r="A121" s="927" t="s">
        <v>619</v>
      </c>
      <c r="B121" s="927">
        <v>23.55</v>
      </c>
      <c r="C121" s="927">
        <v>26.54</v>
      </c>
      <c r="D121" s="927">
        <v>19.149999999999999</v>
      </c>
      <c r="E121" s="927">
        <v>20.55</v>
      </c>
      <c r="F121" s="927">
        <v>20.88</v>
      </c>
      <c r="G121" s="927">
        <v>22.03</v>
      </c>
      <c r="H121" s="927">
        <v>24.01</v>
      </c>
      <c r="I121" s="927">
        <v>24.94</v>
      </c>
      <c r="J121" s="927">
        <v>25.36</v>
      </c>
      <c r="K121" s="927">
        <v>25.93</v>
      </c>
      <c r="L121" s="927">
        <v>26.46</v>
      </c>
      <c r="M121" s="927">
        <v>26.89</v>
      </c>
      <c r="N121" s="927">
        <v>27.2</v>
      </c>
      <c r="O121" s="927">
        <v>27.59</v>
      </c>
      <c r="P121" s="927">
        <v>27.82</v>
      </c>
      <c r="Q121" s="927">
        <v>28.17</v>
      </c>
      <c r="R121" s="927">
        <v>28.41</v>
      </c>
      <c r="S121" s="927">
        <v>28.54</v>
      </c>
      <c r="T121" s="927">
        <v>28.87</v>
      </c>
      <c r="U121" s="927">
        <v>29.18</v>
      </c>
      <c r="V121" s="927">
        <v>29.47</v>
      </c>
      <c r="W121" s="927">
        <v>29.9</v>
      </c>
      <c r="X121" s="927">
        <v>30.27</v>
      </c>
      <c r="Y121" s="927">
        <v>30.41</v>
      </c>
      <c r="Z121" s="927">
        <v>30.76</v>
      </c>
      <c r="AA121" s="927">
        <v>31.16</v>
      </c>
      <c r="AB121" s="927">
        <v>31.43</v>
      </c>
      <c r="AC121" s="927">
        <v>31.81</v>
      </c>
      <c r="AD121" s="927">
        <v>32.32</v>
      </c>
      <c r="AE121" s="966">
        <v>7.0000000000000001E-3</v>
      </c>
      <c r="AF121" s="927"/>
      <c r="AG121" s="927"/>
      <c r="AH121" s="927"/>
      <c r="AI121" s="927"/>
      <c r="AJ121" s="927"/>
      <c r="AK121" s="927"/>
      <c r="AL121" s="927"/>
      <c r="AM121" s="927"/>
      <c r="AN121" s="927"/>
      <c r="AO121" s="927"/>
      <c r="AP121" s="927"/>
      <c r="AQ121" s="927"/>
      <c r="AR121" s="927"/>
      <c r="AS121" s="927"/>
      <c r="AT121" s="927"/>
      <c r="AU121" s="927"/>
      <c r="AV121" s="927"/>
      <c r="AW121" s="927"/>
      <c r="AX121" s="927"/>
      <c r="AY121" s="927"/>
      <c r="AZ121" s="927"/>
      <c r="BA121" s="927"/>
      <c r="BB121" s="927"/>
      <c r="BC121" s="927"/>
      <c r="BD121" s="927"/>
      <c r="BE121" s="927"/>
      <c r="BF121" s="927"/>
      <c r="BG121" s="927"/>
      <c r="BH121" s="927"/>
      <c r="BI121" s="927"/>
      <c r="BJ121" s="927"/>
      <c r="BK121" s="927"/>
      <c r="BL121" s="927"/>
      <c r="BM121" s="927"/>
      <c r="BN121" s="927"/>
      <c r="BO121" s="927"/>
      <c r="BP121" s="927"/>
      <c r="BQ121" s="927"/>
      <c r="BR121" s="927"/>
      <c r="BS121" s="927"/>
      <c r="BT121" s="927"/>
    </row>
    <row r="122" spans="1:72" x14ac:dyDescent="0.25">
      <c r="A122" s="927" t="s">
        <v>626</v>
      </c>
      <c r="B122" s="927">
        <v>15.77</v>
      </c>
      <c r="C122" s="927">
        <v>22.71</v>
      </c>
      <c r="D122" s="927">
        <v>12.73</v>
      </c>
      <c r="E122" s="927">
        <v>14.79</v>
      </c>
      <c r="F122" s="927">
        <v>15.16</v>
      </c>
      <c r="G122" s="927">
        <v>16.54</v>
      </c>
      <c r="H122" s="927">
        <v>17.690000000000001</v>
      </c>
      <c r="I122" s="927">
        <v>18.46</v>
      </c>
      <c r="J122" s="927">
        <v>19.04</v>
      </c>
      <c r="K122" s="927">
        <v>19.760000000000002</v>
      </c>
      <c r="L122" s="927">
        <v>20.41</v>
      </c>
      <c r="M122" s="927">
        <v>20.97</v>
      </c>
      <c r="N122" s="927">
        <v>21.35</v>
      </c>
      <c r="O122" s="927">
        <v>21.69</v>
      </c>
      <c r="P122" s="927">
        <v>21.85</v>
      </c>
      <c r="Q122" s="927">
        <v>22.09</v>
      </c>
      <c r="R122" s="927">
        <v>22.41</v>
      </c>
      <c r="S122" s="927">
        <v>22.61</v>
      </c>
      <c r="T122" s="927">
        <v>22.92</v>
      </c>
      <c r="U122" s="927">
        <v>23.19</v>
      </c>
      <c r="V122" s="927">
        <v>23.48</v>
      </c>
      <c r="W122" s="927">
        <v>23.9</v>
      </c>
      <c r="X122" s="927">
        <v>24.26</v>
      </c>
      <c r="Y122" s="927">
        <v>24.51</v>
      </c>
      <c r="Z122" s="927">
        <v>24.9</v>
      </c>
      <c r="AA122" s="927">
        <v>25.3</v>
      </c>
      <c r="AB122" s="927">
        <v>25.64</v>
      </c>
      <c r="AC122" s="927">
        <v>26.05</v>
      </c>
      <c r="AD122" s="927">
        <v>26.48</v>
      </c>
      <c r="AE122" s="966">
        <v>6.0000000000000001E-3</v>
      </c>
      <c r="AF122" s="927"/>
      <c r="AG122" s="927"/>
      <c r="AH122" s="927"/>
      <c r="AI122" s="927"/>
      <c r="AJ122" s="927"/>
      <c r="AK122" s="927"/>
      <c r="AL122" s="927"/>
      <c r="AM122" s="927"/>
      <c r="AN122" s="927"/>
      <c r="AO122" s="927"/>
      <c r="AP122" s="927"/>
      <c r="AQ122" s="927"/>
      <c r="AR122" s="927"/>
      <c r="AS122" s="927"/>
      <c r="AT122" s="927"/>
      <c r="AU122" s="927"/>
      <c r="AV122" s="927"/>
      <c r="AW122" s="927"/>
      <c r="AX122" s="927"/>
      <c r="AY122" s="927"/>
      <c r="AZ122" s="927"/>
      <c r="BA122" s="927"/>
      <c r="BB122" s="927"/>
      <c r="BC122" s="927"/>
      <c r="BD122" s="927"/>
      <c r="BE122" s="927"/>
      <c r="BF122" s="927"/>
      <c r="BG122" s="927"/>
      <c r="BH122" s="927"/>
      <c r="BI122" s="927"/>
      <c r="BJ122" s="927"/>
      <c r="BK122" s="927"/>
      <c r="BL122" s="927"/>
      <c r="BM122" s="927"/>
      <c r="BN122" s="927"/>
      <c r="BO122" s="927"/>
      <c r="BP122" s="927"/>
      <c r="BQ122" s="927"/>
      <c r="BR122" s="927"/>
      <c r="BS122" s="927"/>
      <c r="BT122" s="927"/>
    </row>
    <row r="123" spans="1:72" x14ac:dyDescent="0.25">
      <c r="A123" s="927" t="s">
        <v>610</v>
      </c>
      <c r="B123" s="927">
        <v>20.71</v>
      </c>
      <c r="C123" s="927">
        <v>26.27</v>
      </c>
      <c r="D123" s="927">
        <v>17.46</v>
      </c>
      <c r="E123" s="927">
        <v>17.73</v>
      </c>
      <c r="F123" s="927">
        <v>18.149999999999999</v>
      </c>
      <c r="G123" s="927">
        <v>19.45</v>
      </c>
      <c r="H123" s="927">
        <v>20.62</v>
      </c>
      <c r="I123" s="927">
        <v>21.35</v>
      </c>
      <c r="J123" s="927">
        <v>22.03</v>
      </c>
      <c r="K123" s="927">
        <v>22.8</v>
      </c>
      <c r="L123" s="927">
        <v>23.45</v>
      </c>
      <c r="M123" s="927">
        <v>24.07</v>
      </c>
      <c r="N123" s="927">
        <v>24.47</v>
      </c>
      <c r="O123" s="927">
        <v>24.79</v>
      </c>
      <c r="P123" s="927">
        <v>24.99</v>
      </c>
      <c r="Q123" s="927">
        <v>25.32</v>
      </c>
      <c r="R123" s="927">
        <v>25.5</v>
      </c>
      <c r="S123" s="927">
        <v>25.59</v>
      </c>
      <c r="T123" s="927">
        <v>25.89</v>
      </c>
      <c r="U123" s="927">
        <v>26.12</v>
      </c>
      <c r="V123" s="927">
        <v>26.38</v>
      </c>
      <c r="W123" s="927">
        <v>26.71</v>
      </c>
      <c r="X123" s="927">
        <v>27.11</v>
      </c>
      <c r="Y123" s="927">
        <v>27.29</v>
      </c>
      <c r="Z123" s="927">
        <v>27.73</v>
      </c>
      <c r="AA123" s="927">
        <v>28.13</v>
      </c>
      <c r="AB123" s="927">
        <v>28.46</v>
      </c>
      <c r="AC123" s="927">
        <v>28.87</v>
      </c>
      <c r="AD123" s="927">
        <v>29.34</v>
      </c>
      <c r="AE123" s="966">
        <v>4.0000000000000001E-3</v>
      </c>
      <c r="AF123" s="927"/>
      <c r="AG123" s="927"/>
      <c r="AH123" s="927"/>
      <c r="AI123" s="927"/>
      <c r="AJ123" s="927"/>
      <c r="AK123" s="927"/>
      <c r="AL123" s="927"/>
      <c r="AM123" s="927"/>
      <c r="AN123" s="927"/>
      <c r="AO123" s="927"/>
      <c r="AP123" s="927"/>
      <c r="AQ123" s="927"/>
      <c r="AR123" s="927"/>
      <c r="AS123" s="927"/>
      <c r="AT123" s="927"/>
      <c r="AU123" s="927"/>
      <c r="AV123" s="927"/>
      <c r="AW123" s="927"/>
      <c r="AX123" s="927"/>
      <c r="AY123" s="927"/>
      <c r="AZ123" s="927"/>
      <c r="BA123" s="927"/>
      <c r="BB123" s="927"/>
      <c r="BC123" s="927"/>
      <c r="BD123" s="927"/>
      <c r="BE123" s="927"/>
      <c r="BF123" s="927"/>
      <c r="BG123" s="927"/>
      <c r="BH123" s="927"/>
      <c r="BI123" s="927"/>
      <c r="BJ123" s="927"/>
      <c r="BK123" s="927"/>
      <c r="BL123" s="927"/>
      <c r="BM123" s="927"/>
      <c r="BN123" s="927"/>
      <c r="BO123" s="927"/>
      <c r="BP123" s="927"/>
      <c r="BQ123" s="927"/>
      <c r="BR123" s="927"/>
      <c r="BS123" s="927"/>
      <c r="BT123" s="927"/>
    </row>
    <row r="124" spans="1:72" x14ac:dyDescent="0.25">
      <c r="A124" s="927" t="s">
        <v>611</v>
      </c>
      <c r="B124" s="927">
        <v>9.07</v>
      </c>
      <c r="C124" s="927">
        <v>14.77</v>
      </c>
      <c r="D124" s="927">
        <v>8.9600000000000009</v>
      </c>
      <c r="E124" s="927">
        <v>10.9</v>
      </c>
      <c r="F124" s="927">
        <v>11.01</v>
      </c>
      <c r="G124" s="927">
        <v>12.17</v>
      </c>
      <c r="H124" s="927">
        <v>13.13</v>
      </c>
      <c r="I124" s="927">
        <v>13.86</v>
      </c>
      <c r="J124" s="927">
        <v>14.26</v>
      </c>
      <c r="K124" s="927">
        <v>14.63</v>
      </c>
      <c r="L124" s="927">
        <v>15.14</v>
      </c>
      <c r="M124" s="927">
        <v>15.55</v>
      </c>
      <c r="N124" s="927">
        <v>15.76</v>
      </c>
      <c r="O124" s="927">
        <v>15.81</v>
      </c>
      <c r="P124" s="927">
        <v>16.05</v>
      </c>
      <c r="Q124" s="927">
        <v>16.190000000000001</v>
      </c>
      <c r="R124" s="927">
        <v>16.399999999999999</v>
      </c>
      <c r="S124" s="927">
        <v>16.600000000000001</v>
      </c>
      <c r="T124" s="927">
        <v>16.8</v>
      </c>
      <c r="U124" s="927">
        <v>16.850000000000001</v>
      </c>
      <c r="V124" s="927">
        <v>17.13</v>
      </c>
      <c r="W124" s="927">
        <v>17.37</v>
      </c>
      <c r="X124" s="927">
        <v>17.66</v>
      </c>
      <c r="Y124" s="927">
        <v>17.96</v>
      </c>
      <c r="Z124" s="927">
        <v>18.3</v>
      </c>
      <c r="AA124" s="927">
        <v>18.559999999999999</v>
      </c>
      <c r="AB124" s="927">
        <v>18.79</v>
      </c>
      <c r="AC124" s="927">
        <v>19.12</v>
      </c>
      <c r="AD124" s="927">
        <v>19.46</v>
      </c>
      <c r="AE124" s="966">
        <v>0.01</v>
      </c>
      <c r="AF124" s="927"/>
      <c r="AG124" s="927"/>
      <c r="AH124" s="927"/>
      <c r="AI124" s="927"/>
      <c r="AJ124" s="927"/>
      <c r="AK124" s="927"/>
      <c r="AL124" s="927"/>
      <c r="AM124" s="927"/>
      <c r="AN124" s="927"/>
      <c r="AO124" s="927"/>
      <c r="AP124" s="927"/>
      <c r="AQ124" s="927"/>
      <c r="AR124" s="927"/>
      <c r="AS124" s="927"/>
      <c r="AT124" s="927"/>
      <c r="AU124" s="927"/>
      <c r="AV124" s="927"/>
      <c r="AW124" s="927"/>
      <c r="AX124" s="927"/>
      <c r="AY124" s="927"/>
      <c r="AZ124" s="927"/>
      <c r="BA124" s="927"/>
      <c r="BB124" s="927"/>
      <c r="BC124" s="927"/>
      <c r="BD124" s="927"/>
      <c r="BE124" s="927"/>
      <c r="BF124" s="927"/>
      <c r="BG124" s="927"/>
      <c r="BH124" s="927"/>
      <c r="BI124" s="927"/>
      <c r="BJ124" s="927"/>
      <c r="BK124" s="927"/>
      <c r="BL124" s="927"/>
      <c r="BM124" s="927"/>
      <c r="BN124" s="927"/>
      <c r="BO124" s="927"/>
      <c r="BP124" s="927"/>
      <c r="BQ124" s="927"/>
      <c r="BR124" s="927"/>
      <c r="BS124" s="927"/>
      <c r="BT124" s="927"/>
    </row>
    <row r="125" spans="1:72" x14ac:dyDescent="0.25">
      <c r="A125" s="927" t="s">
        <v>510</v>
      </c>
      <c r="B125" s="927">
        <v>9.19</v>
      </c>
      <c r="C125" s="927">
        <v>10.53</v>
      </c>
      <c r="D125" s="927">
        <v>6.57</v>
      </c>
      <c r="E125" s="927">
        <v>6.87</v>
      </c>
      <c r="F125" s="927">
        <v>7.87</v>
      </c>
      <c r="G125" s="927">
        <v>8.1999999999999993</v>
      </c>
      <c r="H125" s="927">
        <v>8.0500000000000007</v>
      </c>
      <c r="I125" s="927">
        <v>8.02</v>
      </c>
      <c r="J125" s="927">
        <v>8.14</v>
      </c>
      <c r="K125" s="927">
        <v>8.2200000000000006</v>
      </c>
      <c r="L125" s="927">
        <v>8.2200000000000006</v>
      </c>
      <c r="M125" s="927">
        <v>8.27</v>
      </c>
      <c r="N125" s="927">
        <v>8.33</v>
      </c>
      <c r="O125" s="927">
        <v>8.44</v>
      </c>
      <c r="P125" s="927">
        <v>8.5500000000000007</v>
      </c>
      <c r="Q125" s="927">
        <v>8.73</v>
      </c>
      <c r="R125" s="927">
        <v>8.77</v>
      </c>
      <c r="S125" s="927">
        <v>8.68</v>
      </c>
      <c r="T125" s="927">
        <v>8.75</v>
      </c>
      <c r="U125" s="927">
        <v>8.89</v>
      </c>
      <c r="V125" s="927">
        <v>9.0399999999999991</v>
      </c>
      <c r="W125" s="927">
        <v>9.26</v>
      </c>
      <c r="X125" s="927">
        <v>9.49</v>
      </c>
      <c r="Y125" s="927">
        <v>9.74</v>
      </c>
      <c r="Z125" s="927">
        <v>10.050000000000001</v>
      </c>
      <c r="AA125" s="927">
        <v>10.17</v>
      </c>
      <c r="AB125" s="927">
        <v>10.210000000000001</v>
      </c>
      <c r="AC125" s="927">
        <v>10.4</v>
      </c>
      <c r="AD125" s="927">
        <v>10.54</v>
      </c>
      <c r="AE125" s="966">
        <v>0</v>
      </c>
      <c r="AF125" s="927"/>
      <c r="AG125" s="927"/>
      <c r="AH125" s="927"/>
      <c r="AI125" s="927"/>
      <c r="AJ125" s="927"/>
      <c r="AK125" s="927"/>
      <c r="AL125" s="927"/>
      <c r="AM125" s="927"/>
      <c r="AN125" s="927"/>
      <c r="AO125" s="927"/>
      <c r="AP125" s="927"/>
      <c r="AQ125" s="927"/>
      <c r="AR125" s="927"/>
      <c r="AS125" s="927"/>
      <c r="AT125" s="927"/>
      <c r="AU125" s="927"/>
      <c r="AV125" s="927"/>
      <c r="AW125" s="927"/>
      <c r="AX125" s="927"/>
      <c r="AY125" s="927"/>
      <c r="AZ125" s="927"/>
      <c r="BA125" s="927"/>
      <c r="BB125" s="927"/>
      <c r="BC125" s="927"/>
      <c r="BD125" s="927"/>
      <c r="BE125" s="927"/>
      <c r="BF125" s="927"/>
      <c r="BG125" s="927"/>
      <c r="BH125" s="927"/>
      <c r="BI125" s="927"/>
      <c r="BJ125" s="927"/>
      <c r="BK125" s="927"/>
      <c r="BL125" s="927"/>
      <c r="BM125" s="927"/>
      <c r="BN125" s="927"/>
      <c r="BO125" s="927"/>
      <c r="BP125" s="927"/>
      <c r="BQ125" s="927"/>
      <c r="BR125" s="927"/>
      <c r="BS125" s="927"/>
      <c r="BT125" s="927"/>
    </row>
    <row r="126" spans="1:72" x14ac:dyDescent="0.25">
      <c r="A126" s="927" t="s">
        <v>614</v>
      </c>
      <c r="B126" s="927">
        <v>3.69</v>
      </c>
      <c r="C126" s="927">
        <v>4.49</v>
      </c>
      <c r="D126" s="927">
        <v>4.72</v>
      </c>
      <c r="E126" s="927">
        <v>4.8</v>
      </c>
      <c r="F126" s="927">
        <v>4.8600000000000003</v>
      </c>
      <c r="G126" s="927">
        <v>5.0199999999999996</v>
      </c>
      <c r="H126" s="927">
        <v>5.05</v>
      </c>
      <c r="I126" s="927">
        <v>5.08</v>
      </c>
      <c r="J126" s="927">
        <v>5.08</v>
      </c>
      <c r="K126" s="927">
        <v>5.09</v>
      </c>
      <c r="L126" s="927">
        <v>5.16</v>
      </c>
      <c r="M126" s="927">
        <v>5.22</v>
      </c>
      <c r="N126" s="927">
        <v>5.29</v>
      </c>
      <c r="O126" s="927">
        <v>5.32</v>
      </c>
      <c r="P126" s="927">
        <v>5.35</v>
      </c>
      <c r="Q126" s="927">
        <v>5.36</v>
      </c>
      <c r="R126" s="927">
        <v>5.35</v>
      </c>
      <c r="S126" s="927">
        <v>5.32</v>
      </c>
      <c r="T126" s="927">
        <v>5.24</v>
      </c>
      <c r="U126" s="927">
        <v>5.16</v>
      </c>
      <c r="V126" s="927">
        <v>5.14</v>
      </c>
      <c r="W126" s="927">
        <v>5.14</v>
      </c>
      <c r="X126" s="927">
        <v>5.1100000000000003</v>
      </c>
      <c r="Y126" s="927">
        <v>5.1100000000000003</v>
      </c>
      <c r="Z126" s="927">
        <v>5.09</v>
      </c>
      <c r="AA126" s="927">
        <v>5.08</v>
      </c>
      <c r="AB126" s="927">
        <v>5.08</v>
      </c>
      <c r="AC126" s="927">
        <v>5.0599999999999996</v>
      </c>
      <c r="AD126" s="927">
        <v>5.0599999999999996</v>
      </c>
      <c r="AE126" s="966">
        <v>4.0000000000000001E-3</v>
      </c>
      <c r="AF126" s="927"/>
      <c r="AG126" s="927"/>
      <c r="AH126" s="927"/>
      <c r="AI126" s="927"/>
      <c r="AJ126" s="927"/>
      <c r="AK126" s="927"/>
      <c r="AL126" s="927"/>
      <c r="AM126" s="927"/>
      <c r="AN126" s="927"/>
      <c r="AO126" s="927"/>
      <c r="AP126" s="927"/>
      <c r="AQ126" s="927"/>
      <c r="AR126" s="927"/>
      <c r="AS126" s="927"/>
      <c r="AT126" s="927"/>
      <c r="AU126" s="927"/>
      <c r="AV126" s="927"/>
      <c r="AW126" s="927"/>
      <c r="AX126" s="927"/>
      <c r="AY126" s="927"/>
      <c r="AZ126" s="927"/>
      <c r="BA126" s="927"/>
      <c r="BB126" s="927"/>
      <c r="BC126" s="927"/>
      <c r="BD126" s="927"/>
      <c r="BE126" s="927"/>
      <c r="BF126" s="927"/>
      <c r="BG126" s="927"/>
      <c r="BH126" s="927"/>
      <c r="BI126" s="927"/>
      <c r="BJ126" s="927"/>
      <c r="BK126" s="927"/>
      <c r="BL126" s="927"/>
      <c r="BM126" s="927"/>
      <c r="BN126" s="927"/>
      <c r="BO126" s="927"/>
      <c r="BP126" s="927"/>
      <c r="BQ126" s="927"/>
      <c r="BR126" s="927"/>
      <c r="BS126" s="927"/>
      <c r="BT126" s="927"/>
    </row>
    <row r="127" spans="1:72" x14ac:dyDescent="0.25">
      <c r="A127" s="927" t="s">
        <v>627</v>
      </c>
      <c r="B127" s="927">
        <v>1.84</v>
      </c>
      <c r="C127" s="927">
        <v>2.1</v>
      </c>
      <c r="D127" s="927">
        <v>2.19</v>
      </c>
      <c r="E127" s="927">
        <v>2.0299999999999998</v>
      </c>
      <c r="F127" s="927">
        <v>2.02</v>
      </c>
      <c r="G127" s="927">
        <v>2.0299999999999998</v>
      </c>
      <c r="H127" s="927">
        <v>2.0299999999999998</v>
      </c>
      <c r="I127" s="927">
        <v>2.0299999999999998</v>
      </c>
      <c r="J127" s="927">
        <v>2.0499999999999998</v>
      </c>
      <c r="K127" s="927">
        <v>2.0299999999999998</v>
      </c>
      <c r="L127" s="927">
        <v>2.04</v>
      </c>
      <c r="M127" s="927">
        <v>2.0299999999999998</v>
      </c>
      <c r="N127" s="927">
        <v>2.02</v>
      </c>
      <c r="O127" s="927">
        <v>2.02</v>
      </c>
      <c r="P127" s="927">
        <v>2.02</v>
      </c>
      <c r="Q127" s="927">
        <v>2.0299999999999998</v>
      </c>
      <c r="R127" s="927">
        <v>2.02</v>
      </c>
      <c r="S127" s="927">
        <v>2.02</v>
      </c>
      <c r="T127" s="927">
        <v>2.02</v>
      </c>
      <c r="U127" s="927">
        <v>2.0299999999999998</v>
      </c>
      <c r="V127" s="927">
        <v>2.0299999999999998</v>
      </c>
      <c r="W127" s="927">
        <v>2.04</v>
      </c>
      <c r="X127" s="927">
        <v>2.0499999999999998</v>
      </c>
      <c r="Y127" s="927">
        <v>2.06</v>
      </c>
      <c r="Z127" s="927">
        <v>2.0699999999999998</v>
      </c>
      <c r="AA127" s="927">
        <v>2.08</v>
      </c>
      <c r="AB127" s="927">
        <v>2.09</v>
      </c>
      <c r="AC127" s="927">
        <v>2.1</v>
      </c>
      <c r="AD127" s="927">
        <v>2.12</v>
      </c>
      <c r="AE127" s="966">
        <v>0</v>
      </c>
      <c r="AF127" s="927"/>
      <c r="AG127" s="927"/>
      <c r="AH127" s="927"/>
      <c r="AI127" s="927"/>
      <c r="AJ127" s="927"/>
      <c r="AK127" s="927"/>
      <c r="AL127" s="927"/>
      <c r="AM127" s="927"/>
      <c r="AN127" s="927"/>
      <c r="AO127" s="927"/>
      <c r="AP127" s="927"/>
      <c r="AQ127" s="927"/>
      <c r="AR127" s="927"/>
      <c r="AS127" s="927"/>
      <c r="AT127" s="927"/>
      <c r="AU127" s="927"/>
      <c r="AV127" s="927"/>
      <c r="AW127" s="927"/>
      <c r="AX127" s="927"/>
      <c r="AY127" s="927"/>
      <c r="AZ127" s="927"/>
      <c r="BA127" s="927"/>
      <c r="BB127" s="927"/>
      <c r="BC127" s="927"/>
      <c r="BD127" s="927"/>
      <c r="BE127" s="927"/>
      <c r="BF127" s="927"/>
      <c r="BG127" s="927"/>
      <c r="BH127" s="927"/>
      <c r="BI127" s="927"/>
      <c r="BJ127" s="927"/>
      <c r="BK127" s="927"/>
      <c r="BL127" s="927"/>
      <c r="BM127" s="927"/>
      <c r="BN127" s="927"/>
      <c r="BO127" s="927"/>
      <c r="BP127" s="927"/>
      <c r="BQ127" s="927"/>
      <c r="BR127" s="927"/>
      <c r="BS127" s="927"/>
      <c r="BT127" s="927"/>
    </row>
    <row r="128" spans="1:72" x14ac:dyDescent="0.25">
      <c r="A128" s="927" t="s">
        <v>616</v>
      </c>
      <c r="B128" s="927" t="s">
        <v>788</v>
      </c>
      <c r="C128" s="927" t="s">
        <v>788</v>
      </c>
      <c r="D128" s="927" t="s">
        <v>788</v>
      </c>
      <c r="E128" s="927" t="s">
        <v>788</v>
      </c>
      <c r="F128" s="927">
        <v>1.26</v>
      </c>
      <c r="G128" s="927">
        <v>1.04</v>
      </c>
      <c r="H128" s="927">
        <v>1.04</v>
      </c>
      <c r="I128" s="927">
        <v>1.41</v>
      </c>
      <c r="J128" s="927">
        <v>1.42</v>
      </c>
      <c r="K128" s="927">
        <v>1.46</v>
      </c>
      <c r="L128" s="927">
        <v>1.48</v>
      </c>
      <c r="M128" s="927">
        <v>1.48</v>
      </c>
      <c r="N128" s="927">
        <v>1.47</v>
      </c>
      <c r="O128" s="927">
        <v>1.46</v>
      </c>
      <c r="P128" s="927">
        <v>1.49</v>
      </c>
      <c r="Q128" s="927">
        <v>1.5</v>
      </c>
      <c r="R128" s="927">
        <v>1.52</v>
      </c>
      <c r="S128" s="927">
        <v>1.49</v>
      </c>
      <c r="T128" s="927">
        <v>1.49</v>
      </c>
      <c r="U128" s="927">
        <v>1.47</v>
      </c>
      <c r="V128" s="927">
        <v>1.46</v>
      </c>
      <c r="W128" s="927">
        <v>1.45</v>
      </c>
      <c r="X128" s="927">
        <v>1.44</v>
      </c>
      <c r="Y128" s="927">
        <v>1.44</v>
      </c>
      <c r="Z128" s="927">
        <v>1.44</v>
      </c>
      <c r="AA128" s="927">
        <v>1.44</v>
      </c>
      <c r="AB128" s="927">
        <v>1.46</v>
      </c>
      <c r="AC128" s="927">
        <v>1.48</v>
      </c>
      <c r="AD128" s="927">
        <v>1.51</v>
      </c>
      <c r="AE128" s="927" t="s">
        <v>788</v>
      </c>
      <c r="AF128" s="927"/>
      <c r="AG128" s="927"/>
      <c r="AH128" s="927"/>
      <c r="AI128" s="927"/>
      <c r="AJ128" s="927"/>
      <c r="AK128" s="927"/>
      <c r="AL128" s="927"/>
      <c r="AM128" s="927"/>
      <c r="AN128" s="927"/>
      <c r="AO128" s="927"/>
      <c r="AP128" s="927"/>
      <c r="AQ128" s="927"/>
      <c r="AR128" s="927"/>
      <c r="AS128" s="927"/>
      <c r="AT128" s="927"/>
      <c r="AU128" s="927"/>
      <c r="AV128" s="927"/>
      <c r="AW128" s="927"/>
      <c r="AX128" s="927"/>
      <c r="AY128" s="927"/>
      <c r="AZ128" s="927"/>
      <c r="BA128" s="927"/>
      <c r="BB128" s="927"/>
      <c r="BC128" s="927"/>
      <c r="BD128" s="927"/>
      <c r="BE128" s="927"/>
      <c r="BF128" s="927"/>
      <c r="BG128" s="927"/>
      <c r="BH128" s="927"/>
      <c r="BI128" s="927"/>
      <c r="BJ128" s="927"/>
      <c r="BK128" s="927"/>
      <c r="BL128" s="927"/>
      <c r="BM128" s="927"/>
      <c r="BN128" s="927"/>
      <c r="BO128" s="927"/>
      <c r="BP128" s="927"/>
      <c r="BQ128" s="927"/>
      <c r="BR128" s="927"/>
      <c r="BS128" s="927"/>
      <c r="BT128" s="927"/>
    </row>
    <row r="129" spans="1:72" x14ac:dyDescent="0.25">
      <c r="A129" s="927" t="s">
        <v>479</v>
      </c>
      <c r="B129" s="927">
        <v>27.25</v>
      </c>
      <c r="C129" s="927">
        <v>28.81</v>
      </c>
      <c r="D129" s="927">
        <v>28.07</v>
      </c>
      <c r="E129" s="927">
        <v>26.77</v>
      </c>
      <c r="F129" s="927">
        <v>25.2</v>
      </c>
      <c r="G129" s="927">
        <v>26.1</v>
      </c>
      <c r="H129" s="927">
        <v>26.17</v>
      </c>
      <c r="I129" s="927">
        <v>25.97</v>
      </c>
      <c r="J129" s="927">
        <v>25.95</v>
      </c>
      <c r="K129" s="927">
        <v>26.2</v>
      </c>
      <c r="L129" s="927">
        <v>26.36</v>
      </c>
      <c r="M129" s="927">
        <v>26.37</v>
      </c>
      <c r="N129" s="927">
        <v>26.31</v>
      </c>
      <c r="O129" s="927">
        <v>26.51</v>
      </c>
      <c r="P129" s="927">
        <v>26.7</v>
      </c>
      <c r="Q129" s="927">
        <v>26.84</v>
      </c>
      <c r="R129" s="927">
        <v>27.04</v>
      </c>
      <c r="S129" s="927">
        <v>27.19</v>
      </c>
      <c r="T129" s="927">
        <v>27.17</v>
      </c>
      <c r="U129" s="927">
        <v>27.33</v>
      </c>
      <c r="V129" s="927">
        <v>27.53</v>
      </c>
      <c r="W129" s="927">
        <v>27.74</v>
      </c>
      <c r="X129" s="927">
        <v>28.16</v>
      </c>
      <c r="Y129" s="927">
        <v>28.49</v>
      </c>
      <c r="Z129" s="927">
        <v>28.86</v>
      </c>
      <c r="AA129" s="927">
        <v>29.21</v>
      </c>
      <c r="AB129" s="927">
        <v>29.38</v>
      </c>
      <c r="AC129" s="927">
        <v>29.64</v>
      </c>
      <c r="AD129" s="927">
        <v>29.87</v>
      </c>
      <c r="AE129" s="966">
        <v>1E-3</v>
      </c>
      <c r="AF129" s="927"/>
      <c r="AG129" s="927"/>
      <c r="AH129" s="927"/>
      <c r="AI129" s="927"/>
      <c r="AJ129" s="927"/>
      <c r="AK129" s="927"/>
      <c r="AL129" s="927"/>
      <c r="AM129" s="927"/>
      <c r="AN129" s="927"/>
      <c r="AO129" s="927"/>
      <c r="AP129" s="927"/>
      <c r="AQ129" s="927"/>
      <c r="AR129" s="927"/>
      <c r="AS129" s="927"/>
      <c r="AT129" s="927"/>
      <c r="AU129" s="927"/>
      <c r="AV129" s="927"/>
      <c r="AW129" s="927"/>
      <c r="AX129" s="927"/>
      <c r="AY129" s="927"/>
      <c r="AZ129" s="927"/>
      <c r="BA129" s="927"/>
      <c r="BB129" s="927"/>
      <c r="BC129" s="927"/>
      <c r="BD129" s="927"/>
      <c r="BE129" s="927"/>
      <c r="BF129" s="927"/>
      <c r="BG129" s="927"/>
      <c r="BH129" s="927"/>
      <c r="BI129" s="927"/>
      <c r="BJ129" s="927"/>
      <c r="BK129" s="927"/>
      <c r="BL129" s="927"/>
      <c r="BM129" s="927"/>
      <c r="BN129" s="927"/>
      <c r="BO129" s="927"/>
      <c r="BP129" s="927"/>
      <c r="BQ129" s="927"/>
      <c r="BR129" s="927"/>
      <c r="BS129" s="927"/>
      <c r="BT129" s="927"/>
    </row>
    <row r="130" spans="1:72" x14ac:dyDescent="0.25">
      <c r="A130" s="927"/>
      <c r="B130" s="927"/>
      <c r="C130" s="927"/>
      <c r="D130" s="927"/>
      <c r="E130" s="927"/>
      <c r="F130" s="927"/>
      <c r="G130" s="927"/>
      <c r="H130" s="927"/>
      <c r="I130" s="927"/>
      <c r="J130" s="927"/>
      <c r="K130" s="927"/>
      <c r="L130" s="927"/>
      <c r="M130" s="927"/>
      <c r="N130" s="927"/>
      <c r="O130" s="927"/>
      <c r="P130" s="927"/>
      <c r="Q130" s="927"/>
      <c r="R130" s="927"/>
      <c r="S130" s="927"/>
      <c r="T130" s="927"/>
      <c r="U130" s="927"/>
      <c r="V130" s="927"/>
      <c r="W130" s="927"/>
      <c r="X130" s="927"/>
      <c r="Y130" s="927"/>
      <c r="Z130" s="927"/>
      <c r="AA130" s="927"/>
      <c r="AB130" s="927"/>
      <c r="AC130" s="927"/>
      <c r="AD130" s="927"/>
      <c r="AE130" s="927"/>
      <c r="AF130" s="927"/>
      <c r="AG130" s="927"/>
      <c r="AH130" s="927"/>
      <c r="AI130" s="927"/>
      <c r="AJ130" s="927"/>
      <c r="AK130" s="927"/>
      <c r="AL130" s="927"/>
      <c r="AM130" s="927"/>
      <c r="AN130" s="927"/>
      <c r="AO130" s="927"/>
      <c r="AP130" s="927"/>
      <c r="AQ130" s="927"/>
      <c r="AR130" s="927"/>
      <c r="AS130" s="927"/>
      <c r="AT130" s="927"/>
      <c r="AU130" s="927"/>
      <c r="AV130" s="927"/>
      <c r="AW130" s="927"/>
      <c r="AX130" s="927"/>
      <c r="AY130" s="927"/>
      <c r="AZ130" s="927"/>
      <c r="BA130" s="927"/>
      <c r="BB130" s="927"/>
      <c r="BC130" s="927"/>
      <c r="BD130" s="927"/>
      <c r="BE130" s="927"/>
      <c r="BF130" s="927"/>
      <c r="BG130" s="927"/>
      <c r="BH130" s="927"/>
      <c r="BI130" s="927"/>
      <c r="BJ130" s="927"/>
      <c r="BK130" s="927"/>
      <c r="BL130" s="927"/>
      <c r="BM130" s="927"/>
      <c r="BN130" s="927"/>
      <c r="BO130" s="927"/>
      <c r="BP130" s="927"/>
      <c r="BQ130" s="927"/>
      <c r="BR130" s="927"/>
      <c r="BS130" s="927"/>
      <c r="BT130" s="927"/>
    </row>
    <row r="131" spans="1:72" x14ac:dyDescent="0.25">
      <c r="A131" s="927" t="s">
        <v>513</v>
      </c>
      <c r="B131" s="927"/>
      <c r="C131" s="927"/>
      <c r="D131" s="927"/>
      <c r="E131" s="927"/>
      <c r="F131" s="927"/>
      <c r="G131" s="927"/>
      <c r="H131" s="927"/>
      <c r="I131" s="927"/>
      <c r="J131" s="927"/>
      <c r="K131" s="927"/>
      <c r="L131" s="927"/>
      <c r="M131" s="927"/>
      <c r="N131" s="927"/>
      <c r="O131" s="927"/>
      <c r="P131" s="927"/>
      <c r="Q131" s="927"/>
      <c r="R131" s="927"/>
      <c r="S131" s="927"/>
      <c r="T131" s="927"/>
      <c r="U131" s="927"/>
      <c r="V131" s="927"/>
      <c r="W131" s="927"/>
      <c r="X131" s="927"/>
      <c r="Y131" s="927"/>
      <c r="Z131" s="927"/>
      <c r="AA131" s="927"/>
      <c r="AB131" s="927"/>
      <c r="AC131" s="927"/>
      <c r="AD131" s="927"/>
      <c r="AE131" s="927"/>
      <c r="AF131" s="927"/>
      <c r="AG131" s="927"/>
      <c r="AH131" s="927"/>
      <c r="AI131" s="927"/>
      <c r="AJ131" s="927"/>
      <c r="AK131" s="927"/>
      <c r="AL131" s="927"/>
      <c r="AM131" s="927"/>
      <c r="AN131" s="927"/>
      <c r="AO131" s="927"/>
      <c r="AP131" s="927"/>
      <c r="AQ131" s="927"/>
      <c r="AR131" s="927"/>
      <c r="AS131" s="927"/>
      <c r="AT131" s="927"/>
      <c r="AU131" s="927"/>
      <c r="AV131" s="927"/>
      <c r="AW131" s="927"/>
      <c r="AX131" s="927"/>
      <c r="AY131" s="927"/>
      <c r="AZ131" s="927"/>
      <c r="BA131" s="927"/>
      <c r="BB131" s="927"/>
      <c r="BC131" s="927"/>
      <c r="BD131" s="927"/>
      <c r="BE131" s="927"/>
      <c r="BF131" s="927"/>
      <c r="BG131" s="927"/>
      <c r="BH131" s="927"/>
      <c r="BI131" s="927"/>
      <c r="BJ131" s="927"/>
      <c r="BK131" s="927"/>
      <c r="BL131" s="927"/>
      <c r="BM131" s="927"/>
      <c r="BN131" s="927"/>
      <c r="BO131" s="927"/>
      <c r="BP131" s="927"/>
      <c r="BQ131" s="927"/>
      <c r="BR131" s="927"/>
      <c r="BS131" s="927"/>
      <c r="BT131" s="927"/>
    </row>
    <row r="132" spans="1:72" x14ac:dyDescent="0.25">
      <c r="A132" s="927" t="s">
        <v>789</v>
      </c>
      <c r="B132" s="927"/>
      <c r="C132" s="927"/>
      <c r="D132" s="927"/>
      <c r="E132" s="927"/>
      <c r="F132" s="927"/>
      <c r="G132" s="927"/>
      <c r="H132" s="927"/>
      <c r="I132" s="927"/>
      <c r="J132" s="927"/>
      <c r="K132" s="927"/>
      <c r="L132" s="927"/>
      <c r="M132" s="927"/>
      <c r="N132" s="927"/>
      <c r="O132" s="927"/>
      <c r="P132" s="927"/>
      <c r="Q132" s="927"/>
      <c r="R132" s="927"/>
      <c r="S132" s="927"/>
      <c r="T132" s="927"/>
      <c r="U132" s="927"/>
      <c r="V132" s="927"/>
      <c r="W132" s="927"/>
      <c r="X132" s="927"/>
      <c r="Y132" s="927"/>
      <c r="Z132" s="927"/>
      <c r="AA132" s="927"/>
      <c r="AB132" s="927"/>
      <c r="AC132" s="927"/>
      <c r="AD132" s="927"/>
      <c r="AE132" s="927"/>
      <c r="AF132" s="927"/>
      <c r="AG132" s="927"/>
      <c r="AH132" s="927"/>
      <c r="AI132" s="927"/>
      <c r="AJ132" s="927"/>
      <c r="AK132" s="927"/>
      <c r="AL132" s="927"/>
      <c r="AM132" s="927"/>
      <c r="AN132" s="927"/>
      <c r="AO132" s="927"/>
      <c r="AP132" s="927"/>
      <c r="AQ132" s="927"/>
      <c r="AR132" s="927"/>
      <c r="AS132" s="927"/>
      <c r="AT132" s="927"/>
      <c r="AU132" s="927"/>
      <c r="AV132" s="927"/>
      <c r="AW132" s="927"/>
      <c r="AX132" s="927"/>
      <c r="AY132" s="927"/>
      <c r="AZ132" s="927"/>
      <c r="BA132" s="927"/>
      <c r="BB132" s="927"/>
      <c r="BC132" s="927"/>
      <c r="BD132" s="927"/>
      <c r="BE132" s="927"/>
      <c r="BF132" s="927"/>
      <c r="BG132" s="927"/>
      <c r="BH132" s="927"/>
      <c r="BI132" s="927"/>
      <c r="BJ132" s="927"/>
      <c r="BK132" s="927"/>
      <c r="BL132" s="927"/>
      <c r="BM132" s="927"/>
      <c r="BN132" s="927"/>
      <c r="BO132" s="927"/>
      <c r="BP132" s="927"/>
      <c r="BQ132" s="927"/>
      <c r="BR132" s="927"/>
      <c r="BS132" s="927"/>
      <c r="BT132" s="927"/>
    </row>
    <row r="133" spans="1:72" x14ac:dyDescent="0.25">
      <c r="A133" s="927" t="s">
        <v>473</v>
      </c>
      <c r="B133" s="927">
        <v>241.67</v>
      </c>
      <c r="C133" s="927">
        <v>254.66</v>
      </c>
      <c r="D133" s="927">
        <v>231.65</v>
      </c>
      <c r="E133" s="927">
        <v>223.76</v>
      </c>
      <c r="F133" s="927">
        <v>222.61</v>
      </c>
      <c r="G133" s="927">
        <v>230.62</v>
      </c>
      <c r="H133" s="927">
        <v>228.9</v>
      </c>
      <c r="I133" s="927">
        <v>229.4</v>
      </c>
      <c r="J133" s="927">
        <v>230.89</v>
      </c>
      <c r="K133" s="927">
        <v>234.53</v>
      </c>
      <c r="L133" s="927">
        <v>236.76</v>
      </c>
      <c r="M133" s="927">
        <v>239.14</v>
      </c>
      <c r="N133" s="927">
        <v>241.36</v>
      </c>
      <c r="O133" s="927">
        <v>245.14</v>
      </c>
      <c r="P133" s="927">
        <v>247.96</v>
      </c>
      <c r="Q133" s="927">
        <v>251.14</v>
      </c>
      <c r="R133" s="927">
        <v>253.92</v>
      </c>
      <c r="S133" s="927">
        <v>256.67</v>
      </c>
      <c r="T133" s="927">
        <v>258.7</v>
      </c>
      <c r="U133" s="927">
        <v>262.54000000000002</v>
      </c>
      <c r="V133" s="927">
        <v>266.58999999999997</v>
      </c>
      <c r="W133" s="927">
        <v>271.26</v>
      </c>
      <c r="X133" s="927">
        <v>275.8</v>
      </c>
      <c r="Y133" s="927">
        <v>280.39999999999998</v>
      </c>
      <c r="Z133" s="927">
        <v>285.83</v>
      </c>
      <c r="AA133" s="927">
        <v>290.58999999999997</v>
      </c>
      <c r="AB133" s="927">
        <v>292.89999999999998</v>
      </c>
      <c r="AC133" s="927">
        <v>297.16000000000003</v>
      </c>
      <c r="AD133" s="927">
        <v>301.11</v>
      </c>
      <c r="AE133" s="966">
        <v>6.0000000000000001E-3</v>
      </c>
      <c r="AF133" s="927"/>
      <c r="AG133" s="927"/>
      <c r="AH133" s="927"/>
      <c r="AI133" s="927"/>
      <c r="AJ133" s="927"/>
      <c r="AK133" s="927"/>
      <c r="AL133" s="927"/>
      <c r="AM133" s="927"/>
      <c r="AN133" s="927"/>
      <c r="AO133" s="927"/>
      <c r="AP133" s="927"/>
      <c r="AQ133" s="927"/>
      <c r="AR133" s="927"/>
      <c r="AS133" s="927"/>
      <c r="AT133" s="927"/>
      <c r="AU133" s="927"/>
      <c r="AV133" s="927"/>
      <c r="AW133" s="927"/>
      <c r="AX133" s="927"/>
      <c r="AY133" s="927"/>
      <c r="AZ133" s="927"/>
      <c r="BA133" s="927"/>
      <c r="BB133" s="927"/>
      <c r="BC133" s="927"/>
      <c r="BD133" s="927"/>
      <c r="BE133" s="927"/>
      <c r="BF133" s="927"/>
      <c r="BG133" s="927"/>
      <c r="BH133" s="927"/>
      <c r="BI133" s="927"/>
      <c r="BJ133" s="927"/>
      <c r="BK133" s="927"/>
      <c r="BL133" s="927"/>
      <c r="BM133" s="927"/>
      <c r="BN133" s="927"/>
      <c r="BO133" s="927"/>
      <c r="BP133" s="927"/>
      <c r="BQ133" s="927"/>
      <c r="BR133" s="927"/>
      <c r="BS133" s="927"/>
      <c r="BT133" s="927"/>
    </row>
    <row r="134" spans="1:72" x14ac:dyDescent="0.25">
      <c r="A134" s="927" t="s">
        <v>480</v>
      </c>
      <c r="B134" s="927">
        <v>176.61</v>
      </c>
      <c r="C134" s="927">
        <v>191.19</v>
      </c>
      <c r="D134" s="927">
        <v>168.7</v>
      </c>
      <c r="E134" s="927">
        <v>163.43</v>
      </c>
      <c r="F134" s="927">
        <v>163.69</v>
      </c>
      <c r="G134" s="927">
        <v>172.64</v>
      </c>
      <c r="H134" s="927">
        <v>173.85</v>
      </c>
      <c r="I134" s="927">
        <v>174.18</v>
      </c>
      <c r="J134" s="927">
        <v>176.9</v>
      </c>
      <c r="K134" s="927">
        <v>180.82</v>
      </c>
      <c r="L134" s="927">
        <v>184.11</v>
      </c>
      <c r="M134" s="927">
        <v>186.86</v>
      </c>
      <c r="N134" s="927">
        <v>189.36</v>
      </c>
      <c r="O134" s="927">
        <v>193.15</v>
      </c>
      <c r="P134" s="927">
        <v>196.83</v>
      </c>
      <c r="Q134" s="927">
        <v>200.4</v>
      </c>
      <c r="R134" s="927">
        <v>204.1</v>
      </c>
      <c r="S134" s="927">
        <v>207.27</v>
      </c>
      <c r="T134" s="927">
        <v>210.07</v>
      </c>
      <c r="U134" s="927">
        <v>214.23</v>
      </c>
      <c r="V134" s="927">
        <v>218.63</v>
      </c>
      <c r="W134" s="927">
        <v>223.34</v>
      </c>
      <c r="X134" s="927">
        <v>229.36</v>
      </c>
      <c r="Y134" s="927">
        <v>234.79</v>
      </c>
      <c r="Z134" s="927">
        <v>240.94</v>
      </c>
      <c r="AA134" s="927">
        <v>246.37</v>
      </c>
      <c r="AB134" s="927">
        <v>250.61</v>
      </c>
      <c r="AC134" s="927">
        <v>256.01</v>
      </c>
      <c r="AD134" s="927">
        <v>261.07</v>
      </c>
      <c r="AE134" s="966">
        <v>1.2E-2</v>
      </c>
      <c r="AF134" s="927"/>
      <c r="AG134" s="927"/>
      <c r="AH134" s="927"/>
      <c r="AI134" s="927"/>
      <c r="AJ134" s="927"/>
      <c r="AK134" s="927"/>
      <c r="AL134" s="927"/>
      <c r="AM134" s="927"/>
      <c r="AN134" s="927"/>
      <c r="AO134" s="927"/>
      <c r="AP134" s="927"/>
      <c r="AQ134" s="927"/>
      <c r="AR134" s="927"/>
      <c r="AS134" s="927"/>
      <c r="AT134" s="927"/>
      <c r="AU134" s="927"/>
      <c r="AV134" s="927"/>
      <c r="AW134" s="927"/>
      <c r="AX134" s="927"/>
      <c r="AY134" s="927"/>
      <c r="AZ134" s="927"/>
      <c r="BA134" s="927"/>
      <c r="BB134" s="927"/>
      <c r="BC134" s="927"/>
      <c r="BD134" s="927"/>
      <c r="BE134" s="927"/>
      <c r="BF134" s="927"/>
      <c r="BG134" s="927"/>
      <c r="BH134" s="927"/>
      <c r="BI134" s="927"/>
      <c r="BJ134" s="927"/>
      <c r="BK134" s="927"/>
      <c r="BL134" s="927"/>
      <c r="BM134" s="927"/>
      <c r="BN134" s="927"/>
      <c r="BO134" s="927"/>
      <c r="BP134" s="927"/>
      <c r="BQ134" s="927"/>
      <c r="BR134" s="927"/>
      <c r="BS134" s="927"/>
      <c r="BT134" s="927"/>
    </row>
    <row r="135" spans="1:72" x14ac:dyDescent="0.25">
      <c r="A135" s="927" t="s">
        <v>515</v>
      </c>
      <c r="B135" s="927">
        <v>219.69</v>
      </c>
      <c r="C135" s="927">
        <v>244.81</v>
      </c>
      <c r="D135" s="927">
        <v>175.42</v>
      </c>
      <c r="E135" s="927">
        <v>163.24</v>
      </c>
      <c r="F135" s="927">
        <v>173.51</v>
      </c>
      <c r="G135" s="927">
        <v>191.66</v>
      </c>
      <c r="H135" s="927">
        <v>201.52</v>
      </c>
      <c r="I135" s="927">
        <v>207.49</v>
      </c>
      <c r="J135" s="927">
        <v>213.14</v>
      </c>
      <c r="K135" s="927">
        <v>218.86</v>
      </c>
      <c r="L135" s="927">
        <v>223.15</v>
      </c>
      <c r="M135" s="927">
        <v>228.05</v>
      </c>
      <c r="N135" s="927">
        <v>231.33</v>
      </c>
      <c r="O135" s="927">
        <v>234.86</v>
      </c>
      <c r="P135" s="927">
        <v>236.42</v>
      </c>
      <c r="Q135" s="927">
        <v>237.67</v>
      </c>
      <c r="R135" s="927">
        <v>239.07</v>
      </c>
      <c r="S135" s="927">
        <v>240.3</v>
      </c>
      <c r="T135" s="927">
        <v>241.75</v>
      </c>
      <c r="U135" s="927">
        <v>242.96</v>
      </c>
      <c r="V135" s="927">
        <v>245.17</v>
      </c>
      <c r="W135" s="927">
        <v>247.67</v>
      </c>
      <c r="X135" s="927">
        <v>250.95</v>
      </c>
      <c r="Y135" s="927">
        <v>253.51</v>
      </c>
      <c r="Z135" s="927">
        <v>257.7</v>
      </c>
      <c r="AA135" s="927">
        <v>259.55</v>
      </c>
      <c r="AB135" s="927">
        <v>261.58</v>
      </c>
      <c r="AC135" s="927">
        <v>265.05</v>
      </c>
      <c r="AD135" s="927">
        <v>267.18</v>
      </c>
      <c r="AE135" s="966">
        <v>3.0000000000000001E-3</v>
      </c>
      <c r="AF135" s="927"/>
      <c r="AG135" s="927"/>
      <c r="AH135" s="927"/>
      <c r="AI135" s="927"/>
      <c r="AJ135" s="927"/>
      <c r="AK135" s="927"/>
      <c r="AL135" s="927"/>
      <c r="AM135" s="927"/>
      <c r="AN135" s="927"/>
      <c r="AO135" s="927"/>
      <c r="AP135" s="927"/>
      <c r="AQ135" s="927"/>
      <c r="AR135" s="927"/>
      <c r="AS135" s="927"/>
      <c r="AT135" s="927"/>
      <c r="AU135" s="927"/>
      <c r="AV135" s="927"/>
      <c r="AW135" s="927"/>
      <c r="AX135" s="927"/>
      <c r="AY135" s="927"/>
      <c r="AZ135" s="927"/>
      <c r="BA135" s="927"/>
      <c r="BB135" s="927"/>
      <c r="BC135" s="927"/>
      <c r="BD135" s="927"/>
      <c r="BE135" s="927"/>
      <c r="BF135" s="927"/>
      <c r="BG135" s="927"/>
      <c r="BH135" s="927"/>
      <c r="BI135" s="927"/>
      <c r="BJ135" s="927"/>
      <c r="BK135" s="927"/>
      <c r="BL135" s="927"/>
      <c r="BM135" s="927"/>
      <c r="BN135" s="927"/>
      <c r="BO135" s="927"/>
      <c r="BP135" s="927"/>
      <c r="BQ135" s="927"/>
      <c r="BR135" s="927"/>
      <c r="BS135" s="927"/>
      <c r="BT135" s="927"/>
    </row>
    <row r="136" spans="1:72" x14ac:dyDescent="0.25">
      <c r="A136" s="927" t="s">
        <v>487</v>
      </c>
      <c r="B136" s="927">
        <v>613.37</v>
      </c>
      <c r="C136" s="927">
        <v>705.86</v>
      </c>
      <c r="D136" s="927">
        <v>465.68</v>
      </c>
      <c r="E136" s="927">
        <v>508.22</v>
      </c>
      <c r="F136" s="927">
        <v>528.5</v>
      </c>
      <c r="G136" s="927">
        <v>567.33000000000004</v>
      </c>
      <c r="H136" s="927">
        <v>615.79</v>
      </c>
      <c r="I136" s="927">
        <v>640.91999999999996</v>
      </c>
      <c r="J136" s="927">
        <v>655.77</v>
      </c>
      <c r="K136" s="927">
        <v>671.91</v>
      </c>
      <c r="L136" s="927">
        <v>690.32</v>
      </c>
      <c r="M136" s="927">
        <v>704.34</v>
      </c>
      <c r="N136" s="927">
        <v>717.08</v>
      </c>
      <c r="O136" s="927">
        <v>729.77</v>
      </c>
      <c r="P136" s="927">
        <v>737.71</v>
      </c>
      <c r="Q136" s="927">
        <v>743.52</v>
      </c>
      <c r="R136" s="927">
        <v>757.24</v>
      </c>
      <c r="S136" s="927">
        <v>767.89</v>
      </c>
      <c r="T136" s="927">
        <v>782.71</v>
      </c>
      <c r="U136" s="927">
        <v>795.25</v>
      </c>
      <c r="V136" s="927">
        <v>808.06</v>
      </c>
      <c r="W136" s="927">
        <v>822.03</v>
      </c>
      <c r="X136" s="927">
        <v>834.45</v>
      </c>
      <c r="Y136" s="927">
        <v>846.64</v>
      </c>
      <c r="Z136" s="927">
        <v>856.24</v>
      </c>
      <c r="AA136" s="927">
        <v>869.12</v>
      </c>
      <c r="AB136" s="927">
        <v>883.55</v>
      </c>
      <c r="AC136" s="927">
        <v>894.05</v>
      </c>
      <c r="AD136" s="927">
        <v>908.01</v>
      </c>
      <c r="AE136" s="966">
        <v>8.9999999999999993E-3</v>
      </c>
      <c r="AF136" s="927"/>
      <c r="AG136" s="927"/>
      <c r="AH136" s="927"/>
      <c r="AI136" s="927"/>
      <c r="AJ136" s="927"/>
      <c r="AK136" s="927"/>
      <c r="AL136" s="927"/>
      <c r="AM136" s="927"/>
      <c r="AN136" s="927"/>
      <c r="AO136" s="927"/>
      <c r="AP136" s="927"/>
      <c r="AQ136" s="927"/>
      <c r="AR136" s="927"/>
      <c r="AS136" s="927"/>
      <c r="AT136" s="927"/>
      <c r="AU136" s="927"/>
      <c r="AV136" s="927"/>
      <c r="AW136" s="927"/>
      <c r="AX136" s="927"/>
      <c r="AY136" s="927"/>
      <c r="AZ136" s="927"/>
      <c r="BA136" s="927"/>
      <c r="BB136" s="927"/>
      <c r="BC136" s="927"/>
      <c r="BD136" s="927"/>
      <c r="BE136" s="927"/>
      <c r="BF136" s="927"/>
      <c r="BG136" s="927"/>
      <c r="BH136" s="927"/>
      <c r="BI136" s="927"/>
      <c r="BJ136" s="927"/>
      <c r="BK136" s="927"/>
      <c r="BL136" s="927"/>
      <c r="BM136" s="927"/>
      <c r="BN136" s="927"/>
      <c r="BO136" s="927"/>
      <c r="BP136" s="927"/>
      <c r="BQ136" s="927"/>
      <c r="BR136" s="927"/>
      <c r="BS136" s="927"/>
      <c r="BT136" s="927"/>
    </row>
    <row r="137" spans="1:72" x14ac:dyDescent="0.25">
      <c r="A137" s="927" t="s">
        <v>516</v>
      </c>
      <c r="B137" s="927">
        <v>1251.3499999999999</v>
      </c>
      <c r="C137" s="927">
        <v>1396.52</v>
      </c>
      <c r="D137" s="927">
        <v>1041.45</v>
      </c>
      <c r="E137" s="927">
        <v>1058.6500000000001</v>
      </c>
      <c r="F137" s="927">
        <v>1088.31</v>
      </c>
      <c r="G137" s="927">
        <v>1162.25</v>
      </c>
      <c r="H137" s="927">
        <v>1220.05</v>
      </c>
      <c r="I137" s="927">
        <v>1251.99</v>
      </c>
      <c r="J137" s="927">
        <v>1276.69</v>
      </c>
      <c r="K137" s="927">
        <v>1306.1199999999999</v>
      </c>
      <c r="L137" s="927">
        <v>1334.33</v>
      </c>
      <c r="M137" s="927">
        <v>1358.39</v>
      </c>
      <c r="N137" s="927">
        <v>1379.14</v>
      </c>
      <c r="O137" s="927">
        <v>1402.91</v>
      </c>
      <c r="P137" s="927">
        <v>1418.92</v>
      </c>
      <c r="Q137" s="927">
        <v>1432.73</v>
      </c>
      <c r="R137" s="927">
        <v>1454.32</v>
      </c>
      <c r="S137" s="927">
        <v>1472.13</v>
      </c>
      <c r="T137" s="927">
        <v>1493.23</v>
      </c>
      <c r="U137" s="927">
        <v>1514.98</v>
      </c>
      <c r="V137" s="927">
        <v>1538.45</v>
      </c>
      <c r="W137" s="927">
        <v>1564.3</v>
      </c>
      <c r="X137" s="927">
        <v>1590.55</v>
      </c>
      <c r="Y137" s="927">
        <v>1615.34</v>
      </c>
      <c r="Z137" s="927">
        <v>1640.71</v>
      </c>
      <c r="AA137" s="927">
        <v>1665.62</v>
      </c>
      <c r="AB137" s="927">
        <v>1688.65</v>
      </c>
      <c r="AC137" s="927">
        <v>1712.28</v>
      </c>
      <c r="AD137" s="927">
        <v>1737.37</v>
      </c>
      <c r="AE137" s="966">
        <v>8.0000000000000002E-3</v>
      </c>
      <c r="AF137" s="927"/>
      <c r="AG137" s="927"/>
      <c r="AH137" s="927"/>
      <c r="AI137" s="927"/>
      <c r="AJ137" s="927"/>
      <c r="AK137" s="927"/>
      <c r="AL137" s="927"/>
      <c r="AM137" s="927"/>
      <c r="AN137" s="927"/>
      <c r="AO137" s="927"/>
      <c r="AP137" s="927"/>
      <c r="AQ137" s="927"/>
      <c r="AR137" s="927"/>
      <c r="AS137" s="927"/>
      <c r="AT137" s="927"/>
      <c r="AU137" s="927"/>
      <c r="AV137" s="927"/>
      <c r="AW137" s="927"/>
      <c r="AX137" s="927"/>
      <c r="AY137" s="927"/>
      <c r="AZ137" s="927"/>
      <c r="BA137" s="927"/>
      <c r="BB137" s="927"/>
      <c r="BC137" s="927"/>
      <c r="BD137" s="927"/>
      <c r="BE137" s="927"/>
      <c r="BF137" s="927"/>
      <c r="BG137" s="927"/>
      <c r="BH137" s="927"/>
      <c r="BI137" s="927"/>
      <c r="BJ137" s="927"/>
      <c r="BK137" s="927"/>
      <c r="BL137" s="927"/>
      <c r="BM137" s="927"/>
      <c r="BN137" s="927"/>
      <c r="BO137" s="927"/>
      <c r="BP137" s="927"/>
      <c r="BQ137" s="927"/>
      <c r="BR137" s="927"/>
      <c r="BS137" s="927"/>
      <c r="BT137" s="927"/>
    </row>
    <row r="138" spans="1:72" x14ac:dyDescent="0.25">
      <c r="A138" s="927" t="s">
        <v>629</v>
      </c>
      <c r="B138" s="927">
        <v>0.05</v>
      </c>
      <c r="C138" s="927">
        <v>0.17</v>
      </c>
      <c r="D138" s="927">
        <v>0.04</v>
      </c>
      <c r="E138" s="927">
        <v>0.09</v>
      </c>
      <c r="F138" s="927">
        <v>0.11</v>
      </c>
      <c r="G138" s="927">
        <v>0.13</v>
      </c>
      <c r="H138" s="927">
        <v>0.15</v>
      </c>
      <c r="I138" s="927">
        <v>0.17</v>
      </c>
      <c r="J138" s="927">
        <v>0.21</v>
      </c>
      <c r="K138" s="927">
        <v>2.34</v>
      </c>
      <c r="L138" s="927">
        <v>3.15</v>
      </c>
      <c r="M138" s="927">
        <v>4</v>
      </c>
      <c r="N138" s="927">
        <v>5.31</v>
      </c>
      <c r="O138" s="927">
        <v>7.12</v>
      </c>
      <c r="P138" s="927">
        <v>9.59</v>
      </c>
      <c r="Q138" s="927">
        <v>17.39</v>
      </c>
      <c r="R138" s="927">
        <v>15.56</v>
      </c>
      <c r="S138" s="927">
        <v>14.53</v>
      </c>
      <c r="T138" s="927">
        <v>15.06</v>
      </c>
      <c r="U138" s="927">
        <v>16.98</v>
      </c>
      <c r="V138" s="927">
        <v>18.95</v>
      </c>
      <c r="W138" s="927">
        <v>20.57</v>
      </c>
      <c r="X138" s="927">
        <v>23.66</v>
      </c>
      <c r="Y138" s="927">
        <v>25.05</v>
      </c>
      <c r="Z138" s="927">
        <v>31.91</v>
      </c>
      <c r="AA138" s="927">
        <v>36.74</v>
      </c>
      <c r="AB138" s="927">
        <v>40.74</v>
      </c>
      <c r="AC138" s="927">
        <v>48.35</v>
      </c>
      <c r="AD138" s="927">
        <v>56.42</v>
      </c>
      <c r="AE138" s="966">
        <v>0.24099999999999999</v>
      </c>
      <c r="AF138" s="927"/>
      <c r="AG138" s="927"/>
      <c r="AH138" s="927"/>
      <c r="AI138" s="927"/>
      <c r="AJ138" s="927"/>
      <c r="AK138" s="927"/>
      <c r="AL138" s="927"/>
      <c r="AM138" s="927"/>
      <c r="AN138" s="927"/>
      <c r="AO138" s="927"/>
      <c r="AP138" s="927"/>
      <c r="AQ138" s="927"/>
      <c r="AR138" s="927"/>
      <c r="AS138" s="927"/>
      <c r="AT138" s="927"/>
      <c r="AU138" s="927"/>
      <c r="AV138" s="927"/>
      <c r="AW138" s="927"/>
      <c r="AX138" s="927"/>
      <c r="AY138" s="927"/>
      <c r="AZ138" s="927"/>
      <c r="BA138" s="927"/>
      <c r="BB138" s="927"/>
      <c r="BC138" s="927"/>
      <c r="BD138" s="927"/>
      <c r="BE138" s="927"/>
      <c r="BF138" s="927"/>
      <c r="BG138" s="927"/>
      <c r="BH138" s="927"/>
      <c r="BI138" s="927"/>
      <c r="BJ138" s="927"/>
      <c r="BK138" s="927"/>
      <c r="BL138" s="927"/>
      <c r="BM138" s="927"/>
      <c r="BN138" s="927"/>
      <c r="BO138" s="927"/>
      <c r="BP138" s="927"/>
      <c r="BQ138" s="927"/>
      <c r="BR138" s="927"/>
      <c r="BS138" s="927"/>
      <c r="BT138" s="927"/>
    </row>
    <row r="139" spans="1:72" x14ac:dyDescent="0.25">
      <c r="A139" s="927" t="s">
        <v>518</v>
      </c>
      <c r="B139" s="927">
        <v>1251.3900000000001</v>
      </c>
      <c r="C139" s="927">
        <v>1396.69</v>
      </c>
      <c r="D139" s="927">
        <v>1041.49</v>
      </c>
      <c r="E139" s="927">
        <v>1058.74</v>
      </c>
      <c r="F139" s="927">
        <v>1088.42</v>
      </c>
      <c r="G139" s="927">
        <v>1162.3699999999999</v>
      </c>
      <c r="H139" s="927">
        <v>1220.2</v>
      </c>
      <c r="I139" s="927">
        <v>1252.1600000000001</v>
      </c>
      <c r="J139" s="927">
        <v>1276.9000000000001</v>
      </c>
      <c r="K139" s="927">
        <v>1308.46</v>
      </c>
      <c r="L139" s="927">
        <v>1337.48</v>
      </c>
      <c r="M139" s="927">
        <v>1362.4</v>
      </c>
      <c r="N139" s="927">
        <v>1384.44</v>
      </c>
      <c r="O139" s="927">
        <v>1410.03</v>
      </c>
      <c r="P139" s="927">
        <v>1428.51</v>
      </c>
      <c r="Q139" s="927">
        <v>1450.12</v>
      </c>
      <c r="R139" s="927">
        <v>1469.88</v>
      </c>
      <c r="S139" s="927">
        <v>1486.66</v>
      </c>
      <c r="T139" s="927">
        <v>1508.29</v>
      </c>
      <c r="U139" s="927">
        <v>1531.96</v>
      </c>
      <c r="V139" s="927">
        <v>1557.41</v>
      </c>
      <c r="W139" s="927">
        <v>1584.86</v>
      </c>
      <c r="X139" s="927">
        <v>1614.21</v>
      </c>
      <c r="Y139" s="927">
        <v>1640.39</v>
      </c>
      <c r="Z139" s="927">
        <v>1672.62</v>
      </c>
      <c r="AA139" s="927">
        <v>1702.37</v>
      </c>
      <c r="AB139" s="927">
        <v>1729.39</v>
      </c>
      <c r="AC139" s="927">
        <v>1760.62</v>
      </c>
      <c r="AD139" s="927">
        <v>1793.79</v>
      </c>
      <c r="AE139" s="966">
        <v>8.9999999999999993E-3</v>
      </c>
      <c r="AF139" s="927"/>
      <c r="AG139" s="927"/>
      <c r="AH139" s="927"/>
      <c r="AI139" s="927"/>
      <c r="AJ139" s="927"/>
      <c r="AK139" s="927"/>
      <c r="AL139" s="927"/>
      <c r="AM139" s="927"/>
      <c r="AN139" s="927"/>
      <c r="AO139" s="927"/>
      <c r="AP139" s="927"/>
      <c r="AQ139" s="927"/>
      <c r="AR139" s="927"/>
      <c r="AS139" s="927"/>
      <c r="AT139" s="927"/>
      <c r="AU139" s="927"/>
      <c r="AV139" s="927"/>
      <c r="AW139" s="927"/>
      <c r="AX139" s="927"/>
      <c r="AY139" s="927"/>
      <c r="AZ139" s="927"/>
      <c r="BA139" s="927"/>
      <c r="BB139" s="927"/>
      <c r="BC139" s="927"/>
      <c r="BD139" s="927"/>
      <c r="BE139" s="927"/>
      <c r="BF139" s="927"/>
      <c r="BG139" s="927"/>
      <c r="BH139" s="927"/>
      <c r="BI139" s="927"/>
      <c r="BJ139" s="927"/>
      <c r="BK139" s="927"/>
      <c r="BL139" s="927"/>
      <c r="BM139" s="927"/>
      <c r="BN139" s="927"/>
      <c r="BO139" s="927"/>
      <c r="BP139" s="927"/>
      <c r="BQ139" s="927"/>
      <c r="BR139" s="927"/>
      <c r="BS139" s="927"/>
      <c r="BT139" s="927"/>
    </row>
    <row r="140" spans="1:72" x14ac:dyDescent="0.25">
      <c r="A140" s="927"/>
      <c r="B140" s="927"/>
      <c r="C140" s="927"/>
      <c r="D140" s="927"/>
      <c r="E140" s="927"/>
      <c r="F140" s="927"/>
      <c r="G140" s="927"/>
      <c r="H140" s="927"/>
      <c r="I140" s="927"/>
      <c r="J140" s="927"/>
      <c r="K140" s="927"/>
      <c r="L140" s="927"/>
      <c r="M140" s="927"/>
      <c r="N140" s="927"/>
      <c r="O140" s="927"/>
      <c r="P140" s="927"/>
      <c r="Q140" s="927"/>
      <c r="R140" s="927"/>
      <c r="S140" s="927"/>
      <c r="T140" s="927"/>
      <c r="U140" s="927"/>
      <c r="V140" s="927"/>
      <c r="W140" s="927"/>
      <c r="X140" s="927"/>
      <c r="Y140" s="927"/>
      <c r="Z140" s="927"/>
      <c r="AA140" s="927"/>
      <c r="AB140" s="927"/>
      <c r="AC140" s="927"/>
      <c r="AD140" s="927"/>
      <c r="AE140" s="927"/>
      <c r="AF140" s="927"/>
      <c r="AG140" s="927"/>
      <c r="AH140" s="927"/>
      <c r="AI140" s="927"/>
      <c r="AJ140" s="927"/>
      <c r="AK140" s="927"/>
      <c r="AL140" s="927"/>
      <c r="AM140" s="927"/>
      <c r="AN140" s="927"/>
      <c r="AO140" s="927"/>
      <c r="AP140" s="927"/>
      <c r="AQ140" s="927"/>
      <c r="AR140" s="927"/>
      <c r="AS140" s="927"/>
      <c r="AT140" s="927"/>
      <c r="AU140" s="927"/>
      <c r="AV140" s="927"/>
      <c r="AW140" s="927"/>
      <c r="AX140" s="927"/>
      <c r="AY140" s="927"/>
      <c r="AZ140" s="927"/>
      <c r="BA140" s="927"/>
      <c r="BB140" s="927"/>
      <c r="BC140" s="927"/>
      <c r="BD140" s="927"/>
      <c r="BE140" s="927"/>
      <c r="BF140" s="927"/>
      <c r="BG140" s="927"/>
      <c r="BH140" s="927"/>
      <c r="BI140" s="927"/>
      <c r="BJ140" s="927"/>
      <c r="BK140" s="927"/>
      <c r="BL140" s="927"/>
      <c r="BM140" s="927"/>
      <c r="BN140" s="927"/>
      <c r="BO140" s="927"/>
      <c r="BP140" s="927"/>
      <c r="BQ140" s="927"/>
      <c r="BR140" s="927"/>
      <c r="BS140" s="927"/>
      <c r="BT140" s="927"/>
    </row>
    <row r="141" spans="1:72" x14ac:dyDescent="0.25">
      <c r="A141" s="927"/>
      <c r="B141" s="927"/>
      <c r="C141" s="927"/>
      <c r="D141" s="927"/>
      <c r="E141" s="927"/>
      <c r="F141" s="927"/>
      <c r="G141" s="927"/>
      <c r="H141" s="927"/>
      <c r="I141" s="927"/>
      <c r="J141" s="927"/>
      <c r="K141" s="927"/>
      <c r="L141" s="927"/>
      <c r="M141" s="927"/>
      <c r="N141" s="927"/>
      <c r="O141" s="927"/>
      <c r="P141" s="927"/>
      <c r="Q141" s="927"/>
      <c r="R141" s="927"/>
      <c r="S141" s="927"/>
      <c r="T141" s="927"/>
      <c r="U141" s="927"/>
      <c r="V141" s="927"/>
      <c r="W141" s="927"/>
      <c r="X141" s="927"/>
      <c r="Y141" s="927"/>
      <c r="Z141" s="927"/>
      <c r="AA141" s="927"/>
      <c r="AB141" s="927"/>
      <c r="AC141" s="927"/>
      <c r="AD141" s="927"/>
      <c r="AE141" s="927"/>
      <c r="AF141" s="927"/>
      <c r="AG141" s="927"/>
      <c r="AH141" s="927"/>
      <c r="AI141" s="927"/>
      <c r="AJ141" s="927"/>
      <c r="AK141" s="927"/>
      <c r="AL141" s="927"/>
      <c r="AM141" s="927"/>
      <c r="AN141" s="927"/>
      <c r="AO141" s="927"/>
      <c r="AP141" s="927"/>
      <c r="AQ141" s="927"/>
      <c r="AR141" s="927"/>
      <c r="AS141" s="927"/>
      <c r="AT141" s="927"/>
      <c r="AU141" s="927"/>
      <c r="AV141" s="927"/>
      <c r="AW141" s="927"/>
      <c r="AX141" s="927"/>
      <c r="AY141" s="927"/>
      <c r="AZ141" s="927"/>
      <c r="BA141" s="927"/>
      <c r="BB141" s="927"/>
      <c r="BC141" s="927"/>
      <c r="BD141" s="927"/>
      <c r="BE141" s="927"/>
      <c r="BF141" s="927"/>
      <c r="BG141" s="927"/>
      <c r="BH141" s="927"/>
      <c r="BI141" s="927"/>
      <c r="BJ141" s="927"/>
      <c r="BK141" s="927"/>
      <c r="BL141" s="927"/>
      <c r="BM141" s="927"/>
      <c r="BN141" s="927"/>
      <c r="BO141" s="927"/>
      <c r="BP141" s="927"/>
      <c r="BQ141" s="927"/>
      <c r="BR141" s="927"/>
      <c r="BS141" s="927"/>
      <c r="BT141" s="927"/>
    </row>
    <row r="142" spans="1:72" x14ac:dyDescent="0.25">
      <c r="A142" s="927" t="s">
        <v>726</v>
      </c>
      <c r="B142" s="927"/>
      <c r="C142" s="927"/>
      <c r="D142" s="927"/>
      <c r="E142" s="927"/>
      <c r="F142" s="927"/>
      <c r="G142" s="927"/>
      <c r="H142" s="927"/>
      <c r="I142" s="927"/>
      <c r="J142" s="927"/>
      <c r="K142" s="927"/>
      <c r="L142" s="927"/>
      <c r="M142" s="927"/>
      <c r="N142" s="927"/>
      <c r="O142" s="927"/>
      <c r="P142" s="927"/>
      <c r="Q142" s="927"/>
      <c r="R142" s="927"/>
      <c r="S142" s="927"/>
      <c r="T142" s="927"/>
      <c r="U142" s="927"/>
      <c r="V142" s="927"/>
      <c r="W142" s="927"/>
      <c r="X142" s="927"/>
      <c r="Y142" s="927"/>
      <c r="Z142" s="927"/>
      <c r="AA142" s="927"/>
      <c r="AB142" s="927"/>
      <c r="AC142" s="927"/>
      <c r="AD142" s="927"/>
      <c r="AE142" s="927"/>
      <c r="AF142" s="927"/>
      <c r="AG142" s="927"/>
      <c r="AH142" s="927"/>
      <c r="AI142" s="927"/>
      <c r="AJ142" s="927"/>
      <c r="AK142" s="927"/>
      <c r="AL142" s="927"/>
      <c r="AM142" s="927"/>
      <c r="AN142" s="927"/>
      <c r="AO142" s="927"/>
      <c r="AP142" s="927"/>
      <c r="AQ142" s="927"/>
      <c r="AR142" s="927"/>
      <c r="AS142" s="927"/>
      <c r="AT142" s="927"/>
      <c r="AU142" s="927"/>
      <c r="AV142" s="927"/>
      <c r="AW142" s="927"/>
      <c r="AX142" s="927"/>
      <c r="AY142" s="927"/>
      <c r="AZ142" s="927"/>
      <c r="BA142" s="927"/>
      <c r="BB142" s="927"/>
      <c r="BC142" s="927"/>
      <c r="BD142" s="927"/>
      <c r="BE142" s="927"/>
      <c r="BF142" s="927"/>
      <c r="BG142" s="927"/>
      <c r="BH142" s="927"/>
      <c r="BI142" s="927"/>
      <c r="BJ142" s="927"/>
      <c r="BK142" s="927"/>
      <c r="BL142" s="927"/>
      <c r="BM142" s="927"/>
      <c r="BN142" s="927"/>
      <c r="BO142" s="927"/>
      <c r="BP142" s="927"/>
      <c r="BQ142" s="927"/>
      <c r="BR142" s="927"/>
      <c r="BS142" s="927"/>
      <c r="BT142" s="927"/>
    </row>
    <row r="143" spans="1:72" x14ac:dyDescent="0.25">
      <c r="A143" s="927" t="s">
        <v>473</v>
      </c>
      <c r="B143" s="927"/>
      <c r="C143" s="927"/>
      <c r="D143" s="927"/>
      <c r="E143" s="927"/>
      <c r="F143" s="927"/>
      <c r="G143" s="927"/>
      <c r="H143" s="927"/>
      <c r="I143" s="927"/>
      <c r="J143" s="927"/>
      <c r="K143" s="927"/>
      <c r="L143" s="927"/>
      <c r="M143" s="927"/>
      <c r="N143" s="927"/>
      <c r="O143" s="927"/>
      <c r="P143" s="927"/>
      <c r="Q143" s="927"/>
      <c r="R143" s="927"/>
      <c r="S143" s="927"/>
      <c r="T143" s="927"/>
      <c r="U143" s="927"/>
      <c r="V143" s="927"/>
      <c r="W143" s="927"/>
      <c r="X143" s="927"/>
      <c r="Y143" s="927"/>
      <c r="Z143" s="927"/>
      <c r="AA143" s="927"/>
      <c r="AB143" s="927"/>
      <c r="AC143" s="927"/>
      <c r="AD143" s="927"/>
      <c r="AE143" s="927"/>
      <c r="AF143" s="927"/>
      <c r="AG143" s="927"/>
      <c r="AH143" s="927"/>
      <c r="AI143" s="927"/>
      <c r="AJ143" s="927"/>
      <c r="AK143" s="927"/>
      <c r="AL143" s="927"/>
      <c r="AM143" s="927"/>
      <c r="AN143" s="927"/>
      <c r="AO143" s="927"/>
      <c r="AP143" s="927"/>
      <c r="AQ143" s="927"/>
      <c r="AR143" s="927"/>
      <c r="AS143" s="927"/>
      <c r="AT143" s="927"/>
      <c r="AU143" s="927"/>
      <c r="AV143" s="927"/>
      <c r="AW143" s="927"/>
      <c r="AX143" s="927"/>
      <c r="AY143" s="927"/>
      <c r="AZ143" s="927"/>
      <c r="BA143" s="927"/>
      <c r="BB143" s="927"/>
      <c r="BC143" s="927"/>
      <c r="BD143" s="927"/>
      <c r="BE143" s="927"/>
      <c r="BF143" s="927"/>
      <c r="BG143" s="927"/>
      <c r="BH143" s="927"/>
      <c r="BI143" s="927"/>
      <c r="BJ143" s="927"/>
      <c r="BK143" s="927"/>
      <c r="BL143" s="927"/>
      <c r="BM143" s="927"/>
      <c r="BN143" s="927"/>
      <c r="BO143" s="927"/>
      <c r="BP143" s="927"/>
      <c r="BQ143" s="927"/>
      <c r="BR143" s="927"/>
      <c r="BS143" s="927"/>
      <c r="BT143" s="927"/>
    </row>
    <row r="144" spans="1:72" x14ac:dyDescent="0.25">
      <c r="A144" s="927" t="s">
        <v>609</v>
      </c>
      <c r="B144" s="927">
        <v>25.67</v>
      </c>
      <c r="C144" s="927">
        <v>29.35</v>
      </c>
      <c r="D144" s="927">
        <v>25.28</v>
      </c>
      <c r="E144" s="927">
        <v>24.73</v>
      </c>
      <c r="F144" s="927">
        <v>25.15</v>
      </c>
      <c r="G144" s="927">
        <v>26.73</v>
      </c>
      <c r="H144" s="927">
        <v>28.51</v>
      </c>
      <c r="I144" s="927">
        <v>30.06</v>
      </c>
      <c r="J144" s="927">
        <v>31.23</v>
      </c>
      <c r="K144" s="927">
        <v>32.520000000000003</v>
      </c>
      <c r="L144" s="927">
        <v>33.75</v>
      </c>
      <c r="M144" s="927">
        <v>35.06</v>
      </c>
      <c r="N144" s="927">
        <v>36.020000000000003</v>
      </c>
      <c r="O144" s="927">
        <v>37.020000000000003</v>
      </c>
      <c r="P144" s="927">
        <v>38.1</v>
      </c>
      <c r="Q144" s="927">
        <v>39.200000000000003</v>
      </c>
      <c r="R144" s="927">
        <v>40.409999999999997</v>
      </c>
      <c r="S144" s="927">
        <v>41.61</v>
      </c>
      <c r="T144" s="927">
        <v>42.82</v>
      </c>
      <c r="U144" s="927">
        <v>43.92</v>
      </c>
      <c r="V144" s="927">
        <v>45.24</v>
      </c>
      <c r="W144" s="927">
        <v>46.58</v>
      </c>
      <c r="X144" s="927">
        <v>48.12</v>
      </c>
      <c r="Y144" s="927">
        <v>49.52</v>
      </c>
      <c r="Z144" s="927">
        <v>51.18</v>
      </c>
      <c r="AA144" s="927">
        <v>52.85</v>
      </c>
      <c r="AB144" s="927">
        <v>54.62</v>
      </c>
      <c r="AC144" s="927">
        <v>56.39</v>
      </c>
      <c r="AD144" s="927">
        <v>58.23</v>
      </c>
      <c r="AE144" s="966">
        <v>2.5999999999999999E-2</v>
      </c>
      <c r="AF144" s="927"/>
      <c r="AG144" s="927"/>
      <c r="AH144" s="927"/>
      <c r="AI144" s="927"/>
      <c r="AJ144" s="927"/>
      <c r="AK144" s="927"/>
      <c r="AL144" s="927"/>
      <c r="AM144" s="927"/>
      <c r="AN144" s="927"/>
      <c r="AO144" s="927"/>
      <c r="AP144" s="927"/>
      <c r="AQ144" s="927"/>
      <c r="AR144" s="927"/>
      <c r="AS144" s="927"/>
      <c r="AT144" s="927"/>
      <c r="AU144" s="927"/>
      <c r="AV144" s="927"/>
      <c r="AW144" s="927"/>
      <c r="AX144" s="927"/>
      <c r="AY144" s="927"/>
      <c r="AZ144" s="927"/>
      <c r="BA144" s="927"/>
      <c r="BB144" s="927"/>
      <c r="BC144" s="927"/>
      <c r="BD144" s="927"/>
      <c r="BE144" s="927"/>
      <c r="BF144" s="927"/>
      <c r="BG144" s="927"/>
      <c r="BH144" s="927"/>
      <c r="BI144" s="927"/>
      <c r="BJ144" s="927"/>
      <c r="BK144" s="927"/>
      <c r="BL144" s="927"/>
      <c r="BM144" s="927"/>
      <c r="BN144" s="927"/>
      <c r="BO144" s="927"/>
      <c r="BP144" s="927"/>
      <c r="BQ144" s="927"/>
      <c r="BR144" s="927"/>
      <c r="BS144" s="927"/>
      <c r="BT144" s="927"/>
    </row>
    <row r="145" spans="1:72" x14ac:dyDescent="0.25">
      <c r="A145" s="927" t="s">
        <v>610</v>
      </c>
      <c r="B145" s="927">
        <v>19.86</v>
      </c>
      <c r="C145" s="927">
        <v>24.47</v>
      </c>
      <c r="D145" s="927">
        <v>18.260000000000002</v>
      </c>
      <c r="E145" s="927">
        <v>18.100000000000001</v>
      </c>
      <c r="F145" s="927">
        <v>18.489999999999998</v>
      </c>
      <c r="G145" s="927">
        <v>19.940000000000001</v>
      </c>
      <c r="H145" s="927">
        <v>21.4</v>
      </c>
      <c r="I145" s="927">
        <v>22.55</v>
      </c>
      <c r="J145" s="927">
        <v>23.49</v>
      </c>
      <c r="K145" s="927">
        <v>24.96</v>
      </c>
      <c r="L145" s="927">
        <v>26.17</v>
      </c>
      <c r="M145" s="927">
        <v>27.44</v>
      </c>
      <c r="N145" s="927">
        <v>28.46</v>
      </c>
      <c r="O145" s="927">
        <v>29.45</v>
      </c>
      <c r="P145" s="927">
        <v>30.25</v>
      </c>
      <c r="Q145" s="927">
        <v>31.17</v>
      </c>
      <c r="R145" s="927">
        <v>32.25</v>
      </c>
      <c r="S145" s="927">
        <v>33.17</v>
      </c>
      <c r="T145" s="927">
        <v>34.24</v>
      </c>
      <c r="U145" s="927">
        <v>35.33</v>
      </c>
      <c r="V145" s="927">
        <v>36.380000000000003</v>
      </c>
      <c r="W145" s="927">
        <v>37.630000000000003</v>
      </c>
      <c r="X145" s="927">
        <v>39.049999999999997</v>
      </c>
      <c r="Y145" s="927">
        <v>40.159999999999997</v>
      </c>
      <c r="Z145" s="927">
        <v>41.73</v>
      </c>
      <c r="AA145" s="927">
        <v>43.3</v>
      </c>
      <c r="AB145" s="927">
        <v>44.82</v>
      </c>
      <c r="AC145" s="927">
        <v>46.47</v>
      </c>
      <c r="AD145" s="927">
        <v>48.16</v>
      </c>
      <c r="AE145" s="966">
        <v>2.5000000000000001E-2</v>
      </c>
      <c r="AF145" s="927"/>
      <c r="AG145" s="927"/>
      <c r="AH145" s="927"/>
      <c r="AI145" s="927"/>
      <c r="AJ145" s="927"/>
      <c r="AK145" s="927"/>
      <c r="AL145" s="927"/>
      <c r="AM145" s="927"/>
      <c r="AN145" s="927"/>
      <c r="AO145" s="927"/>
      <c r="AP145" s="927"/>
      <c r="AQ145" s="927"/>
      <c r="AR145" s="927"/>
      <c r="AS145" s="927"/>
      <c r="AT145" s="927"/>
      <c r="AU145" s="927"/>
      <c r="AV145" s="927"/>
      <c r="AW145" s="927"/>
      <c r="AX145" s="927"/>
      <c r="AY145" s="927"/>
      <c r="AZ145" s="927"/>
      <c r="BA145" s="927"/>
      <c r="BB145" s="927"/>
      <c r="BC145" s="927"/>
      <c r="BD145" s="927"/>
      <c r="BE145" s="927"/>
      <c r="BF145" s="927"/>
      <c r="BG145" s="927"/>
      <c r="BH145" s="927"/>
      <c r="BI145" s="927"/>
      <c r="BJ145" s="927"/>
      <c r="BK145" s="927"/>
      <c r="BL145" s="927"/>
      <c r="BM145" s="927"/>
      <c r="BN145" s="927"/>
      <c r="BO145" s="927"/>
      <c r="BP145" s="927"/>
      <c r="BQ145" s="927"/>
      <c r="BR145" s="927"/>
      <c r="BS145" s="927"/>
      <c r="BT145" s="927"/>
    </row>
    <row r="146" spans="1:72" x14ac:dyDescent="0.25">
      <c r="A146" s="927" t="s">
        <v>510</v>
      </c>
      <c r="B146" s="927">
        <v>12.66</v>
      </c>
      <c r="C146" s="927">
        <v>13.48</v>
      </c>
      <c r="D146" s="927">
        <v>11.57</v>
      </c>
      <c r="E146" s="927">
        <v>11.22</v>
      </c>
      <c r="F146" s="927">
        <v>12.29</v>
      </c>
      <c r="G146" s="927">
        <v>12.56</v>
      </c>
      <c r="H146" s="927">
        <v>12.36</v>
      </c>
      <c r="I146" s="927">
        <v>12.51</v>
      </c>
      <c r="J146" s="927">
        <v>12.88</v>
      </c>
      <c r="K146" s="927">
        <v>13.22</v>
      </c>
      <c r="L146" s="927">
        <v>13.5</v>
      </c>
      <c r="M146" s="927">
        <v>13.83</v>
      </c>
      <c r="N146" s="927">
        <v>14.18</v>
      </c>
      <c r="O146" s="927">
        <v>14.61</v>
      </c>
      <c r="P146" s="927">
        <v>15.06</v>
      </c>
      <c r="Q146" s="927">
        <v>15.64</v>
      </c>
      <c r="R146" s="927">
        <v>16.010000000000002</v>
      </c>
      <c r="S146" s="927">
        <v>16.22</v>
      </c>
      <c r="T146" s="927">
        <v>16.68</v>
      </c>
      <c r="U146" s="927">
        <v>17.260000000000002</v>
      </c>
      <c r="V146" s="927">
        <v>17.91</v>
      </c>
      <c r="W146" s="927">
        <v>18.649999999999999</v>
      </c>
      <c r="X146" s="927">
        <v>19.440000000000001</v>
      </c>
      <c r="Y146" s="927">
        <v>20.29</v>
      </c>
      <c r="Z146" s="927">
        <v>21.26</v>
      </c>
      <c r="AA146" s="927">
        <v>21.98</v>
      </c>
      <c r="AB146" s="927">
        <v>22.61</v>
      </c>
      <c r="AC146" s="927">
        <v>23.44</v>
      </c>
      <c r="AD146" s="927">
        <v>24.2</v>
      </c>
      <c r="AE146" s="966">
        <v>2.1999999999999999E-2</v>
      </c>
      <c r="AF146" s="927"/>
      <c r="AG146" s="927"/>
      <c r="AH146" s="927"/>
      <c r="AI146" s="927"/>
      <c r="AJ146" s="927"/>
      <c r="AK146" s="927"/>
      <c r="AL146" s="927"/>
      <c r="AM146" s="927"/>
      <c r="AN146" s="927"/>
      <c r="AO146" s="927"/>
      <c r="AP146" s="927"/>
      <c r="AQ146" s="927"/>
      <c r="AR146" s="927"/>
      <c r="AS146" s="927"/>
      <c r="AT146" s="927"/>
      <c r="AU146" s="927"/>
      <c r="AV146" s="927"/>
      <c r="AW146" s="927"/>
      <c r="AX146" s="927"/>
      <c r="AY146" s="927"/>
      <c r="AZ146" s="927"/>
      <c r="BA146" s="927"/>
      <c r="BB146" s="927"/>
      <c r="BC146" s="927"/>
      <c r="BD146" s="927"/>
      <c r="BE146" s="927"/>
      <c r="BF146" s="927"/>
      <c r="BG146" s="927"/>
      <c r="BH146" s="927"/>
      <c r="BI146" s="927"/>
      <c r="BJ146" s="927"/>
      <c r="BK146" s="927"/>
      <c r="BL146" s="927"/>
      <c r="BM146" s="927"/>
      <c r="BN146" s="927"/>
      <c r="BO146" s="927"/>
      <c r="BP146" s="927"/>
      <c r="BQ146" s="927"/>
      <c r="BR146" s="927"/>
      <c r="BS146" s="927"/>
      <c r="BT146" s="927"/>
    </row>
    <row r="147" spans="1:72" x14ac:dyDescent="0.25">
      <c r="A147" s="927" t="s">
        <v>479</v>
      </c>
      <c r="B147" s="927">
        <v>31.12</v>
      </c>
      <c r="C147" s="927">
        <v>33.29</v>
      </c>
      <c r="D147" s="927">
        <v>32.83</v>
      </c>
      <c r="E147" s="927">
        <v>31.88</v>
      </c>
      <c r="F147" s="927">
        <v>31.21</v>
      </c>
      <c r="G147" s="927">
        <v>32.9</v>
      </c>
      <c r="H147" s="927">
        <v>33.9</v>
      </c>
      <c r="I147" s="927">
        <v>34.5</v>
      </c>
      <c r="J147" s="927">
        <v>35.020000000000003</v>
      </c>
      <c r="K147" s="927">
        <v>35.89</v>
      </c>
      <c r="L147" s="927">
        <v>36.74</v>
      </c>
      <c r="M147" s="927">
        <v>37.39</v>
      </c>
      <c r="N147" s="927">
        <v>37.97</v>
      </c>
      <c r="O147" s="927">
        <v>38.92</v>
      </c>
      <c r="P147" s="927">
        <v>39.950000000000003</v>
      </c>
      <c r="Q147" s="927">
        <v>40.92</v>
      </c>
      <c r="R147" s="927">
        <v>41.95</v>
      </c>
      <c r="S147" s="927">
        <v>42.94</v>
      </c>
      <c r="T147" s="927">
        <v>43.78</v>
      </c>
      <c r="U147" s="927">
        <v>44.88</v>
      </c>
      <c r="V147" s="927">
        <v>46.07</v>
      </c>
      <c r="W147" s="927">
        <v>47.3</v>
      </c>
      <c r="X147" s="927">
        <v>48.93</v>
      </c>
      <c r="Y147" s="927">
        <v>50.5</v>
      </c>
      <c r="Z147" s="927">
        <v>52.16</v>
      </c>
      <c r="AA147" s="927">
        <v>53.81</v>
      </c>
      <c r="AB147" s="927">
        <v>55.2</v>
      </c>
      <c r="AC147" s="927">
        <v>56.77</v>
      </c>
      <c r="AD147" s="927">
        <v>58.33</v>
      </c>
      <c r="AE147" s="966">
        <v>2.1000000000000001E-2</v>
      </c>
      <c r="AF147" s="927"/>
      <c r="AG147" s="927"/>
      <c r="AH147" s="927"/>
      <c r="AI147" s="927"/>
      <c r="AJ147" s="927"/>
      <c r="AK147" s="927"/>
      <c r="AL147" s="927"/>
      <c r="AM147" s="927"/>
      <c r="AN147" s="927"/>
      <c r="AO147" s="927"/>
      <c r="AP147" s="927"/>
      <c r="AQ147" s="927"/>
      <c r="AR147" s="927"/>
      <c r="AS147" s="927"/>
      <c r="AT147" s="927"/>
      <c r="AU147" s="927"/>
      <c r="AV147" s="927"/>
      <c r="AW147" s="927"/>
      <c r="AX147" s="927"/>
      <c r="AY147" s="927"/>
      <c r="AZ147" s="927"/>
      <c r="BA147" s="927"/>
      <c r="BB147" s="927"/>
      <c r="BC147" s="927"/>
      <c r="BD147" s="927"/>
      <c r="BE147" s="927"/>
      <c r="BF147" s="927"/>
      <c r="BG147" s="927"/>
      <c r="BH147" s="927"/>
      <c r="BI147" s="927"/>
      <c r="BJ147" s="927"/>
      <c r="BK147" s="927"/>
      <c r="BL147" s="927"/>
      <c r="BM147" s="927"/>
      <c r="BN147" s="927"/>
      <c r="BO147" s="927"/>
      <c r="BP147" s="927"/>
      <c r="BQ147" s="927"/>
      <c r="BR147" s="927"/>
      <c r="BS147" s="927"/>
      <c r="BT147" s="927"/>
    </row>
    <row r="148" spans="1:72" x14ac:dyDescent="0.25">
      <c r="A148" s="927"/>
      <c r="B148" s="927"/>
      <c r="C148" s="927"/>
      <c r="D148" s="927"/>
      <c r="E148" s="927"/>
      <c r="F148" s="927"/>
      <c r="G148" s="927"/>
      <c r="H148" s="927"/>
      <c r="I148" s="927"/>
      <c r="J148" s="927"/>
      <c r="K148" s="927"/>
      <c r="L148" s="927"/>
      <c r="M148" s="927"/>
      <c r="N148" s="927"/>
      <c r="O148" s="927"/>
      <c r="P148" s="927"/>
      <c r="Q148" s="927"/>
      <c r="R148" s="927"/>
      <c r="S148" s="927"/>
      <c r="T148" s="927"/>
      <c r="U148" s="927"/>
      <c r="V148" s="927"/>
      <c r="W148" s="927"/>
      <c r="X148" s="927"/>
      <c r="Y148" s="927"/>
      <c r="Z148" s="927"/>
      <c r="AA148" s="927"/>
      <c r="AB148" s="927"/>
      <c r="AC148" s="927"/>
      <c r="AD148" s="927"/>
      <c r="AE148" s="927"/>
      <c r="AF148" s="927"/>
      <c r="AG148" s="927"/>
      <c r="AH148" s="927"/>
      <c r="AI148" s="927"/>
      <c r="AJ148" s="927"/>
      <c r="AK148" s="927"/>
      <c r="AL148" s="927"/>
      <c r="AM148" s="927"/>
      <c r="AN148" s="927"/>
      <c r="AO148" s="927"/>
      <c r="AP148" s="927"/>
      <c r="AQ148" s="927"/>
      <c r="AR148" s="927"/>
      <c r="AS148" s="927"/>
      <c r="AT148" s="927"/>
      <c r="AU148" s="927"/>
      <c r="AV148" s="927"/>
      <c r="AW148" s="927"/>
      <c r="AX148" s="927"/>
      <c r="AY148" s="927"/>
      <c r="AZ148" s="927"/>
      <c r="BA148" s="927"/>
      <c r="BB148" s="927"/>
      <c r="BC148" s="927"/>
      <c r="BD148" s="927"/>
      <c r="BE148" s="927"/>
      <c r="BF148" s="927"/>
      <c r="BG148" s="927"/>
      <c r="BH148" s="927"/>
      <c r="BI148" s="927"/>
      <c r="BJ148" s="927"/>
      <c r="BK148" s="927"/>
      <c r="BL148" s="927"/>
      <c r="BM148" s="927"/>
      <c r="BN148" s="927"/>
      <c r="BO148" s="927"/>
      <c r="BP148" s="927"/>
      <c r="BQ148" s="927"/>
      <c r="BR148" s="927"/>
      <c r="BS148" s="927"/>
      <c r="BT148" s="927"/>
    </row>
    <row r="149" spans="1:72" x14ac:dyDescent="0.25">
      <c r="A149" s="927" t="s">
        <v>480</v>
      </c>
      <c r="B149" s="927"/>
      <c r="C149" s="927"/>
      <c r="D149" s="927"/>
      <c r="E149" s="927"/>
      <c r="F149" s="927"/>
      <c r="G149" s="927"/>
      <c r="H149" s="927"/>
      <c r="I149" s="927"/>
      <c r="J149" s="927"/>
      <c r="K149" s="927"/>
      <c r="L149" s="927"/>
      <c r="M149" s="927"/>
      <c r="N149" s="927"/>
      <c r="O149" s="927"/>
      <c r="P149" s="927"/>
      <c r="Q149" s="927"/>
      <c r="R149" s="927"/>
      <c r="S149" s="927"/>
      <c r="T149" s="927"/>
      <c r="U149" s="927"/>
      <c r="V149" s="927"/>
      <c r="W149" s="927"/>
      <c r="X149" s="927"/>
      <c r="Y149" s="927"/>
      <c r="Z149" s="927"/>
      <c r="AA149" s="927"/>
      <c r="AB149" s="927"/>
      <c r="AC149" s="927"/>
      <c r="AD149" s="927"/>
      <c r="AE149" s="927"/>
      <c r="AF149" s="927"/>
      <c r="AG149" s="927"/>
      <c r="AH149" s="927"/>
      <c r="AI149" s="927"/>
      <c r="AJ149" s="927"/>
      <c r="AK149" s="927"/>
      <c r="AL149" s="927"/>
      <c r="AM149" s="927"/>
      <c r="AN149" s="927"/>
      <c r="AO149" s="927"/>
      <c r="AP149" s="927"/>
      <c r="AQ149" s="927"/>
      <c r="AR149" s="927"/>
      <c r="AS149" s="927"/>
      <c r="AT149" s="927"/>
      <c r="AU149" s="927"/>
      <c r="AV149" s="927"/>
      <c r="AW149" s="927"/>
      <c r="AX149" s="927"/>
      <c r="AY149" s="927"/>
      <c r="AZ149" s="927"/>
      <c r="BA149" s="927"/>
      <c r="BB149" s="927"/>
      <c r="BC149" s="927"/>
      <c r="BD149" s="927"/>
      <c r="BE149" s="927"/>
      <c r="BF149" s="927"/>
      <c r="BG149" s="927"/>
      <c r="BH149" s="927"/>
      <c r="BI149" s="927"/>
      <c r="BJ149" s="927"/>
      <c r="BK149" s="927"/>
      <c r="BL149" s="927"/>
      <c r="BM149" s="927"/>
      <c r="BN149" s="927"/>
      <c r="BO149" s="927"/>
      <c r="BP149" s="927"/>
      <c r="BQ149" s="927"/>
      <c r="BR149" s="927"/>
      <c r="BS149" s="927"/>
      <c r="BT149" s="927"/>
    </row>
    <row r="150" spans="1:72" x14ac:dyDescent="0.25">
      <c r="A150" s="927" t="s">
        <v>609</v>
      </c>
      <c r="B150" s="927">
        <v>20.2</v>
      </c>
      <c r="C150" s="927">
        <v>26.15</v>
      </c>
      <c r="D150" s="927">
        <v>20.12</v>
      </c>
      <c r="E150" s="927">
        <v>21.4</v>
      </c>
      <c r="F150" s="927">
        <v>21.77</v>
      </c>
      <c r="G150" s="927">
        <v>23.3</v>
      </c>
      <c r="H150" s="927">
        <v>25.02</v>
      </c>
      <c r="I150" s="927">
        <v>26.51</v>
      </c>
      <c r="J150" s="927">
        <v>27.61</v>
      </c>
      <c r="K150" s="927">
        <v>28.83</v>
      </c>
      <c r="L150" s="927">
        <v>29.98</v>
      </c>
      <c r="M150" s="927">
        <v>31.22</v>
      </c>
      <c r="N150" s="927">
        <v>32.11</v>
      </c>
      <c r="O150" s="927">
        <v>33.020000000000003</v>
      </c>
      <c r="P150" s="927">
        <v>34.01</v>
      </c>
      <c r="Q150" s="927">
        <v>35.020000000000003</v>
      </c>
      <c r="R150" s="927">
        <v>36.130000000000003</v>
      </c>
      <c r="S150" s="927">
        <v>37.24</v>
      </c>
      <c r="T150" s="927">
        <v>38.35</v>
      </c>
      <c r="U150" s="927">
        <v>39.36</v>
      </c>
      <c r="V150" s="927">
        <v>40.57</v>
      </c>
      <c r="W150" s="927">
        <v>41.81</v>
      </c>
      <c r="X150" s="927">
        <v>43.24</v>
      </c>
      <c r="Y150" s="927">
        <v>44.53</v>
      </c>
      <c r="Z150" s="927">
        <v>46.07</v>
      </c>
      <c r="AA150" s="927">
        <v>47.62</v>
      </c>
      <c r="AB150" s="927">
        <v>49.27</v>
      </c>
      <c r="AC150" s="927">
        <v>50.92</v>
      </c>
      <c r="AD150" s="927">
        <v>52.64</v>
      </c>
      <c r="AE150" s="966">
        <v>2.5999999999999999E-2</v>
      </c>
      <c r="AF150" s="927"/>
      <c r="AG150" s="927"/>
      <c r="AH150" s="927"/>
      <c r="AI150" s="927"/>
      <c r="AJ150" s="927"/>
      <c r="AK150" s="927"/>
      <c r="AL150" s="927"/>
      <c r="AM150" s="927"/>
      <c r="AN150" s="927"/>
      <c r="AO150" s="927"/>
      <c r="AP150" s="927"/>
      <c r="AQ150" s="927"/>
      <c r="AR150" s="927"/>
      <c r="AS150" s="927"/>
      <c r="AT150" s="927"/>
      <c r="AU150" s="927"/>
      <c r="AV150" s="927"/>
      <c r="AW150" s="927"/>
      <c r="AX150" s="927"/>
      <c r="AY150" s="927"/>
      <c r="AZ150" s="927"/>
      <c r="BA150" s="927"/>
      <c r="BB150" s="927"/>
      <c r="BC150" s="927"/>
      <c r="BD150" s="927"/>
      <c r="BE150" s="927"/>
      <c r="BF150" s="927"/>
      <c r="BG150" s="927"/>
      <c r="BH150" s="927"/>
      <c r="BI150" s="927"/>
      <c r="BJ150" s="927"/>
      <c r="BK150" s="927"/>
      <c r="BL150" s="927"/>
      <c r="BM150" s="927"/>
      <c r="BN150" s="927"/>
      <c r="BO150" s="927"/>
      <c r="BP150" s="927"/>
      <c r="BQ150" s="927"/>
      <c r="BR150" s="927"/>
      <c r="BS150" s="927"/>
      <c r="BT150" s="927"/>
    </row>
    <row r="151" spans="1:72" x14ac:dyDescent="0.25">
      <c r="A151" s="927" t="s">
        <v>610</v>
      </c>
      <c r="B151" s="927">
        <v>17.100000000000001</v>
      </c>
      <c r="C151" s="927">
        <v>21.5</v>
      </c>
      <c r="D151" s="927">
        <v>16.04</v>
      </c>
      <c r="E151" s="927">
        <v>15.27</v>
      </c>
      <c r="F151" s="927">
        <v>15.91</v>
      </c>
      <c r="G151" s="927">
        <v>17.34</v>
      </c>
      <c r="H151" s="927">
        <v>18.739999999999998</v>
      </c>
      <c r="I151" s="927">
        <v>19.850000000000001</v>
      </c>
      <c r="J151" s="927">
        <v>20.86</v>
      </c>
      <c r="K151" s="927">
        <v>22.18</v>
      </c>
      <c r="L151" s="927">
        <v>23.33</v>
      </c>
      <c r="M151" s="927">
        <v>24.52</v>
      </c>
      <c r="N151" s="927">
        <v>25.47</v>
      </c>
      <c r="O151" s="927">
        <v>26.39</v>
      </c>
      <c r="P151" s="927">
        <v>27.18</v>
      </c>
      <c r="Q151" s="927">
        <v>28.11</v>
      </c>
      <c r="R151" s="927">
        <v>29.04</v>
      </c>
      <c r="S151" s="927">
        <v>29.83</v>
      </c>
      <c r="T151" s="927">
        <v>30.83</v>
      </c>
      <c r="U151" s="927">
        <v>31.82</v>
      </c>
      <c r="V151" s="927">
        <v>32.83</v>
      </c>
      <c r="W151" s="927">
        <v>34.01</v>
      </c>
      <c r="X151" s="927">
        <v>35.340000000000003</v>
      </c>
      <c r="Y151" s="927">
        <v>36.380000000000003</v>
      </c>
      <c r="Z151" s="927">
        <v>37.86</v>
      </c>
      <c r="AA151" s="927">
        <v>39.340000000000003</v>
      </c>
      <c r="AB151" s="927">
        <v>40.74</v>
      </c>
      <c r="AC151" s="927">
        <v>42.29</v>
      </c>
      <c r="AD151" s="927">
        <v>43.92</v>
      </c>
      <c r="AE151" s="966">
        <v>2.7E-2</v>
      </c>
      <c r="AF151" s="927"/>
      <c r="AG151" s="927"/>
      <c r="AH151" s="927"/>
      <c r="AI151" s="927"/>
      <c r="AJ151" s="927"/>
      <c r="AK151" s="927"/>
      <c r="AL151" s="927"/>
      <c r="AM151" s="927"/>
      <c r="AN151" s="927"/>
      <c r="AO151" s="927"/>
      <c r="AP151" s="927"/>
      <c r="AQ151" s="927"/>
      <c r="AR151" s="927"/>
      <c r="AS151" s="927"/>
      <c r="AT151" s="927"/>
      <c r="AU151" s="927"/>
      <c r="AV151" s="927"/>
      <c r="AW151" s="927"/>
      <c r="AX151" s="927"/>
      <c r="AY151" s="927"/>
      <c r="AZ151" s="927"/>
      <c r="BA151" s="927"/>
      <c r="BB151" s="927"/>
      <c r="BC151" s="927"/>
      <c r="BD151" s="927"/>
      <c r="BE151" s="927"/>
      <c r="BF151" s="927"/>
      <c r="BG151" s="927"/>
      <c r="BH151" s="927"/>
      <c r="BI151" s="927"/>
      <c r="BJ151" s="927"/>
      <c r="BK151" s="927"/>
      <c r="BL151" s="927"/>
      <c r="BM151" s="927"/>
      <c r="BN151" s="927"/>
      <c r="BO151" s="927"/>
      <c r="BP151" s="927"/>
      <c r="BQ151" s="927"/>
      <c r="BR151" s="927"/>
      <c r="BS151" s="927"/>
      <c r="BT151" s="927"/>
    </row>
    <row r="152" spans="1:72" x14ac:dyDescent="0.25">
      <c r="A152" s="927" t="s">
        <v>723</v>
      </c>
      <c r="B152" s="927">
        <v>8.2100000000000009</v>
      </c>
      <c r="C152" s="927">
        <v>15.52</v>
      </c>
      <c r="D152" s="927">
        <v>9.41</v>
      </c>
      <c r="E152" s="927">
        <v>9.74</v>
      </c>
      <c r="F152" s="927">
        <v>10.050000000000001</v>
      </c>
      <c r="G152" s="927">
        <v>11.48</v>
      </c>
      <c r="H152" s="927">
        <v>12.9</v>
      </c>
      <c r="I152" s="927">
        <v>13.98</v>
      </c>
      <c r="J152" s="927">
        <v>14.63</v>
      </c>
      <c r="K152" s="927">
        <v>15.52</v>
      </c>
      <c r="L152" s="927">
        <v>16.37</v>
      </c>
      <c r="M152" s="927">
        <v>17.29</v>
      </c>
      <c r="N152" s="927">
        <v>18.29</v>
      </c>
      <c r="O152" s="927">
        <v>18.899999999999999</v>
      </c>
      <c r="P152" s="927">
        <v>19.57</v>
      </c>
      <c r="Q152" s="927">
        <v>20.27</v>
      </c>
      <c r="R152" s="927">
        <v>21.01</v>
      </c>
      <c r="S152" s="927">
        <v>21.73</v>
      </c>
      <c r="T152" s="927">
        <v>22.45</v>
      </c>
      <c r="U152" s="927">
        <v>23.04</v>
      </c>
      <c r="V152" s="927">
        <v>23.8</v>
      </c>
      <c r="W152" s="927">
        <v>24.66</v>
      </c>
      <c r="X152" s="927">
        <v>25.52</v>
      </c>
      <c r="Y152" s="927">
        <v>26.47</v>
      </c>
      <c r="Z152" s="927">
        <v>27.6</v>
      </c>
      <c r="AA152" s="927">
        <v>28.58</v>
      </c>
      <c r="AB152" s="927">
        <v>29.4</v>
      </c>
      <c r="AC152" s="927">
        <v>30.75</v>
      </c>
      <c r="AD152" s="927">
        <v>31.66</v>
      </c>
      <c r="AE152" s="966">
        <v>2.7E-2</v>
      </c>
      <c r="AF152" s="927"/>
      <c r="AG152" s="927"/>
      <c r="AH152" s="927"/>
      <c r="AI152" s="927"/>
      <c r="AJ152" s="927"/>
      <c r="AK152" s="927"/>
      <c r="AL152" s="927"/>
      <c r="AM152" s="927"/>
      <c r="AN152" s="927"/>
      <c r="AO152" s="927"/>
      <c r="AP152" s="927"/>
      <c r="AQ152" s="927"/>
      <c r="AR152" s="927"/>
      <c r="AS152" s="927"/>
      <c r="AT152" s="927"/>
      <c r="AU152" s="927"/>
      <c r="AV152" s="927"/>
      <c r="AW152" s="927"/>
      <c r="AX152" s="927"/>
      <c r="AY152" s="927"/>
      <c r="AZ152" s="927"/>
      <c r="BA152" s="927"/>
      <c r="BB152" s="927"/>
      <c r="BC152" s="927"/>
      <c r="BD152" s="927"/>
      <c r="BE152" s="927"/>
      <c r="BF152" s="927"/>
      <c r="BG152" s="927"/>
      <c r="BH152" s="927"/>
      <c r="BI152" s="927"/>
      <c r="BJ152" s="927"/>
      <c r="BK152" s="927"/>
      <c r="BL152" s="927"/>
      <c r="BM152" s="927"/>
      <c r="BN152" s="927"/>
      <c r="BO152" s="927"/>
      <c r="BP152" s="927"/>
      <c r="BQ152" s="927"/>
      <c r="BR152" s="927"/>
      <c r="BS152" s="927"/>
      <c r="BT152" s="927"/>
    </row>
    <row r="153" spans="1:72" x14ac:dyDescent="0.25">
      <c r="A153" s="927" t="s">
        <v>510</v>
      </c>
      <c r="B153" s="927">
        <v>10.96</v>
      </c>
      <c r="C153" s="927">
        <v>11.94</v>
      </c>
      <c r="D153" s="927">
        <v>9.18</v>
      </c>
      <c r="E153" s="927">
        <v>8.93</v>
      </c>
      <c r="F153" s="927">
        <v>10.15</v>
      </c>
      <c r="G153" s="927">
        <v>10.65</v>
      </c>
      <c r="H153" s="927">
        <v>10.68</v>
      </c>
      <c r="I153" s="927">
        <v>10.8</v>
      </c>
      <c r="J153" s="927">
        <v>11.14</v>
      </c>
      <c r="K153" s="927">
        <v>11.44</v>
      </c>
      <c r="L153" s="927">
        <v>11.67</v>
      </c>
      <c r="M153" s="927">
        <v>11.96</v>
      </c>
      <c r="N153" s="927">
        <v>12.27</v>
      </c>
      <c r="O153" s="927">
        <v>12.65</v>
      </c>
      <c r="P153" s="927">
        <v>13.05</v>
      </c>
      <c r="Q153" s="927">
        <v>13.58</v>
      </c>
      <c r="R153" s="927">
        <v>13.92</v>
      </c>
      <c r="S153" s="927">
        <v>14.13</v>
      </c>
      <c r="T153" s="927">
        <v>14.53</v>
      </c>
      <c r="U153" s="927">
        <v>15.05</v>
      </c>
      <c r="V153" s="927">
        <v>15.62</v>
      </c>
      <c r="W153" s="927">
        <v>16.3</v>
      </c>
      <c r="X153" s="927">
        <v>17.010000000000002</v>
      </c>
      <c r="Y153" s="927">
        <v>17.78</v>
      </c>
      <c r="Z153" s="927">
        <v>18.690000000000001</v>
      </c>
      <c r="AA153" s="927">
        <v>19.329999999999998</v>
      </c>
      <c r="AB153" s="927">
        <v>19.86</v>
      </c>
      <c r="AC153" s="927">
        <v>20.61</v>
      </c>
      <c r="AD153" s="927">
        <v>21.27</v>
      </c>
      <c r="AE153" s="966">
        <v>2.1999999999999999E-2</v>
      </c>
      <c r="AF153" s="927"/>
      <c r="AG153" s="927"/>
      <c r="AH153" s="927"/>
      <c r="AI153" s="927"/>
      <c r="AJ153" s="927"/>
      <c r="AK153" s="927"/>
      <c r="AL153" s="927"/>
      <c r="AM153" s="927"/>
      <c r="AN153" s="927"/>
      <c r="AO153" s="927"/>
      <c r="AP153" s="927"/>
      <c r="AQ153" s="927"/>
      <c r="AR153" s="927"/>
      <c r="AS153" s="927"/>
      <c r="AT153" s="927"/>
      <c r="AU153" s="927"/>
      <c r="AV153" s="927"/>
      <c r="AW153" s="927"/>
      <c r="AX153" s="927"/>
      <c r="AY153" s="927"/>
      <c r="AZ153" s="927"/>
      <c r="BA153" s="927"/>
      <c r="BB153" s="927"/>
      <c r="BC153" s="927"/>
      <c r="BD153" s="927"/>
      <c r="BE153" s="927"/>
      <c r="BF153" s="927"/>
      <c r="BG153" s="927"/>
      <c r="BH153" s="927"/>
      <c r="BI153" s="927"/>
      <c r="BJ153" s="927"/>
      <c r="BK153" s="927"/>
      <c r="BL153" s="927"/>
      <c r="BM153" s="927"/>
      <c r="BN153" s="927"/>
      <c r="BO153" s="927"/>
      <c r="BP153" s="927"/>
      <c r="BQ153" s="927"/>
      <c r="BR153" s="927"/>
      <c r="BS153" s="927"/>
      <c r="BT153" s="927"/>
    </row>
    <row r="154" spans="1:72" x14ac:dyDescent="0.25">
      <c r="A154" s="927" t="s">
        <v>479</v>
      </c>
      <c r="B154" s="927">
        <v>28.18</v>
      </c>
      <c r="C154" s="927">
        <v>30.47</v>
      </c>
      <c r="D154" s="927">
        <v>29.38</v>
      </c>
      <c r="E154" s="927">
        <v>28.19</v>
      </c>
      <c r="F154" s="927">
        <v>26.85</v>
      </c>
      <c r="G154" s="927">
        <v>28.28</v>
      </c>
      <c r="H154" s="927">
        <v>28.88</v>
      </c>
      <c r="I154" s="927">
        <v>29.09</v>
      </c>
      <c r="J154" s="927">
        <v>29.58</v>
      </c>
      <c r="K154" s="927">
        <v>30.41</v>
      </c>
      <c r="L154" s="927">
        <v>31.16</v>
      </c>
      <c r="M154" s="927">
        <v>31.75</v>
      </c>
      <c r="N154" s="927">
        <v>32.270000000000003</v>
      </c>
      <c r="O154" s="927">
        <v>33.15</v>
      </c>
      <c r="P154" s="927">
        <v>34.090000000000003</v>
      </c>
      <c r="Q154" s="927">
        <v>34.97</v>
      </c>
      <c r="R154" s="927">
        <v>35.99</v>
      </c>
      <c r="S154" s="927">
        <v>36.94</v>
      </c>
      <c r="T154" s="927">
        <v>37.619999999999997</v>
      </c>
      <c r="U154" s="927">
        <v>38.61</v>
      </c>
      <c r="V154" s="927">
        <v>39.68</v>
      </c>
      <c r="W154" s="927">
        <v>40.82</v>
      </c>
      <c r="X154" s="927">
        <v>42.33</v>
      </c>
      <c r="Y154" s="927">
        <v>43.75</v>
      </c>
      <c r="Z154" s="927">
        <v>45.32</v>
      </c>
      <c r="AA154" s="927">
        <v>46.89</v>
      </c>
      <c r="AB154" s="927">
        <v>48.18</v>
      </c>
      <c r="AC154" s="927">
        <v>49.63</v>
      </c>
      <c r="AD154" s="927">
        <v>51.04</v>
      </c>
      <c r="AE154" s="966">
        <v>1.9E-2</v>
      </c>
      <c r="AF154" s="927"/>
      <c r="AG154" s="927"/>
      <c r="AH154" s="927"/>
      <c r="AI154" s="927"/>
      <c r="AJ154" s="927"/>
      <c r="AK154" s="927"/>
      <c r="AL154" s="927"/>
      <c r="AM154" s="927"/>
      <c r="AN154" s="927"/>
      <c r="AO154" s="927"/>
      <c r="AP154" s="927"/>
      <c r="AQ154" s="927"/>
      <c r="AR154" s="927"/>
      <c r="AS154" s="927"/>
      <c r="AT154" s="927"/>
      <c r="AU154" s="927"/>
      <c r="AV154" s="927"/>
      <c r="AW154" s="927"/>
      <c r="AX154" s="927"/>
      <c r="AY154" s="927"/>
      <c r="AZ154" s="927"/>
      <c r="BA154" s="927"/>
      <c r="BB154" s="927"/>
      <c r="BC154" s="927"/>
      <c r="BD154" s="927"/>
      <c r="BE154" s="927"/>
      <c r="BF154" s="927"/>
      <c r="BG154" s="927"/>
      <c r="BH154" s="927"/>
      <c r="BI154" s="927"/>
      <c r="BJ154" s="927"/>
      <c r="BK154" s="927"/>
      <c r="BL154" s="927"/>
      <c r="BM154" s="927"/>
      <c r="BN154" s="927"/>
      <c r="BO154" s="927"/>
      <c r="BP154" s="927"/>
      <c r="BQ154" s="927"/>
      <c r="BR154" s="927"/>
      <c r="BS154" s="927"/>
      <c r="BT154" s="927"/>
    </row>
    <row r="155" spans="1:72" x14ac:dyDescent="0.25">
      <c r="A155" s="927"/>
      <c r="B155" s="927"/>
      <c r="C155" s="927"/>
      <c r="D155" s="927"/>
      <c r="E155" s="927"/>
      <c r="F155" s="927"/>
      <c r="G155" s="927"/>
      <c r="H155" s="927"/>
      <c r="I155" s="927"/>
      <c r="J155" s="927"/>
      <c r="K155" s="927"/>
      <c r="L155" s="927"/>
      <c r="M155" s="927"/>
      <c r="N155" s="927"/>
      <c r="O155" s="927"/>
      <c r="P155" s="927"/>
      <c r="Q155" s="927"/>
      <c r="R155" s="927"/>
      <c r="S155" s="927"/>
      <c r="T155" s="927"/>
      <c r="U155" s="927"/>
      <c r="V155" s="927"/>
      <c r="W155" s="927"/>
      <c r="X155" s="927"/>
      <c r="Y155" s="927"/>
      <c r="Z155" s="927"/>
      <c r="AA155" s="927"/>
      <c r="AB155" s="927"/>
      <c r="AC155" s="927"/>
      <c r="AD155" s="927"/>
      <c r="AE155" s="927"/>
      <c r="AF155" s="927"/>
      <c r="AG155" s="927"/>
      <c r="AH155" s="927"/>
      <c r="AI155" s="927"/>
      <c r="AJ155" s="927"/>
      <c r="AK155" s="927"/>
      <c r="AL155" s="927"/>
      <c r="AM155" s="927"/>
      <c r="AN155" s="927"/>
      <c r="AO155" s="927"/>
      <c r="AP155" s="927"/>
      <c r="AQ155" s="927"/>
      <c r="AR155" s="927"/>
      <c r="AS155" s="927"/>
      <c r="AT155" s="927"/>
      <c r="AU155" s="927"/>
      <c r="AV155" s="927"/>
      <c r="AW155" s="927"/>
      <c r="AX155" s="927"/>
      <c r="AY155" s="927"/>
      <c r="AZ155" s="927"/>
      <c r="BA155" s="927"/>
      <c r="BB155" s="927"/>
      <c r="BC155" s="927"/>
      <c r="BD155" s="927"/>
      <c r="BE155" s="927"/>
      <c r="BF155" s="927"/>
      <c r="BG155" s="927"/>
      <c r="BH155" s="927"/>
      <c r="BI155" s="927"/>
      <c r="BJ155" s="927"/>
      <c r="BK155" s="927"/>
      <c r="BL155" s="927"/>
      <c r="BM155" s="927"/>
      <c r="BN155" s="927"/>
      <c r="BO155" s="927"/>
      <c r="BP155" s="927"/>
      <c r="BQ155" s="927"/>
      <c r="BR155" s="927"/>
      <c r="BS155" s="927"/>
      <c r="BT155" s="927"/>
    </row>
    <row r="156" spans="1:72" x14ac:dyDescent="0.25">
      <c r="A156" s="927" t="s">
        <v>612</v>
      </c>
      <c r="B156" s="927"/>
      <c r="C156" s="927"/>
      <c r="D156" s="927"/>
      <c r="E156" s="927"/>
      <c r="F156" s="927"/>
      <c r="G156" s="927"/>
      <c r="H156" s="927"/>
      <c r="I156" s="927"/>
      <c r="J156" s="927"/>
      <c r="K156" s="927"/>
      <c r="L156" s="927"/>
      <c r="M156" s="927"/>
      <c r="N156" s="927"/>
      <c r="O156" s="927"/>
      <c r="P156" s="927"/>
      <c r="Q156" s="927"/>
      <c r="R156" s="927"/>
      <c r="S156" s="927"/>
      <c r="T156" s="927"/>
      <c r="U156" s="927"/>
      <c r="V156" s="927"/>
      <c r="W156" s="927"/>
      <c r="X156" s="927"/>
      <c r="Y156" s="927"/>
      <c r="Z156" s="927"/>
      <c r="AA156" s="927"/>
      <c r="AB156" s="927"/>
      <c r="AC156" s="927"/>
      <c r="AD156" s="927"/>
      <c r="AE156" s="927"/>
      <c r="AF156" s="927"/>
      <c r="AG156" s="927"/>
      <c r="AH156" s="927"/>
      <c r="AI156" s="927"/>
      <c r="AJ156" s="927"/>
      <c r="AK156" s="927"/>
      <c r="AL156" s="927"/>
      <c r="AM156" s="927"/>
      <c r="AN156" s="927"/>
      <c r="AO156" s="927"/>
      <c r="AP156" s="927"/>
      <c r="AQ156" s="927"/>
      <c r="AR156" s="927"/>
      <c r="AS156" s="927"/>
      <c r="AT156" s="927"/>
      <c r="AU156" s="927"/>
      <c r="AV156" s="927"/>
      <c r="AW156" s="927"/>
      <c r="AX156" s="927"/>
      <c r="AY156" s="927"/>
      <c r="AZ156" s="927"/>
      <c r="BA156" s="927"/>
      <c r="BB156" s="927"/>
      <c r="BC156" s="927"/>
      <c r="BD156" s="927"/>
      <c r="BE156" s="927"/>
      <c r="BF156" s="927"/>
      <c r="BG156" s="927"/>
      <c r="BH156" s="927"/>
      <c r="BI156" s="927"/>
      <c r="BJ156" s="927"/>
      <c r="BK156" s="927"/>
      <c r="BL156" s="927"/>
      <c r="BM156" s="927"/>
      <c r="BN156" s="927"/>
      <c r="BO156" s="927"/>
      <c r="BP156" s="927"/>
      <c r="BQ156" s="927"/>
      <c r="BR156" s="927"/>
      <c r="BS156" s="927"/>
      <c r="BT156" s="927"/>
    </row>
    <row r="157" spans="1:72" x14ac:dyDescent="0.25">
      <c r="A157" s="927" t="s">
        <v>609</v>
      </c>
      <c r="B157" s="927">
        <v>21.53</v>
      </c>
      <c r="C157" s="927">
        <v>24.2</v>
      </c>
      <c r="D157" s="927">
        <v>18.920000000000002</v>
      </c>
      <c r="E157" s="927">
        <v>18.920000000000002</v>
      </c>
      <c r="F157" s="927">
        <v>19.260000000000002</v>
      </c>
      <c r="G157" s="927">
        <v>20.76</v>
      </c>
      <c r="H157" s="927">
        <v>22.51</v>
      </c>
      <c r="I157" s="927">
        <v>24</v>
      </c>
      <c r="J157" s="927">
        <v>25.06</v>
      </c>
      <c r="K157" s="927">
        <v>26.38</v>
      </c>
      <c r="L157" s="927">
        <v>27.45</v>
      </c>
      <c r="M157" s="927">
        <v>28.6</v>
      </c>
      <c r="N157" s="927">
        <v>29.51</v>
      </c>
      <c r="O157" s="927">
        <v>30.38</v>
      </c>
      <c r="P157" s="927">
        <v>31.31</v>
      </c>
      <c r="Q157" s="927">
        <v>32.270000000000003</v>
      </c>
      <c r="R157" s="927">
        <v>33.340000000000003</v>
      </c>
      <c r="S157" s="927">
        <v>34.39</v>
      </c>
      <c r="T157" s="927">
        <v>35.450000000000003</v>
      </c>
      <c r="U157" s="927">
        <v>36.4</v>
      </c>
      <c r="V157" s="927">
        <v>37.549999999999997</v>
      </c>
      <c r="W157" s="927">
        <v>38.729999999999997</v>
      </c>
      <c r="X157" s="927">
        <v>40.1</v>
      </c>
      <c r="Y157" s="927">
        <v>41.33</v>
      </c>
      <c r="Z157" s="927">
        <v>42.81</v>
      </c>
      <c r="AA157" s="927">
        <v>44.29</v>
      </c>
      <c r="AB157" s="927">
        <v>45.9</v>
      </c>
      <c r="AC157" s="927">
        <v>47.5</v>
      </c>
      <c r="AD157" s="927">
        <v>49.15</v>
      </c>
      <c r="AE157" s="966">
        <v>2.7E-2</v>
      </c>
      <c r="AF157" s="927"/>
      <c r="AG157" s="927"/>
      <c r="AH157" s="927"/>
      <c r="AI157" s="927"/>
      <c r="AJ157" s="927"/>
      <c r="AK157" s="927"/>
      <c r="AL157" s="927"/>
      <c r="AM157" s="927"/>
      <c r="AN157" s="927"/>
      <c r="AO157" s="927"/>
      <c r="AP157" s="927"/>
      <c r="AQ157" s="927"/>
      <c r="AR157" s="927"/>
      <c r="AS157" s="927"/>
      <c r="AT157" s="927"/>
      <c r="AU157" s="927"/>
      <c r="AV157" s="927"/>
      <c r="AW157" s="927"/>
      <c r="AX157" s="927"/>
      <c r="AY157" s="927"/>
      <c r="AZ157" s="927"/>
      <c r="BA157" s="927"/>
      <c r="BB157" s="927"/>
      <c r="BC157" s="927"/>
      <c r="BD157" s="927"/>
      <c r="BE157" s="927"/>
      <c r="BF157" s="927"/>
      <c r="BG157" s="927"/>
      <c r="BH157" s="927"/>
      <c r="BI157" s="927"/>
      <c r="BJ157" s="927"/>
      <c r="BK157" s="927"/>
      <c r="BL157" s="927"/>
      <c r="BM157" s="927"/>
      <c r="BN157" s="927"/>
      <c r="BO157" s="927"/>
      <c r="BP157" s="927"/>
      <c r="BQ157" s="927"/>
      <c r="BR157" s="927"/>
      <c r="BS157" s="927"/>
      <c r="BT157" s="927"/>
    </row>
    <row r="158" spans="1:72" x14ac:dyDescent="0.25">
      <c r="A158" s="927" t="s">
        <v>610</v>
      </c>
      <c r="B158" s="927">
        <v>17.68</v>
      </c>
      <c r="C158" s="927">
        <v>22.31</v>
      </c>
      <c r="D158" s="927">
        <v>16.649999999999999</v>
      </c>
      <c r="E158" s="927">
        <v>14.82</v>
      </c>
      <c r="F158" s="927">
        <v>16.05</v>
      </c>
      <c r="G158" s="927">
        <v>17.52</v>
      </c>
      <c r="H158" s="927">
        <v>18.95</v>
      </c>
      <c r="I158" s="927">
        <v>20.07</v>
      </c>
      <c r="J158" s="927">
        <v>21.18</v>
      </c>
      <c r="K158" s="927">
        <v>22.46</v>
      </c>
      <c r="L158" s="927">
        <v>23.62</v>
      </c>
      <c r="M158" s="927">
        <v>24.81</v>
      </c>
      <c r="N158" s="927">
        <v>25.76</v>
      </c>
      <c r="O158" s="927">
        <v>26.68</v>
      </c>
      <c r="P158" s="927">
        <v>27.5</v>
      </c>
      <c r="Q158" s="927">
        <v>28.52</v>
      </c>
      <c r="R158" s="927">
        <v>29.39</v>
      </c>
      <c r="S158" s="927">
        <v>30.15</v>
      </c>
      <c r="T158" s="927">
        <v>31.18</v>
      </c>
      <c r="U158" s="927">
        <v>32.159999999999997</v>
      </c>
      <c r="V158" s="927">
        <v>33.21</v>
      </c>
      <c r="W158" s="927">
        <v>34.409999999999997</v>
      </c>
      <c r="X158" s="927">
        <v>35.770000000000003</v>
      </c>
      <c r="Y158" s="927">
        <v>36.83</v>
      </c>
      <c r="Z158" s="927">
        <v>38.33</v>
      </c>
      <c r="AA158" s="927">
        <v>39.83</v>
      </c>
      <c r="AB158" s="927">
        <v>41.25</v>
      </c>
      <c r="AC158" s="927">
        <v>42.82</v>
      </c>
      <c r="AD158" s="927">
        <v>44.51</v>
      </c>
      <c r="AE158" s="966">
        <v>2.5999999999999999E-2</v>
      </c>
      <c r="AF158" s="927"/>
      <c r="AG158" s="927"/>
      <c r="AH158" s="927"/>
      <c r="AI158" s="927"/>
      <c r="AJ158" s="927"/>
      <c r="AK158" s="927"/>
      <c r="AL158" s="927"/>
      <c r="AM158" s="927"/>
      <c r="AN158" s="927"/>
      <c r="AO158" s="927"/>
      <c r="AP158" s="927"/>
      <c r="AQ158" s="927"/>
      <c r="AR158" s="927"/>
      <c r="AS158" s="927"/>
      <c r="AT158" s="927"/>
      <c r="AU158" s="927"/>
      <c r="AV158" s="927"/>
      <c r="AW158" s="927"/>
      <c r="AX158" s="927"/>
      <c r="AY158" s="927"/>
      <c r="AZ158" s="927"/>
      <c r="BA158" s="927"/>
      <c r="BB158" s="927"/>
      <c r="BC158" s="927"/>
      <c r="BD158" s="927"/>
      <c r="BE158" s="927"/>
      <c r="BF158" s="927"/>
      <c r="BG158" s="927"/>
      <c r="BH158" s="927"/>
      <c r="BI158" s="927"/>
      <c r="BJ158" s="927"/>
      <c r="BK158" s="927"/>
      <c r="BL158" s="927"/>
      <c r="BM158" s="927"/>
      <c r="BN158" s="927"/>
      <c r="BO158" s="927"/>
      <c r="BP158" s="927"/>
      <c r="BQ158" s="927"/>
      <c r="BR158" s="927"/>
      <c r="BS158" s="927"/>
      <c r="BT158" s="927"/>
    </row>
    <row r="159" spans="1:72" x14ac:dyDescent="0.25">
      <c r="A159" s="927" t="s">
        <v>611</v>
      </c>
      <c r="B159" s="927">
        <v>8.65</v>
      </c>
      <c r="C159" s="927">
        <v>16.309999999999999</v>
      </c>
      <c r="D159" s="927">
        <v>9.89</v>
      </c>
      <c r="E159" s="927">
        <v>13.52</v>
      </c>
      <c r="F159" s="927">
        <v>13.82</v>
      </c>
      <c r="G159" s="927">
        <v>15.16</v>
      </c>
      <c r="H159" s="927">
        <v>16.489999999999998</v>
      </c>
      <c r="I159" s="927">
        <v>17.62</v>
      </c>
      <c r="J159" s="927">
        <v>18.350000000000001</v>
      </c>
      <c r="K159" s="927">
        <v>19.239999999999998</v>
      </c>
      <c r="L159" s="927">
        <v>20.059999999999999</v>
      </c>
      <c r="M159" s="927">
        <v>20.97</v>
      </c>
      <c r="N159" s="927">
        <v>21.68</v>
      </c>
      <c r="O159" s="927">
        <v>22.24</v>
      </c>
      <c r="P159" s="927">
        <v>23</v>
      </c>
      <c r="Q159" s="927">
        <v>23.74</v>
      </c>
      <c r="R159" s="927">
        <v>24.52</v>
      </c>
      <c r="S159" s="927">
        <v>25.31</v>
      </c>
      <c r="T159" s="927">
        <v>26.1</v>
      </c>
      <c r="U159" s="927">
        <v>26.74</v>
      </c>
      <c r="V159" s="927">
        <v>27.57</v>
      </c>
      <c r="W159" s="927">
        <v>28.51</v>
      </c>
      <c r="X159" s="927">
        <v>29.51</v>
      </c>
      <c r="Y159" s="927">
        <v>30.6</v>
      </c>
      <c r="Z159" s="927">
        <v>31.8</v>
      </c>
      <c r="AA159" s="927">
        <v>32.92</v>
      </c>
      <c r="AB159" s="927">
        <v>34.03</v>
      </c>
      <c r="AC159" s="927">
        <v>35.29</v>
      </c>
      <c r="AD159" s="927">
        <v>36.5</v>
      </c>
      <c r="AE159" s="966">
        <v>0.03</v>
      </c>
      <c r="AF159" s="927"/>
      <c r="AG159" s="927"/>
      <c r="AH159" s="927"/>
      <c r="AI159" s="927"/>
      <c r="AJ159" s="927"/>
      <c r="AK159" s="927"/>
      <c r="AL159" s="927"/>
      <c r="AM159" s="927"/>
      <c r="AN159" s="927"/>
      <c r="AO159" s="927"/>
      <c r="AP159" s="927"/>
      <c r="AQ159" s="927"/>
      <c r="AR159" s="927"/>
      <c r="AS159" s="927"/>
      <c r="AT159" s="927"/>
      <c r="AU159" s="927"/>
      <c r="AV159" s="927"/>
      <c r="AW159" s="927"/>
      <c r="AX159" s="927"/>
      <c r="AY159" s="927"/>
      <c r="AZ159" s="927"/>
      <c r="BA159" s="927"/>
      <c r="BB159" s="927"/>
      <c r="BC159" s="927"/>
      <c r="BD159" s="927"/>
      <c r="BE159" s="927"/>
      <c r="BF159" s="927"/>
      <c r="BG159" s="927"/>
      <c r="BH159" s="927"/>
      <c r="BI159" s="927"/>
      <c r="BJ159" s="927"/>
      <c r="BK159" s="927"/>
      <c r="BL159" s="927"/>
      <c r="BM159" s="927"/>
      <c r="BN159" s="927"/>
      <c r="BO159" s="927"/>
      <c r="BP159" s="927"/>
      <c r="BQ159" s="927"/>
      <c r="BR159" s="927"/>
      <c r="BS159" s="927"/>
      <c r="BT159" s="927"/>
    </row>
    <row r="160" spans="1:72" x14ac:dyDescent="0.25">
      <c r="A160" s="927" t="s">
        <v>613</v>
      </c>
      <c r="B160" s="927">
        <v>7.41</v>
      </c>
      <c r="C160" s="927">
        <v>9.11</v>
      </c>
      <c r="D160" s="927">
        <v>4.26</v>
      </c>
      <c r="E160" s="927">
        <v>5.0199999999999996</v>
      </c>
      <c r="F160" s="927">
        <v>6.23</v>
      </c>
      <c r="G160" s="927">
        <v>6.76</v>
      </c>
      <c r="H160" s="927">
        <v>6.82</v>
      </c>
      <c r="I160" s="927">
        <v>6.89</v>
      </c>
      <c r="J160" s="927">
        <v>7.18</v>
      </c>
      <c r="K160" s="927">
        <v>7.39</v>
      </c>
      <c r="L160" s="927">
        <v>7.52</v>
      </c>
      <c r="M160" s="927">
        <v>7.71</v>
      </c>
      <c r="N160" s="927">
        <v>7.91</v>
      </c>
      <c r="O160" s="927">
        <v>8.19</v>
      </c>
      <c r="P160" s="927">
        <v>8.4700000000000006</v>
      </c>
      <c r="Q160" s="927">
        <v>8.8800000000000008</v>
      </c>
      <c r="R160" s="927">
        <v>9.14</v>
      </c>
      <c r="S160" s="927">
        <v>9.26</v>
      </c>
      <c r="T160" s="927">
        <v>9.52</v>
      </c>
      <c r="U160" s="927">
        <v>9.9</v>
      </c>
      <c r="V160" s="927">
        <v>10.31</v>
      </c>
      <c r="W160" s="927">
        <v>10.85</v>
      </c>
      <c r="X160" s="927">
        <v>11.41</v>
      </c>
      <c r="Y160" s="927">
        <v>12.04</v>
      </c>
      <c r="Z160" s="927">
        <v>12.79</v>
      </c>
      <c r="AA160" s="927">
        <v>13.25</v>
      </c>
      <c r="AB160" s="927">
        <v>13.56</v>
      </c>
      <c r="AC160" s="927">
        <v>14.17</v>
      </c>
      <c r="AD160" s="927">
        <v>14.67</v>
      </c>
      <c r="AE160" s="966">
        <v>1.7999999999999999E-2</v>
      </c>
      <c r="AF160" s="927"/>
      <c r="AG160" s="927"/>
      <c r="AH160" s="927"/>
      <c r="AI160" s="927"/>
      <c r="AJ160" s="927"/>
      <c r="AK160" s="927"/>
      <c r="AL160" s="927"/>
      <c r="AM160" s="927"/>
      <c r="AN160" s="927"/>
      <c r="AO160" s="927"/>
      <c r="AP160" s="927"/>
      <c r="AQ160" s="927"/>
      <c r="AR160" s="927"/>
      <c r="AS160" s="927"/>
      <c r="AT160" s="927"/>
      <c r="AU160" s="927"/>
      <c r="AV160" s="927"/>
      <c r="AW160" s="927"/>
      <c r="AX160" s="927"/>
      <c r="AY160" s="927"/>
      <c r="AZ160" s="927"/>
      <c r="BA160" s="927"/>
      <c r="BB160" s="927"/>
      <c r="BC160" s="927"/>
      <c r="BD160" s="927"/>
      <c r="BE160" s="927"/>
      <c r="BF160" s="927"/>
      <c r="BG160" s="927"/>
      <c r="BH160" s="927"/>
      <c r="BI160" s="927"/>
      <c r="BJ160" s="927"/>
      <c r="BK160" s="927"/>
      <c r="BL160" s="927"/>
      <c r="BM160" s="927"/>
      <c r="BN160" s="927"/>
      <c r="BO160" s="927"/>
      <c r="BP160" s="927"/>
      <c r="BQ160" s="927"/>
      <c r="BR160" s="927"/>
      <c r="BS160" s="927"/>
      <c r="BT160" s="927"/>
    </row>
    <row r="161" spans="1:72" x14ac:dyDescent="0.25">
      <c r="A161" s="927" t="s">
        <v>614</v>
      </c>
      <c r="B161" s="927">
        <v>3.61</v>
      </c>
      <c r="C161" s="927">
        <v>4.49</v>
      </c>
      <c r="D161" s="927">
        <v>4.79</v>
      </c>
      <c r="E161" s="927">
        <v>4.9400000000000004</v>
      </c>
      <c r="F161" s="927">
        <v>5.07</v>
      </c>
      <c r="G161" s="927">
        <v>5.31</v>
      </c>
      <c r="H161" s="927">
        <v>5.44</v>
      </c>
      <c r="I161" s="927">
        <v>5.56</v>
      </c>
      <c r="J161" s="927">
        <v>5.66</v>
      </c>
      <c r="K161" s="927">
        <v>5.77</v>
      </c>
      <c r="L161" s="927">
        <v>5.97</v>
      </c>
      <c r="M161" s="927">
        <v>6.14</v>
      </c>
      <c r="N161" s="927">
        <v>6.34</v>
      </c>
      <c r="O161" s="927">
        <v>6.5</v>
      </c>
      <c r="P161" s="927">
        <v>6.68</v>
      </c>
      <c r="Q161" s="927">
        <v>6.84</v>
      </c>
      <c r="R161" s="927">
        <v>6.98</v>
      </c>
      <c r="S161" s="927">
        <v>7.07</v>
      </c>
      <c r="T161" s="927">
        <v>7.11</v>
      </c>
      <c r="U161" s="927">
        <v>7.15</v>
      </c>
      <c r="V161" s="927">
        <v>7.27</v>
      </c>
      <c r="W161" s="927">
        <v>7.43</v>
      </c>
      <c r="X161" s="927">
        <v>7.55</v>
      </c>
      <c r="Y161" s="927">
        <v>7.72</v>
      </c>
      <c r="Z161" s="927">
        <v>7.86</v>
      </c>
      <c r="AA161" s="927">
        <v>8.02</v>
      </c>
      <c r="AB161" s="927">
        <v>8.18</v>
      </c>
      <c r="AC161" s="927">
        <v>8.33</v>
      </c>
      <c r="AD161" s="927">
        <v>8.5</v>
      </c>
      <c r="AE161" s="966">
        <v>2.4E-2</v>
      </c>
      <c r="AF161" s="927"/>
      <c r="AG161" s="927"/>
      <c r="AH161" s="927"/>
      <c r="AI161" s="927"/>
      <c r="AJ161" s="927"/>
      <c r="AK161" s="927"/>
      <c r="AL161" s="927"/>
      <c r="AM161" s="927"/>
      <c r="AN161" s="927"/>
      <c r="AO161" s="927"/>
      <c r="AP161" s="927"/>
      <c r="AQ161" s="927"/>
      <c r="AR161" s="927"/>
      <c r="AS161" s="927"/>
      <c r="AT161" s="927"/>
      <c r="AU161" s="927"/>
      <c r="AV161" s="927"/>
      <c r="AW161" s="927"/>
      <c r="AX161" s="927"/>
      <c r="AY161" s="927"/>
      <c r="AZ161" s="927"/>
      <c r="BA161" s="927"/>
      <c r="BB161" s="927"/>
      <c r="BC161" s="927"/>
      <c r="BD161" s="927"/>
      <c r="BE161" s="927"/>
      <c r="BF161" s="927"/>
      <c r="BG161" s="927"/>
      <c r="BH161" s="927"/>
      <c r="BI161" s="927"/>
      <c r="BJ161" s="927"/>
      <c r="BK161" s="927"/>
      <c r="BL161" s="927"/>
      <c r="BM161" s="927"/>
      <c r="BN161" s="927"/>
      <c r="BO161" s="927"/>
      <c r="BP161" s="927"/>
      <c r="BQ161" s="927"/>
      <c r="BR161" s="927"/>
      <c r="BS161" s="927"/>
      <c r="BT161" s="927"/>
    </row>
    <row r="162" spans="1:72" x14ac:dyDescent="0.25">
      <c r="A162" s="927" t="s">
        <v>615</v>
      </c>
      <c r="B162" s="927">
        <v>2.4300000000000002</v>
      </c>
      <c r="C162" s="927">
        <v>2.84</v>
      </c>
      <c r="D162" s="927">
        <v>2.83</v>
      </c>
      <c r="E162" s="927">
        <v>2.77</v>
      </c>
      <c r="F162" s="927">
        <v>2.81</v>
      </c>
      <c r="G162" s="927">
        <v>2.85</v>
      </c>
      <c r="H162" s="927">
        <v>2.86</v>
      </c>
      <c r="I162" s="927">
        <v>2.93</v>
      </c>
      <c r="J162" s="927">
        <v>3</v>
      </c>
      <c r="K162" s="927">
        <v>3.04</v>
      </c>
      <c r="L162" s="927">
        <v>3.11</v>
      </c>
      <c r="M162" s="927">
        <v>3.16</v>
      </c>
      <c r="N162" s="927">
        <v>3.2</v>
      </c>
      <c r="O162" s="927">
        <v>3.26</v>
      </c>
      <c r="P162" s="927">
        <v>3.31</v>
      </c>
      <c r="Q162" s="927">
        <v>3.38</v>
      </c>
      <c r="R162" s="927">
        <v>3.43</v>
      </c>
      <c r="S162" s="927">
        <v>3.5</v>
      </c>
      <c r="T162" s="927">
        <v>3.56</v>
      </c>
      <c r="U162" s="927">
        <v>3.65</v>
      </c>
      <c r="V162" s="927">
        <v>3.72</v>
      </c>
      <c r="W162" s="927">
        <v>3.82</v>
      </c>
      <c r="X162" s="927">
        <v>3.91</v>
      </c>
      <c r="Y162" s="927">
        <v>4.01</v>
      </c>
      <c r="Z162" s="927">
        <v>4.12</v>
      </c>
      <c r="AA162" s="927">
        <v>4.21</v>
      </c>
      <c r="AB162" s="927">
        <v>4.33</v>
      </c>
      <c r="AC162" s="927">
        <v>4.4400000000000004</v>
      </c>
      <c r="AD162" s="927">
        <v>4.55</v>
      </c>
      <c r="AE162" s="966">
        <v>1.7999999999999999E-2</v>
      </c>
      <c r="AF162" s="927"/>
      <c r="AG162" s="927"/>
      <c r="AH162" s="927"/>
      <c r="AI162" s="927"/>
      <c r="AJ162" s="927"/>
      <c r="AK162" s="927"/>
      <c r="AL162" s="927"/>
      <c r="AM162" s="927"/>
      <c r="AN162" s="927"/>
      <c r="AO162" s="927"/>
      <c r="AP162" s="927"/>
      <c r="AQ162" s="927"/>
      <c r="AR162" s="927"/>
      <c r="AS162" s="927"/>
      <c r="AT162" s="927"/>
      <c r="AU162" s="927"/>
      <c r="AV162" s="927"/>
      <c r="AW162" s="927"/>
      <c r="AX162" s="927"/>
      <c r="AY162" s="927"/>
      <c r="AZ162" s="927"/>
      <c r="BA162" s="927"/>
      <c r="BB162" s="927"/>
      <c r="BC162" s="927"/>
      <c r="BD162" s="927"/>
      <c r="BE162" s="927"/>
      <c r="BF162" s="927"/>
      <c r="BG162" s="927"/>
      <c r="BH162" s="927"/>
      <c r="BI162" s="927"/>
      <c r="BJ162" s="927"/>
      <c r="BK162" s="927"/>
      <c r="BL162" s="927"/>
      <c r="BM162" s="927"/>
      <c r="BN162" s="927"/>
      <c r="BO162" s="927"/>
      <c r="BP162" s="927"/>
      <c r="BQ162" s="927"/>
      <c r="BR162" s="927"/>
      <c r="BS162" s="927"/>
      <c r="BT162" s="927"/>
    </row>
    <row r="163" spans="1:72" x14ac:dyDescent="0.25">
      <c r="A163" s="927" t="s">
        <v>616</v>
      </c>
      <c r="B163" s="927" t="s">
        <v>788</v>
      </c>
      <c r="C163" s="927" t="s">
        <v>788</v>
      </c>
      <c r="D163" s="927" t="s">
        <v>788</v>
      </c>
      <c r="E163" s="927" t="s">
        <v>788</v>
      </c>
      <c r="F163" s="927">
        <v>1.32</v>
      </c>
      <c r="G163" s="927">
        <v>1.1000000000000001</v>
      </c>
      <c r="H163" s="927">
        <v>1.1200000000000001</v>
      </c>
      <c r="I163" s="927">
        <v>1.55</v>
      </c>
      <c r="J163" s="927">
        <v>1.58</v>
      </c>
      <c r="K163" s="927">
        <v>1.65</v>
      </c>
      <c r="L163" s="927">
        <v>1.72</v>
      </c>
      <c r="M163" s="927">
        <v>1.74</v>
      </c>
      <c r="N163" s="927">
        <v>1.76</v>
      </c>
      <c r="O163" s="927">
        <v>1.79</v>
      </c>
      <c r="P163" s="927">
        <v>1.86</v>
      </c>
      <c r="Q163" s="927">
        <v>1.91</v>
      </c>
      <c r="R163" s="927">
        <v>1.98</v>
      </c>
      <c r="S163" s="927">
        <v>1.99</v>
      </c>
      <c r="T163" s="927">
        <v>2.02</v>
      </c>
      <c r="U163" s="927">
        <v>2.04</v>
      </c>
      <c r="V163" s="927">
        <v>2.0699999999999998</v>
      </c>
      <c r="W163" s="927">
        <v>2.1</v>
      </c>
      <c r="X163" s="927">
        <v>2.13</v>
      </c>
      <c r="Y163" s="927">
        <v>2.1800000000000002</v>
      </c>
      <c r="Z163" s="927">
        <v>2.2200000000000002</v>
      </c>
      <c r="AA163" s="927">
        <v>2.2799999999999998</v>
      </c>
      <c r="AB163" s="927">
        <v>2.35</v>
      </c>
      <c r="AC163" s="927">
        <v>2.44</v>
      </c>
      <c r="AD163" s="927">
        <v>2.5299999999999998</v>
      </c>
      <c r="AE163" s="927" t="s">
        <v>788</v>
      </c>
      <c r="AF163" s="927"/>
      <c r="AG163" s="927"/>
      <c r="AH163" s="927"/>
      <c r="AI163" s="927"/>
      <c r="AJ163" s="927"/>
      <c r="AK163" s="927"/>
      <c r="AL163" s="927"/>
      <c r="AM163" s="927"/>
      <c r="AN163" s="927"/>
      <c r="AO163" s="927"/>
      <c r="AP163" s="927"/>
      <c r="AQ163" s="927"/>
      <c r="AR163" s="927"/>
      <c r="AS163" s="927"/>
      <c r="AT163" s="927"/>
      <c r="AU163" s="927"/>
      <c r="AV163" s="927"/>
      <c r="AW163" s="927"/>
      <c r="AX163" s="927"/>
      <c r="AY163" s="927"/>
      <c r="AZ163" s="927"/>
      <c r="BA163" s="927"/>
      <c r="BB163" s="927"/>
      <c r="BC163" s="927"/>
      <c r="BD163" s="927"/>
      <c r="BE163" s="927"/>
      <c r="BF163" s="927"/>
      <c r="BG163" s="927"/>
      <c r="BH163" s="927"/>
      <c r="BI163" s="927"/>
      <c r="BJ163" s="927"/>
      <c r="BK163" s="927"/>
      <c r="BL163" s="927"/>
      <c r="BM163" s="927"/>
      <c r="BN163" s="927"/>
      <c r="BO163" s="927"/>
      <c r="BP163" s="927"/>
      <c r="BQ163" s="927"/>
      <c r="BR163" s="927"/>
      <c r="BS163" s="927"/>
      <c r="BT163" s="927"/>
    </row>
    <row r="164" spans="1:72" x14ac:dyDescent="0.25">
      <c r="A164" s="927" t="s">
        <v>479</v>
      </c>
      <c r="B164" s="927">
        <v>18.600000000000001</v>
      </c>
      <c r="C164" s="927">
        <v>20.21</v>
      </c>
      <c r="D164" s="927">
        <v>20.350000000000001</v>
      </c>
      <c r="E164" s="927">
        <v>19.73</v>
      </c>
      <c r="F164" s="927">
        <v>17.86</v>
      </c>
      <c r="G164" s="927">
        <v>18.77</v>
      </c>
      <c r="H164" s="927">
        <v>18.98</v>
      </c>
      <c r="I164" s="927">
        <v>19.010000000000002</v>
      </c>
      <c r="J164" s="927">
        <v>19.36</v>
      </c>
      <c r="K164" s="927">
        <v>19.989999999999998</v>
      </c>
      <c r="L164" s="927">
        <v>20.51</v>
      </c>
      <c r="M164" s="927">
        <v>20.91</v>
      </c>
      <c r="N164" s="927">
        <v>21.27</v>
      </c>
      <c r="O164" s="927">
        <v>21.9</v>
      </c>
      <c r="P164" s="927">
        <v>22.56</v>
      </c>
      <c r="Q164" s="927">
        <v>23.2</v>
      </c>
      <c r="R164" s="927">
        <v>23.95</v>
      </c>
      <c r="S164" s="927">
        <v>24.64</v>
      </c>
      <c r="T164" s="927">
        <v>25.11</v>
      </c>
      <c r="U164" s="927">
        <v>25.79</v>
      </c>
      <c r="V164" s="927">
        <v>26.57</v>
      </c>
      <c r="W164" s="927">
        <v>27.41</v>
      </c>
      <c r="X164" s="927">
        <v>28.5</v>
      </c>
      <c r="Y164" s="927">
        <v>29.55</v>
      </c>
      <c r="Z164" s="927">
        <v>30.67</v>
      </c>
      <c r="AA164" s="927">
        <v>31.8</v>
      </c>
      <c r="AB164" s="927">
        <v>32.71</v>
      </c>
      <c r="AC164" s="927">
        <v>33.76</v>
      </c>
      <c r="AD164" s="927">
        <v>34.799999999999997</v>
      </c>
      <c r="AE164" s="966">
        <v>0.02</v>
      </c>
      <c r="AF164" s="927"/>
      <c r="AG164" s="927"/>
      <c r="AH164" s="927"/>
      <c r="AI164" s="927"/>
      <c r="AJ164" s="927"/>
      <c r="AK164" s="927"/>
      <c r="AL164" s="927"/>
      <c r="AM164" s="927"/>
      <c r="AN164" s="927"/>
      <c r="AO164" s="927"/>
      <c r="AP164" s="927"/>
      <c r="AQ164" s="927"/>
      <c r="AR164" s="927"/>
      <c r="AS164" s="927"/>
      <c r="AT164" s="927"/>
      <c r="AU164" s="927"/>
      <c r="AV164" s="927"/>
      <c r="AW164" s="927"/>
      <c r="AX164" s="927"/>
      <c r="AY164" s="927"/>
      <c r="AZ164" s="927"/>
      <c r="BA164" s="927"/>
      <c r="BB164" s="927"/>
      <c r="BC164" s="927"/>
      <c r="BD164" s="927"/>
      <c r="BE164" s="927"/>
      <c r="BF164" s="927"/>
      <c r="BG164" s="927"/>
      <c r="BH164" s="927"/>
      <c r="BI164" s="927"/>
      <c r="BJ164" s="927"/>
      <c r="BK164" s="927"/>
      <c r="BL164" s="927"/>
      <c r="BM164" s="927"/>
      <c r="BN164" s="927"/>
      <c r="BO164" s="927"/>
      <c r="BP164" s="927"/>
      <c r="BQ164" s="927"/>
      <c r="BR164" s="927"/>
      <c r="BS164" s="927"/>
      <c r="BT164" s="927"/>
    </row>
    <row r="165" spans="1:72" x14ac:dyDescent="0.25">
      <c r="A165" s="927"/>
      <c r="B165" s="927"/>
      <c r="C165" s="927"/>
      <c r="D165" s="927"/>
      <c r="E165" s="927"/>
      <c r="F165" s="927"/>
      <c r="G165" s="927"/>
      <c r="H165" s="927"/>
      <c r="I165" s="927"/>
      <c r="J165" s="927"/>
      <c r="K165" s="927"/>
      <c r="L165" s="927"/>
      <c r="M165" s="927"/>
      <c r="N165" s="927"/>
      <c r="O165" s="927"/>
      <c r="P165" s="927"/>
      <c r="Q165" s="927"/>
      <c r="R165" s="927"/>
      <c r="S165" s="927"/>
      <c r="T165" s="927"/>
      <c r="U165" s="927"/>
      <c r="V165" s="927"/>
      <c r="W165" s="927"/>
      <c r="X165" s="927"/>
      <c r="Y165" s="927"/>
      <c r="Z165" s="927"/>
      <c r="AA165" s="927"/>
      <c r="AB165" s="927"/>
      <c r="AC165" s="927"/>
      <c r="AD165" s="927"/>
      <c r="AE165" s="927"/>
      <c r="AF165" s="927"/>
      <c r="AG165" s="927"/>
      <c r="AH165" s="927"/>
      <c r="AI165" s="927"/>
      <c r="AJ165" s="927"/>
      <c r="AK165" s="927"/>
      <c r="AL165" s="927"/>
      <c r="AM165" s="927"/>
      <c r="AN165" s="927"/>
      <c r="AO165" s="927"/>
      <c r="AP165" s="927"/>
      <c r="AQ165" s="927"/>
      <c r="AR165" s="927"/>
      <c r="AS165" s="927"/>
      <c r="AT165" s="927"/>
      <c r="AU165" s="927"/>
      <c r="AV165" s="927"/>
      <c r="AW165" s="927"/>
      <c r="AX165" s="927"/>
      <c r="AY165" s="927"/>
      <c r="AZ165" s="927"/>
      <c r="BA165" s="927"/>
      <c r="BB165" s="927"/>
      <c r="BC165" s="927"/>
      <c r="BD165" s="927"/>
      <c r="BE165" s="927"/>
      <c r="BF165" s="927"/>
      <c r="BG165" s="927"/>
      <c r="BH165" s="927"/>
      <c r="BI165" s="927"/>
      <c r="BJ165" s="927"/>
      <c r="BK165" s="927"/>
      <c r="BL165" s="927"/>
      <c r="BM165" s="927"/>
      <c r="BN165" s="927"/>
      <c r="BO165" s="927"/>
      <c r="BP165" s="927"/>
      <c r="BQ165" s="927"/>
      <c r="BR165" s="927"/>
      <c r="BS165" s="927"/>
      <c r="BT165" s="927"/>
    </row>
    <row r="166" spans="1:72" x14ac:dyDescent="0.25">
      <c r="A166" s="927" t="s">
        <v>487</v>
      </c>
      <c r="B166" s="927"/>
      <c r="C166" s="927"/>
      <c r="D166" s="927"/>
      <c r="E166" s="927"/>
      <c r="F166" s="927"/>
      <c r="G166" s="927"/>
      <c r="H166" s="927"/>
      <c r="I166" s="927"/>
      <c r="J166" s="927"/>
      <c r="K166" s="927"/>
      <c r="L166" s="927"/>
      <c r="M166" s="927"/>
      <c r="N166" s="927"/>
      <c r="O166" s="927"/>
      <c r="P166" s="927"/>
      <c r="Q166" s="927"/>
      <c r="R166" s="927"/>
      <c r="S166" s="927"/>
      <c r="T166" s="927"/>
      <c r="U166" s="927"/>
      <c r="V166" s="927"/>
      <c r="W166" s="927"/>
      <c r="X166" s="927"/>
      <c r="Y166" s="927"/>
      <c r="Z166" s="927"/>
      <c r="AA166" s="927"/>
      <c r="AB166" s="927"/>
      <c r="AC166" s="927"/>
      <c r="AD166" s="927"/>
      <c r="AE166" s="927"/>
      <c r="AF166" s="927"/>
      <c r="AG166" s="927"/>
      <c r="AH166" s="927"/>
      <c r="AI166" s="927"/>
      <c r="AJ166" s="927"/>
      <c r="AK166" s="927"/>
      <c r="AL166" s="927"/>
      <c r="AM166" s="927"/>
      <c r="AN166" s="927"/>
      <c r="AO166" s="927"/>
      <c r="AP166" s="927"/>
      <c r="AQ166" s="927"/>
      <c r="AR166" s="927"/>
      <c r="AS166" s="927"/>
      <c r="AT166" s="927"/>
      <c r="AU166" s="927"/>
      <c r="AV166" s="927"/>
      <c r="AW166" s="927"/>
      <c r="AX166" s="927"/>
      <c r="AY166" s="927"/>
      <c r="AZ166" s="927"/>
      <c r="BA166" s="927"/>
      <c r="BB166" s="927"/>
      <c r="BC166" s="927"/>
      <c r="BD166" s="927"/>
      <c r="BE166" s="927"/>
      <c r="BF166" s="927"/>
      <c r="BG166" s="927"/>
      <c r="BH166" s="927"/>
      <c r="BI166" s="927"/>
      <c r="BJ166" s="927"/>
      <c r="BK166" s="927"/>
      <c r="BL166" s="927"/>
      <c r="BM166" s="927"/>
      <c r="BN166" s="927"/>
      <c r="BO166" s="927"/>
      <c r="BP166" s="927"/>
      <c r="BQ166" s="927"/>
      <c r="BR166" s="927"/>
      <c r="BS166" s="927"/>
      <c r="BT166" s="927"/>
    </row>
    <row r="167" spans="1:72" x14ac:dyDescent="0.25">
      <c r="A167" s="927" t="s">
        <v>617</v>
      </c>
      <c r="B167" s="927">
        <v>23.31</v>
      </c>
      <c r="C167" s="927">
        <v>29.93</v>
      </c>
      <c r="D167" s="927">
        <v>25.58</v>
      </c>
      <c r="E167" s="927">
        <v>24.61</v>
      </c>
      <c r="F167" s="927">
        <v>25.02</v>
      </c>
      <c r="G167" s="927">
        <v>26.61</v>
      </c>
      <c r="H167" s="927">
        <v>28.36</v>
      </c>
      <c r="I167" s="927">
        <v>29.9</v>
      </c>
      <c r="J167" s="927">
        <v>31.07</v>
      </c>
      <c r="K167" s="927">
        <v>32.36</v>
      </c>
      <c r="L167" s="927">
        <v>33.58</v>
      </c>
      <c r="M167" s="927">
        <v>34.89</v>
      </c>
      <c r="N167" s="927">
        <v>35.840000000000003</v>
      </c>
      <c r="O167" s="927">
        <v>36.82</v>
      </c>
      <c r="P167" s="927">
        <v>37.89</v>
      </c>
      <c r="Q167" s="927">
        <v>38.979999999999997</v>
      </c>
      <c r="R167" s="927">
        <v>40.17</v>
      </c>
      <c r="S167" s="927">
        <v>41.36</v>
      </c>
      <c r="T167" s="927">
        <v>42.56</v>
      </c>
      <c r="U167" s="927">
        <v>43.64</v>
      </c>
      <c r="V167" s="927">
        <v>44.94</v>
      </c>
      <c r="W167" s="927">
        <v>46.27</v>
      </c>
      <c r="X167" s="927">
        <v>47.79</v>
      </c>
      <c r="Y167" s="927">
        <v>49.17</v>
      </c>
      <c r="Z167" s="927">
        <v>50.81</v>
      </c>
      <c r="AA167" s="927">
        <v>52.46</v>
      </c>
      <c r="AB167" s="927">
        <v>54.21</v>
      </c>
      <c r="AC167" s="927">
        <v>55.95</v>
      </c>
      <c r="AD167" s="927">
        <v>57.77</v>
      </c>
      <c r="AE167" s="966">
        <v>2.5000000000000001E-2</v>
      </c>
      <c r="AF167" s="927"/>
      <c r="AG167" s="927"/>
      <c r="AH167" s="927"/>
      <c r="AI167" s="927"/>
      <c r="AJ167" s="927"/>
      <c r="AK167" s="927"/>
      <c r="AL167" s="927"/>
      <c r="AM167" s="927"/>
      <c r="AN167" s="927"/>
      <c r="AO167" s="927"/>
      <c r="AP167" s="927"/>
      <c r="AQ167" s="927"/>
      <c r="AR167" s="927"/>
      <c r="AS167" s="927"/>
      <c r="AT167" s="927"/>
      <c r="AU167" s="927"/>
      <c r="AV167" s="927"/>
      <c r="AW167" s="927"/>
      <c r="AX167" s="927"/>
      <c r="AY167" s="927"/>
      <c r="AZ167" s="927"/>
      <c r="BA167" s="927"/>
      <c r="BB167" s="927"/>
      <c r="BC167" s="927"/>
      <c r="BD167" s="927"/>
      <c r="BE167" s="927"/>
      <c r="BF167" s="927"/>
      <c r="BG167" s="927"/>
      <c r="BH167" s="927"/>
      <c r="BI167" s="927"/>
      <c r="BJ167" s="927"/>
      <c r="BK167" s="927"/>
      <c r="BL167" s="927"/>
      <c r="BM167" s="927"/>
      <c r="BN167" s="927"/>
      <c r="BO167" s="927"/>
      <c r="BP167" s="927"/>
      <c r="BQ167" s="927"/>
      <c r="BR167" s="927"/>
      <c r="BS167" s="927"/>
      <c r="BT167" s="927"/>
    </row>
    <row r="168" spans="1:72" x14ac:dyDescent="0.25">
      <c r="A168" s="927" t="s">
        <v>618</v>
      </c>
      <c r="B168" s="927">
        <v>26.83</v>
      </c>
      <c r="C168" s="927">
        <v>26.93</v>
      </c>
      <c r="D168" s="927">
        <v>23.64</v>
      </c>
      <c r="E168" s="927">
        <v>21.26</v>
      </c>
      <c r="F168" s="927">
        <v>21.89</v>
      </c>
      <c r="G168" s="927">
        <v>23.43</v>
      </c>
      <c r="H168" s="927">
        <v>26.07</v>
      </c>
      <c r="I168" s="927">
        <v>27.64</v>
      </c>
      <c r="J168" s="927">
        <v>28.47</v>
      </c>
      <c r="K168" s="927">
        <v>28.45</v>
      </c>
      <c r="L168" s="927">
        <v>29.92</v>
      </c>
      <c r="M168" s="927">
        <v>31.23</v>
      </c>
      <c r="N168" s="927">
        <v>31.97</v>
      </c>
      <c r="O168" s="927">
        <v>32.94</v>
      </c>
      <c r="P168" s="927">
        <v>34.090000000000003</v>
      </c>
      <c r="Q168" s="927">
        <v>35.479999999999997</v>
      </c>
      <c r="R168" s="927">
        <v>36.880000000000003</v>
      </c>
      <c r="S168" s="927">
        <v>37.979999999999997</v>
      </c>
      <c r="T168" s="927">
        <v>39.17</v>
      </c>
      <c r="U168" s="927">
        <v>40.479999999999997</v>
      </c>
      <c r="V168" s="927">
        <v>41.72</v>
      </c>
      <c r="W168" s="927">
        <v>43.4</v>
      </c>
      <c r="X168" s="927">
        <v>44.96</v>
      </c>
      <c r="Y168" s="927">
        <v>46.25</v>
      </c>
      <c r="Z168" s="927">
        <v>47.62</v>
      </c>
      <c r="AA168" s="927">
        <v>49.36</v>
      </c>
      <c r="AB168" s="927">
        <v>50.75</v>
      </c>
      <c r="AC168" s="927">
        <v>52.29</v>
      </c>
      <c r="AD168" s="927">
        <v>54.17</v>
      </c>
      <c r="AE168" s="966">
        <v>2.5999999999999999E-2</v>
      </c>
      <c r="AF168" s="927"/>
      <c r="AG168" s="927"/>
      <c r="AH168" s="927"/>
      <c r="AI168" s="927"/>
      <c r="AJ168" s="927"/>
      <c r="AK168" s="927"/>
      <c r="AL168" s="927"/>
      <c r="AM168" s="927"/>
      <c r="AN168" s="927"/>
      <c r="AO168" s="927"/>
      <c r="AP168" s="927"/>
      <c r="AQ168" s="927"/>
      <c r="AR168" s="927"/>
      <c r="AS168" s="927"/>
      <c r="AT168" s="927"/>
      <c r="AU168" s="927"/>
      <c r="AV168" s="927"/>
      <c r="AW168" s="927"/>
      <c r="AX168" s="927"/>
      <c r="AY168" s="927"/>
      <c r="AZ168" s="927"/>
      <c r="BA168" s="927"/>
      <c r="BB168" s="927"/>
      <c r="BC168" s="927"/>
      <c r="BD168" s="927"/>
      <c r="BE168" s="927"/>
      <c r="BF168" s="927"/>
      <c r="BG168" s="927"/>
      <c r="BH168" s="927"/>
      <c r="BI168" s="927"/>
      <c r="BJ168" s="927"/>
      <c r="BK168" s="927"/>
      <c r="BL168" s="927"/>
      <c r="BM168" s="927"/>
      <c r="BN168" s="927"/>
      <c r="BO168" s="927"/>
      <c r="BP168" s="927"/>
      <c r="BQ168" s="927"/>
      <c r="BR168" s="927"/>
      <c r="BS168" s="927"/>
      <c r="BT168" s="927"/>
    </row>
    <row r="169" spans="1:72" x14ac:dyDescent="0.25">
      <c r="A169" s="927" t="s">
        <v>619</v>
      </c>
      <c r="B169" s="927">
        <v>23.15</v>
      </c>
      <c r="C169" s="927">
        <v>26.76</v>
      </c>
      <c r="D169" s="927">
        <v>19.43</v>
      </c>
      <c r="E169" s="927">
        <v>21.17</v>
      </c>
      <c r="F169" s="927">
        <v>21.79</v>
      </c>
      <c r="G169" s="927">
        <v>23.32</v>
      </c>
      <c r="H169" s="927">
        <v>25.87</v>
      </c>
      <c r="I169" s="927">
        <v>27.33</v>
      </c>
      <c r="J169" s="927">
        <v>28.27</v>
      </c>
      <c r="K169" s="927">
        <v>29.42</v>
      </c>
      <c r="L169" s="927">
        <v>30.58</v>
      </c>
      <c r="M169" s="927">
        <v>31.65</v>
      </c>
      <c r="N169" s="927">
        <v>32.6</v>
      </c>
      <c r="O169" s="927">
        <v>33.72</v>
      </c>
      <c r="P169" s="927">
        <v>34.72</v>
      </c>
      <c r="Q169" s="927">
        <v>35.94</v>
      </c>
      <c r="R169" s="927">
        <v>37.020000000000003</v>
      </c>
      <c r="S169" s="927">
        <v>37.96</v>
      </c>
      <c r="T169" s="927">
        <v>39.18</v>
      </c>
      <c r="U169" s="927">
        <v>40.44</v>
      </c>
      <c r="V169" s="927">
        <v>41.69</v>
      </c>
      <c r="W169" s="927">
        <v>43.21</v>
      </c>
      <c r="X169" s="927">
        <v>44.7</v>
      </c>
      <c r="Y169" s="927">
        <v>45.91</v>
      </c>
      <c r="Z169" s="927">
        <v>47.47</v>
      </c>
      <c r="AA169" s="927">
        <v>49.16</v>
      </c>
      <c r="AB169" s="927">
        <v>50.66</v>
      </c>
      <c r="AC169" s="927">
        <v>52.36</v>
      </c>
      <c r="AD169" s="927">
        <v>54.33</v>
      </c>
      <c r="AE169" s="966">
        <v>2.7E-2</v>
      </c>
      <c r="AF169" s="927"/>
      <c r="AG169" s="927"/>
      <c r="AH169" s="927"/>
      <c r="AI169" s="927"/>
      <c r="AJ169" s="927"/>
      <c r="AK169" s="927"/>
      <c r="AL169" s="927"/>
      <c r="AM169" s="927"/>
      <c r="AN169" s="927"/>
      <c r="AO169" s="927"/>
      <c r="AP169" s="927"/>
      <c r="AQ169" s="927"/>
      <c r="AR169" s="927"/>
      <c r="AS169" s="927"/>
      <c r="AT169" s="927"/>
      <c r="AU169" s="927"/>
      <c r="AV169" s="927"/>
      <c r="AW169" s="927"/>
      <c r="AX169" s="927"/>
      <c r="AY169" s="927"/>
      <c r="AZ169" s="927"/>
      <c r="BA169" s="927"/>
      <c r="BB169" s="927"/>
      <c r="BC169" s="927"/>
      <c r="BD169" s="927"/>
      <c r="BE169" s="927"/>
      <c r="BF169" s="927"/>
      <c r="BG169" s="927"/>
      <c r="BH169" s="927"/>
      <c r="BI169" s="927"/>
      <c r="BJ169" s="927"/>
      <c r="BK169" s="927"/>
      <c r="BL169" s="927"/>
      <c r="BM169" s="927"/>
      <c r="BN169" s="927"/>
      <c r="BO169" s="927"/>
      <c r="BP169" s="927"/>
      <c r="BQ169" s="927"/>
      <c r="BR169" s="927"/>
      <c r="BS169" s="927"/>
      <c r="BT169" s="927"/>
    </row>
    <row r="170" spans="1:72" x14ac:dyDescent="0.25">
      <c r="A170" s="927" t="s">
        <v>620</v>
      </c>
      <c r="B170" s="927">
        <v>15.42</v>
      </c>
      <c r="C170" s="927">
        <v>22.71</v>
      </c>
      <c r="D170" s="927">
        <v>12.92</v>
      </c>
      <c r="E170" s="927">
        <v>15.23</v>
      </c>
      <c r="F170" s="927">
        <v>15.82</v>
      </c>
      <c r="G170" s="927">
        <v>17.510000000000002</v>
      </c>
      <c r="H170" s="927">
        <v>19.05</v>
      </c>
      <c r="I170" s="927">
        <v>20.23</v>
      </c>
      <c r="J170" s="927">
        <v>21.21</v>
      </c>
      <c r="K170" s="927">
        <v>22.42</v>
      </c>
      <c r="L170" s="927">
        <v>23.58</v>
      </c>
      <c r="M170" s="927">
        <v>24.67</v>
      </c>
      <c r="N170" s="927">
        <v>25.58</v>
      </c>
      <c r="O170" s="927">
        <v>26.51</v>
      </c>
      <c r="P170" s="927">
        <v>27.27</v>
      </c>
      <c r="Q170" s="927">
        <v>28.18</v>
      </c>
      <c r="R170" s="927">
        <v>29.2</v>
      </c>
      <c r="S170" s="927">
        <v>30.07</v>
      </c>
      <c r="T170" s="927">
        <v>31.1</v>
      </c>
      <c r="U170" s="927">
        <v>32.130000000000003</v>
      </c>
      <c r="V170" s="927">
        <v>33.21</v>
      </c>
      <c r="W170" s="927">
        <v>34.54</v>
      </c>
      <c r="X170" s="927">
        <v>35.83</v>
      </c>
      <c r="Y170" s="927">
        <v>36.99</v>
      </c>
      <c r="Z170" s="927">
        <v>38.42</v>
      </c>
      <c r="AA170" s="927">
        <v>39.92</v>
      </c>
      <c r="AB170" s="927">
        <v>41.32</v>
      </c>
      <c r="AC170" s="927">
        <v>42.87</v>
      </c>
      <c r="AD170" s="927">
        <v>44.51</v>
      </c>
      <c r="AE170" s="966">
        <v>2.5000000000000001E-2</v>
      </c>
      <c r="AF170" s="927"/>
      <c r="AG170" s="927"/>
      <c r="AH170" s="927"/>
      <c r="AI170" s="927"/>
      <c r="AJ170" s="927"/>
      <c r="AK170" s="927"/>
      <c r="AL170" s="927"/>
      <c r="AM170" s="927"/>
      <c r="AN170" s="927"/>
      <c r="AO170" s="927"/>
      <c r="AP170" s="927"/>
      <c r="AQ170" s="927"/>
      <c r="AR170" s="927"/>
      <c r="AS170" s="927"/>
      <c r="AT170" s="927"/>
      <c r="AU170" s="927"/>
      <c r="AV170" s="927"/>
      <c r="AW170" s="927"/>
      <c r="AX170" s="927"/>
      <c r="AY170" s="927"/>
      <c r="AZ170" s="927"/>
      <c r="BA170" s="927"/>
      <c r="BB170" s="927"/>
      <c r="BC170" s="927"/>
      <c r="BD170" s="927"/>
      <c r="BE170" s="927"/>
      <c r="BF170" s="927"/>
      <c r="BG170" s="927"/>
      <c r="BH170" s="927"/>
      <c r="BI170" s="927"/>
      <c r="BJ170" s="927"/>
      <c r="BK170" s="927"/>
      <c r="BL170" s="927"/>
      <c r="BM170" s="927"/>
      <c r="BN170" s="927"/>
      <c r="BO170" s="927"/>
      <c r="BP170" s="927"/>
      <c r="BQ170" s="927"/>
      <c r="BR170" s="927"/>
      <c r="BS170" s="927"/>
      <c r="BT170" s="927"/>
    </row>
    <row r="171" spans="1:72" x14ac:dyDescent="0.25">
      <c r="A171" s="927" t="s">
        <v>724</v>
      </c>
      <c r="B171" s="927">
        <v>21.08</v>
      </c>
      <c r="C171" s="927">
        <v>27.65</v>
      </c>
      <c r="D171" s="927">
        <v>18.04</v>
      </c>
      <c r="E171" s="927">
        <v>19.7</v>
      </c>
      <c r="F171" s="927">
        <v>20.149999999999999</v>
      </c>
      <c r="G171" s="927">
        <v>21.71</v>
      </c>
      <c r="H171" s="927">
        <v>23.2</v>
      </c>
      <c r="I171" s="927">
        <v>24.38</v>
      </c>
      <c r="J171" s="927">
        <v>25.56</v>
      </c>
      <c r="K171" s="927">
        <v>26.86</v>
      </c>
      <c r="L171" s="927">
        <v>28.03</v>
      </c>
      <c r="M171" s="927">
        <v>29.31</v>
      </c>
      <c r="N171" s="927">
        <v>30.31</v>
      </c>
      <c r="O171" s="927">
        <v>31.28</v>
      </c>
      <c r="P171" s="927">
        <v>32.19</v>
      </c>
      <c r="Q171" s="927">
        <v>33.32</v>
      </c>
      <c r="R171" s="927">
        <v>34.22</v>
      </c>
      <c r="S171" s="927">
        <v>35.03</v>
      </c>
      <c r="T171" s="927">
        <v>36.130000000000003</v>
      </c>
      <c r="U171" s="927">
        <v>37.17</v>
      </c>
      <c r="V171" s="927">
        <v>38.32</v>
      </c>
      <c r="W171" s="927">
        <v>39.61</v>
      </c>
      <c r="X171" s="927">
        <v>41.05</v>
      </c>
      <c r="Y171" s="927">
        <v>42.2</v>
      </c>
      <c r="Z171" s="927">
        <v>43.79</v>
      </c>
      <c r="AA171" s="927">
        <v>45.41</v>
      </c>
      <c r="AB171" s="927">
        <v>46.88</v>
      </c>
      <c r="AC171" s="927">
        <v>48.53</v>
      </c>
      <c r="AD171" s="927">
        <v>50.35</v>
      </c>
      <c r="AE171" s="966">
        <v>2.1999999999999999E-2</v>
      </c>
      <c r="AF171" s="927"/>
      <c r="AG171" s="927"/>
      <c r="AH171" s="927"/>
      <c r="AI171" s="927"/>
      <c r="AJ171" s="927"/>
      <c r="AK171" s="927"/>
      <c r="AL171" s="927"/>
      <c r="AM171" s="927"/>
      <c r="AN171" s="927"/>
      <c r="AO171" s="927"/>
      <c r="AP171" s="927"/>
      <c r="AQ171" s="927"/>
      <c r="AR171" s="927"/>
      <c r="AS171" s="927"/>
      <c r="AT171" s="927"/>
      <c r="AU171" s="927"/>
      <c r="AV171" s="927"/>
      <c r="AW171" s="927"/>
      <c r="AX171" s="927"/>
      <c r="AY171" s="927"/>
      <c r="AZ171" s="927"/>
      <c r="BA171" s="927"/>
      <c r="BB171" s="927"/>
      <c r="BC171" s="927"/>
      <c r="BD171" s="927"/>
      <c r="BE171" s="927"/>
      <c r="BF171" s="927"/>
      <c r="BG171" s="927"/>
      <c r="BH171" s="927"/>
      <c r="BI171" s="927"/>
      <c r="BJ171" s="927"/>
      <c r="BK171" s="927"/>
      <c r="BL171" s="927"/>
      <c r="BM171" s="927"/>
      <c r="BN171" s="927"/>
      <c r="BO171" s="927"/>
      <c r="BP171" s="927"/>
      <c r="BQ171" s="927"/>
      <c r="BR171" s="927"/>
      <c r="BS171" s="927"/>
      <c r="BT171" s="927"/>
    </row>
    <row r="172" spans="1:72" x14ac:dyDescent="0.25">
      <c r="A172" s="927" t="s">
        <v>611</v>
      </c>
      <c r="B172" s="927">
        <v>8.99</v>
      </c>
      <c r="C172" s="927">
        <v>14.49</v>
      </c>
      <c r="D172" s="927">
        <v>9</v>
      </c>
      <c r="E172" s="927">
        <v>10.51</v>
      </c>
      <c r="F172" s="927">
        <v>10.77</v>
      </c>
      <c r="G172" s="927">
        <v>12.17</v>
      </c>
      <c r="H172" s="927">
        <v>13.4</v>
      </c>
      <c r="I172" s="927">
        <v>14.45</v>
      </c>
      <c r="J172" s="927">
        <v>15.13</v>
      </c>
      <c r="K172" s="927">
        <v>15.77</v>
      </c>
      <c r="L172" s="927">
        <v>16.670000000000002</v>
      </c>
      <c r="M172" s="927">
        <v>17.43</v>
      </c>
      <c r="N172" s="927">
        <v>17.940000000000001</v>
      </c>
      <c r="O172" s="927">
        <v>18.32</v>
      </c>
      <c r="P172" s="927">
        <v>19</v>
      </c>
      <c r="Q172" s="927">
        <v>19.57</v>
      </c>
      <c r="R172" s="927">
        <v>20.260000000000002</v>
      </c>
      <c r="S172" s="927">
        <v>20.94</v>
      </c>
      <c r="T172" s="927">
        <v>21.63</v>
      </c>
      <c r="U172" s="927">
        <v>22.13</v>
      </c>
      <c r="V172" s="927">
        <v>23.02</v>
      </c>
      <c r="W172" s="927">
        <v>23.85</v>
      </c>
      <c r="X172" s="927">
        <v>24.8</v>
      </c>
      <c r="Y172" s="927">
        <v>25.81</v>
      </c>
      <c r="Z172" s="927">
        <v>26.88</v>
      </c>
      <c r="AA172" s="927">
        <v>27.91</v>
      </c>
      <c r="AB172" s="927">
        <v>28.9</v>
      </c>
      <c r="AC172" s="927">
        <v>30.02</v>
      </c>
      <c r="AD172" s="927">
        <v>31.26</v>
      </c>
      <c r="AE172" s="966">
        <v>2.9000000000000001E-2</v>
      </c>
      <c r="AF172" s="927"/>
      <c r="AG172" s="927"/>
      <c r="AH172" s="927"/>
      <c r="AI172" s="927"/>
      <c r="AJ172" s="927"/>
      <c r="AK172" s="927"/>
      <c r="AL172" s="927"/>
      <c r="AM172" s="927"/>
      <c r="AN172" s="927"/>
      <c r="AO172" s="927"/>
      <c r="AP172" s="927"/>
      <c r="AQ172" s="927"/>
      <c r="AR172" s="927"/>
      <c r="AS172" s="927"/>
      <c r="AT172" s="927"/>
      <c r="AU172" s="927"/>
      <c r="AV172" s="927"/>
      <c r="AW172" s="927"/>
      <c r="AX172" s="927"/>
      <c r="AY172" s="927"/>
      <c r="AZ172" s="927"/>
      <c r="BA172" s="927"/>
      <c r="BB172" s="927"/>
      <c r="BC172" s="927"/>
      <c r="BD172" s="927"/>
      <c r="BE172" s="927"/>
      <c r="BF172" s="927"/>
      <c r="BG172" s="927"/>
      <c r="BH172" s="927"/>
      <c r="BI172" s="927"/>
      <c r="BJ172" s="927"/>
      <c r="BK172" s="927"/>
      <c r="BL172" s="927"/>
      <c r="BM172" s="927"/>
      <c r="BN172" s="927"/>
      <c r="BO172" s="927"/>
      <c r="BP172" s="927"/>
      <c r="BQ172" s="927"/>
      <c r="BR172" s="927"/>
      <c r="BS172" s="927"/>
      <c r="BT172" s="927"/>
    </row>
    <row r="173" spans="1:72" x14ac:dyDescent="0.25">
      <c r="A173" s="927" t="s">
        <v>622</v>
      </c>
      <c r="B173" s="927">
        <v>13.54</v>
      </c>
      <c r="C173" s="927">
        <v>15.96</v>
      </c>
      <c r="D173" s="927">
        <v>11.54</v>
      </c>
      <c r="E173" s="927">
        <v>12.36</v>
      </c>
      <c r="F173" s="927">
        <v>13.66</v>
      </c>
      <c r="G173" s="927">
        <v>14.28</v>
      </c>
      <c r="H173" s="927">
        <v>14.39</v>
      </c>
      <c r="I173" s="927">
        <v>14.52</v>
      </c>
      <c r="J173" s="927">
        <v>14.9</v>
      </c>
      <c r="K173" s="927">
        <v>15.21</v>
      </c>
      <c r="L173" s="927">
        <v>15.46</v>
      </c>
      <c r="M173" s="927">
        <v>15.74</v>
      </c>
      <c r="N173" s="927">
        <v>16.04</v>
      </c>
      <c r="O173" s="927">
        <v>16.43</v>
      </c>
      <c r="P173" s="927">
        <v>16.8</v>
      </c>
      <c r="Q173" s="927">
        <v>17.32</v>
      </c>
      <c r="R173" s="927">
        <v>17.64</v>
      </c>
      <c r="S173" s="927">
        <v>17.829999999999998</v>
      </c>
      <c r="T173" s="927">
        <v>18.23</v>
      </c>
      <c r="U173" s="927">
        <v>18.760000000000002</v>
      </c>
      <c r="V173" s="927">
        <v>19.309999999999999</v>
      </c>
      <c r="W173" s="927">
        <v>19.98</v>
      </c>
      <c r="X173" s="927">
        <v>20.67</v>
      </c>
      <c r="Y173" s="927">
        <v>21.42</v>
      </c>
      <c r="Z173" s="927">
        <v>22.31</v>
      </c>
      <c r="AA173" s="927">
        <v>22.94</v>
      </c>
      <c r="AB173" s="927">
        <v>23.44</v>
      </c>
      <c r="AC173" s="927">
        <v>24.19</v>
      </c>
      <c r="AD173" s="927">
        <v>24.84</v>
      </c>
      <c r="AE173" s="966">
        <v>1.7000000000000001E-2</v>
      </c>
      <c r="AF173" s="927"/>
      <c r="AG173" s="927"/>
      <c r="AH173" s="927"/>
      <c r="AI173" s="927"/>
      <c r="AJ173" s="927"/>
      <c r="AK173" s="927"/>
      <c r="AL173" s="927"/>
      <c r="AM173" s="927"/>
      <c r="AN173" s="927"/>
      <c r="AO173" s="927"/>
      <c r="AP173" s="927"/>
      <c r="AQ173" s="927"/>
      <c r="AR173" s="927"/>
      <c r="AS173" s="927"/>
      <c r="AT173" s="927"/>
      <c r="AU173" s="927"/>
      <c r="AV173" s="927"/>
      <c r="AW173" s="927"/>
      <c r="AX173" s="927"/>
      <c r="AY173" s="927"/>
      <c r="AZ173" s="927"/>
      <c r="BA173" s="927"/>
      <c r="BB173" s="927"/>
      <c r="BC173" s="927"/>
      <c r="BD173" s="927"/>
      <c r="BE173" s="927"/>
      <c r="BF173" s="927"/>
      <c r="BG173" s="927"/>
      <c r="BH173" s="927"/>
      <c r="BI173" s="927"/>
      <c r="BJ173" s="927"/>
      <c r="BK173" s="927"/>
      <c r="BL173" s="927"/>
      <c r="BM173" s="927"/>
      <c r="BN173" s="927"/>
      <c r="BO173" s="927"/>
      <c r="BP173" s="927"/>
      <c r="BQ173" s="927"/>
      <c r="BR173" s="927"/>
      <c r="BS173" s="927"/>
      <c r="BT173" s="927"/>
    </row>
    <row r="174" spans="1:72" x14ac:dyDescent="0.25">
      <c r="A174" s="927" t="s">
        <v>479</v>
      </c>
      <c r="B174" s="927">
        <v>31.32</v>
      </c>
      <c r="C174" s="927">
        <v>33.729999999999997</v>
      </c>
      <c r="D174" s="927">
        <v>32.79</v>
      </c>
      <c r="E174" s="927">
        <v>31.2</v>
      </c>
      <c r="F174" s="927">
        <v>28.83</v>
      </c>
      <c r="G174" s="927">
        <v>31.39</v>
      </c>
      <c r="H174" s="927">
        <v>32.01</v>
      </c>
      <c r="I174" s="927">
        <v>31.85</v>
      </c>
      <c r="J174" s="927">
        <v>32.08</v>
      </c>
      <c r="K174" s="927">
        <v>32.909999999999997</v>
      </c>
      <c r="L174" s="927">
        <v>33.549999999999997</v>
      </c>
      <c r="M174" s="927">
        <v>33.97</v>
      </c>
      <c r="N174" s="927">
        <v>34.26</v>
      </c>
      <c r="O174" s="927">
        <v>34.89</v>
      </c>
      <c r="P174" s="927">
        <v>35.61</v>
      </c>
      <c r="Q174" s="927">
        <v>36.26</v>
      </c>
      <c r="R174" s="927">
        <v>37.11</v>
      </c>
      <c r="S174" s="927">
        <v>38.1</v>
      </c>
      <c r="T174" s="927">
        <v>38.86</v>
      </c>
      <c r="U174" s="927">
        <v>40</v>
      </c>
      <c r="V174" s="927">
        <v>41.47</v>
      </c>
      <c r="W174" s="927">
        <v>43.05</v>
      </c>
      <c r="X174" s="927">
        <v>45.05</v>
      </c>
      <c r="Y174" s="927">
        <v>46.8</v>
      </c>
      <c r="Z174" s="927">
        <v>48.78</v>
      </c>
      <c r="AA174" s="927">
        <v>50.72</v>
      </c>
      <c r="AB174" s="927">
        <v>52.33</v>
      </c>
      <c r="AC174" s="927">
        <v>54.13</v>
      </c>
      <c r="AD174" s="927">
        <v>55.89</v>
      </c>
      <c r="AE174" s="966">
        <v>1.9E-2</v>
      </c>
      <c r="AF174" s="927"/>
      <c r="AG174" s="927"/>
      <c r="AH174" s="927"/>
      <c r="AI174" s="927"/>
      <c r="AJ174" s="927"/>
      <c r="AK174" s="927"/>
      <c r="AL174" s="927"/>
      <c r="AM174" s="927"/>
      <c r="AN174" s="927"/>
      <c r="AO174" s="927"/>
      <c r="AP174" s="927"/>
      <c r="AQ174" s="927"/>
      <c r="AR174" s="927"/>
      <c r="AS174" s="927"/>
      <c r="AT174" s="927"/>
      <c r="AU174" s="927"/>
      <c r="AV174" s="927"/>
      <c r="AW174" s="927"/>
      <c r="AX174" s="927"/>
      <c r="AY174" s="927"/>
      <c r="AZ174" s="927"/>
      <c r="BA174" s="927"/>
      <c r="BB174" s="927"/>
      <c r="BC174" s="927"/>
      <c r="BD174" s="927"/>
      <c r="BE174" s="927"/>
      <c r="BF174" s="927"/>
      <c r="BG174" s="927"/>
      <c r="BH174" s="927"/>
      <c r="BI174" s="927"/>
      <c r="BJ174" s="927"/>
      <c r="BK174" s="927"/>
      <c r="BL174" s="927"/>
      <c r="BM174" s="927"/>
      <c r="BN174" s="927"/>
      <c r="BO174" s="927"/>
      <c r="BP174" s="927"/>
      <c r="BQ174" s="927"/>
      <c r="BR174" s="927"/>
      <c r="BS174" s="927"/>
      <c r="BT174" s="927"/>
    </row>
    <row r="175" spans="1:72" x14ac:dyDescent="0.25">
      <c r="A175" s="927"/>
      <c r="B175" s="927"/>
      <c r="C175" s="927"/>
      <c r="D175" s="927"/>
      <c r="E175" s="927"/>
      <c r="F175" s="927"/>
      <c r="G175" s="927"/>
      <c r="H175" s="927"/>
      <c r="I175" s="927"/>
      <c r="J175" s="927"/>
      <c r="K175" s="927"/>
      <c r="L175" s="927"/>
      <c r="M175" s="927"/>
      <c r="N175" s="927"/>
      <c r="O175" s="927"/>
      <c r="P175" s="927"/>
      <c r="Q175" s="927"/>
      <c r="R175" s="927"/>
      <c r="S175" s="927"/>
      <c r="T175" s="927"/>
      <c r="U175" s="927"/>
      <c r="V175" s="927"/>
      <c r="W175" s="927"/>
      <c r="X175" s="927"/>
      <c r="Y175" s="927"/>
      <c r="Z175" s="927"/>
      <c r="AA175" s="927"/>
      <c r="AB175" s="927"/>
      <c r="AC175" s="927"/>
      <c r="AD175" s="927"/>
      <c r="AE175" s="927"/>
      <c r="AF175" s="927"/>
      <c r="AG175" s="927"/>
      <c r="AH175" s="927"/>
      <c r="AI175" s="927"/>
      <c r="AJ175" s="927"/>
      <c r="AK175" s="927"/>
      <c r="AL175" s="927"/>
      <c r="AM175" s="927"/>
      <c r="AN175" s="927"/>
      <c r="AO175" s="927"/>
      <c r="AP175" s="927"/>
      <c r="AQ175" s="927"/>
      <c r="AR175" s="927"/>
      <c r="AS175" s="927"/>
      <c r="AT175" s="927"/>
      <c r="AU175" s="927"/>
      <c r="AV175" s="927"/>
      <c r="AW175" s="927"/>
      <c r="AX175" s="927"/>
      <c r="AY175" s="927"/>
      <c r="AZ175" s="927"/>
      <c r="BA175" s="927"/>
      <c r="BB175" s="927"/>
      <c r="BC175" s="927"/>
      <c r="BD175" s="927"/>
      <c r="BE175" s="927"/>
      <c r="BF175" s="927"/>
      <c r="BG175" s="927"/>
      <c r="BH175" s="927"/>
      <c r="BI175" s="927"/>
      <c r="BJ175" s="927"/>
      <c r="BK175" s="927"/>
      <c r="BL175" s="927"/>
      <c r="BM175" s="927"/>
      <c r="BN175" s="927"/>
      <c r="BO175" s="927"/>
      <c r="BP175" s="927"/>
      <c r="BQ175" s="927"/>
      <c r="BR175" s="927"/>
      <c r="BS175" s="927"/>
      <c r="BT175" s="927"/>
    </row>
    <row r="176" spans="1:72" x14ac:dyDescent="0.25">
      <c r="A176" s="927" t="s">
        <v>623</v>
      </c>
      <c r="B176" s="927"/>
      <c r="C176" s="927"/>
      <c r="D176" s="927"/>
      <c r="E176" s="927"/>
      <c r="F176" s="927"/>
      <c r="G176" s="927"/>
      <c r="H176" s="927"/>
      <c r="I176" s="927"/>
      <c r="J176" s="927"/>
      <c r="K176" s="927"/>
      <c r="L176" s="927"/>
      <c r="M176" s="927"/>
      <c r="N176" s="927"/>
      <c r="O176" s="927"/>
      <c r="P176" s="927"/>
      <c r="Q176" s="927"/>
      <c r="R176" s="927"/>
      <c r="S176" s="927"/>
      <c r="T176" s="927"/>
      <c r="U176" s="927"/>
      <c r="V176" s="927"/>
      <c r="W176" s="927"/>
      <c r="X176" s="927"/>
      <c r="Y176" s="927"/>
      <c r="Z176" s="927"/>
      <c r="AA176" s="927"/>
      <c r="AB176" s="927"/>
      <c r="AC176" s="927"/>
      <c r="AD176" s="927"/>
      <c r="AE176" s="927"/>
      <c r="AF176" s="927"/>
      <c r="AG176" s="927"/>
      <c r="AH176" s="927"/>
      <c r="AI176" s="927"/>
      <c r="AJ176" s="927"/>
      <c r="AK176" s="927"/>
      <c r="AL176" s="927"/>
      <c r="AM176" s="927"/>
      <c r="AN176" s="927"/>
      <c r="AO176" s="927"/>
      <c r="AP176" s="927"/>
      <c r="AQ176" s="927"/>
      <c r="AR176" s="927"/>
      <c r="AS176" s="927"/>
      <c r="AT176" s="927"/>
      <c r="AU176" s="927"/>
      <c r="AV176" s="927"/>
      <c r="AW176" s="927"/>
      <c r="AX176" s="927"/>
      <c r="AY176" s="927"/>
      <c r="AZ176" s="927"/>
      <c r="BA176" s="927"/>
      <c r="BB176" s="927"/>
      <c r="BC176" s="927"/>
      <c r="BD176" s="927"/>
      <c r="BE176" s="927"/>
      <c r="BF176" s="927"/>
      <c r="BG176" s="927"/>
      <c r="BH176" s="927"/>
      <c r="BI176" s="927"/>
      <c r="BJ176" s="927"/>
      <c r="BK176" s="927"/>
      <c r="BL176" s="927"/>
      <c r="BM176" s="927"/>
      <c r="BN176" s="927"/>
      <c r="BO176" s="927"/>
      <c r="BP176" s="927"/>
      <c r="BQ176" s="927"/>
      <c r="BR176" s="927"/>
      <c r="BS176" s="927"/>
      <c r="BT176" s="927"/>
    </row>
    <row r="177" spans="1:72" x14ac:dyDescent="0.25">
      <c r="A177" s="927" t="s">
        <v>610</v>
      </c>
      <c r="B177" s="927">
        <v>15.41</v>
      </c>
      <c r="C177" s="927">
        <v>19.37</v>
      </c>
      <c r="D177" s="927">
        <v>14.46</v>
      </c>
      <c r="E177" s="927">
        <v>14.33</v>
      </c>
      <c r="F177" s="927">
        <v>14.68</v>
      </c>
      <c r="G177" s="927">
        <v>16.09</v>
      </c>
      <c r="H177" s="927">
        <v>17.46</v>
      </c>
      <c r="I177" s="927">
        <v>18.510000000000002</v>
      </c>
      <c r="J177" s="927">
        <v>19.350000000000001</v>
      </c>
      <c r="K177" s="927">
        <v>20.67</v>
      </c>
      <c r="L177" s="927">
        <v>21.81</v>
      </c>
      <c r="M177" s="927">
        <v>22.96</v>
      </c>
      <c r="N177" s="927">
        <v>23.88</v>
      </c>
      <c r="O177" s="927">
        <v>24.75</v>
      </c>
      <c r="P177" s="927">
        <v>25.46</v>
      </c>
      <c r="Q177" s="927">
        <v>26.24</v>
      </c>
      <c r="R177" s="927">
        <v>27.22</v>
      </c>
      <c r="S177" s="927">
        <v>28.03</v>
      </c>
      <c r="T177" s="927">
        <v>28.98</v>
      </c>
      <c r="U177" s="927">
        <v>29.93</v>
      </c>
      <c r="V177" s="927">
        <v>30.88</v>
      </c>
      <c r="W177" s="927">
        <v>32</v>
      </c>
      <c r="X177" s="927">
        <v>33.28</v>
      </c>
      <c r="Y177" s="927">
        <v>34.28</v>
      </c>
      <c r="Z177" s="927">
        <v>35.71</v>
      </c>
      <c r="AA177" s="927">
        <v>37.130000000000003</v>
      </c>
      <c r="AB177" s="927">
        <v>38.46</v>
      </c>
      <c r="AC177" s="927">
        <v>39.950000000000003</v>
      </c>
      <c r="AD177" s="927">
        <v>41.52</v>
      </c>
      <c r="AE177" s="966">
        <v>2.9000000000000001E-2</v>
      </c>
      <c r="AF177" s="927"/>
      <c r="AG177" s="927"/>
      <c r="AH177" s="927"/>
      <c r="AI177" s="927"/>
      <c r="AJ177" s="927"/>
      <c r="AK177" s="927"/>
      <c r="AL177" s="927"/>
      <c r="AM177" s="927"/>
      <c r="AN177" s="927"/>
      <c r="AO177" s="927"/>
      <c r="AP177" s="927"/>
      <c r="AQ177" s="927"/>
      <c r="AR177" s="927"/>
      <c r="AS177" s="927"/>
      <c r="AT177" s="927"/>
      <c r="AU177" s="927"/>
      <c r="AV177" s="927"/>
      <c r="AW177" s="927"/>
      <c r="AX177" s="927"/>
      <c r="AY177" s="927"/>
      <c r="AZ177" s="927"/>
      <c r="BA177" s="927"/>
      <c r="BB177" s="927"/>
      <c r="BC177" s="927"/>
      <c r="BD177" s="927"/>
      <c r="BE177" s="927"/>
      <c r="BF177" s="927"/>
      <c r="BG177" s="927"/>
      <c r="BH177" s="927"/>
      <c r="BI177" s="927"/>
      <c r="BJ177" s="927"/>
      <c r="BK177" s="927"/>
      <c r="BL177" s="927"/>
      <c r="BM177" s="927"/>
      <c r="BN177" s="927"/>
      <c r="BO177" s="927"/>
      <c r="BP177" s="927"/>
      <c r="BQ177" s="927"/>
      <c r="BR177" s="927"/>
      <c r="BS177" s="927"/>
      <c r="BT177" s="927"/>
    </row>
    <row r="178" spans="1:72" x14ac:dyDescent="0.25">
      <c r="A178" s="927" t="s">
        <v>611</v>
      </c>
      <c r="B178" s="927">
        <v>8.84</v>
      </c>
      <c r="C178" s="927">
        <v>14.56</v>
      </c>
      <c r="D178" s="927">
        <v>8.92</v>
      </c>
      <c r="E178" s="927">
        <v>12.37</v>
      </c>
      <c r="F178" s="927">
        <v>12.7</v>
      </c>
      <c r="G178" s="927">
        <v>14.13</v>
      </c>
      <c r="H178" s="927">
        <v>15.48</v>
      </c>
      <c r="I178" s="927">
        <v>16.55</v>
      </c>
      <c r="J178" s="927">
        <v>17.3</v>
      </c>
      <c r="K178" s="927">
        <v>18.07</v>
      </c>
      <c r="L178" s="927">
        <v>19.010000000000002</v>
      </c>
      <c r="M178" s="927">
        <v>19.88</v>
      </c>
      <c r="N178" s="927">
        <v>20.54</v>
      </c>
      <c r="O178" s="927">
        <v>21.05</v>
      </c>
      <c r="P178" s="927">
        <v>21.8</v>
      </c>
      <c r="Q178" s="927">
        <v>22.48</v>
      </c>
      <c r="R178" s="927">
        <v>23.26</v>
      </c>
      <c r="S178" s="927">
        <v>24.05</v>
      </c>
      <c r="T178" s="927">
        <v>24.83</v>
      </c>
      <c r="U178" s="927">
        <v>25.46</v>
      </c>
      <c r="V178" s="927">
        <v>26.42</v>
      </c>
      <c r="W178" s="927">
        <v>27.37</v>
      </c>
      <c r="X178" s="927">
        <v>28.4</v>
      </c>
      <c r="Y178" s="927">
        <v>29.5</v>
      </c>
      <c r="Z178" s="927">
        <v>30.7</v>
      </c>
      <c r="AA178" s="927">
        <v>31.85</v>
      </c>
      <c r="AB178" s="927">
        <v>32.92</v>
      </c>
      <c r="AC178" s="927">
        <v>34.19</v>
      </c>
      <c r="AD178" s="927">
        <v>35.49</v>
      </c>
      <c r="AE178" s="966">
        <v>3.4000000000000002E-2</v>
      </c>
      <c r="AF178" s="927"/>
      <c r="AG178" s="927"/>
      <c r="AH178" s="927"/>
      <c r="AI178" s="927"/>
      <c r="AJ178" s="927"/>
      <c r="AK178" s="927"/>
      <c r="AL178" s="927"/>
      <c r="AM178" s="927"/>
      <c r="AN178" s="927"/>
      <c r="AO178" s="927"/>
      <c r="AP178" s="927"/>
      <c r="AQ178" s="927"/>
      <c r="AR178" s="927"/>
      <c r="AS178" s="927"/>
      <c r="AT178" s="927"/>
      <c r="AU178" s="927"/>
      <c r="AV178" s="927"/>
      <c r="AW178" s="927"/>
      <c r="AX178" s="927"/>
      <c r="AY178" s="927"/>
      <c r="AZ178" s="927"/>
      <c r="BA178" s="927"/>
      <c r="BB178" s="927"/>
      <c r="BC178" s="927"/>
      <c r="BD178" s="927"/>
      <c r="BE178" s="927"/>
      <c r="BF178" s="927"/>
      <c r="BG178" s="927"/>
      <c r="BH178" s="927"/>
      <c r="BI178" s="927"/>
      <c r="BJ178" s="927"/>
      <c r="BK178" s="927"/>
      <c r="BL178" s="927"/>
      <c r="BM178" s="927"/>
      <c r="BN178" s="927"/>
      <c r="BO178" s="927"/>
      <c r="BP178" s="927"/>
      <c r="BQ178" s="927"/>
      <c r="BR178" s="927"/>
      <c r="BS178" s="927"/>
      <c r="BT178" s="927"/>
    </row>
    <row r="179" spans="1:72" x14ac:dyDescent="0.25">
      <c r="A179" s="927" t="s">
        <v>510</v>
      </c>
      <c r="B179" s="927">
        <v>7.1</v>
      </c>
      <c r="C179" s="927">
        <v>9.09</v>
      </c>
      <c r="D179" s="927">
        <v>4.2</v>
      </c>
      <c r="E179" s="927">
        <v>4.99</v>
      </c>
      <c r="F179" s="927">
        <v>6.07</v>
      </c>
      <c r="G179" s="927">
        <v>6.53</v>
      </c>
      <c r="H179" s="927">
        <v>6.4</v>
      </c>
      <c r="I179" s="927">
        <v>6.47</v>
      </c>
      <c r="J179" s="927">
        <v>6.77</v>
      </c>
      <c r="K179" s="927">
        <v>6.99</v>
      </c>
      <c r="L179" s="927">
        <v>7.13</v>
      </c>
      <c r="M179" s="927">
        <v>7.32</v>
      </c>
      <c r="N179" s="927">
        <v>7.53</v>
      </c>
      <c r="O179" s="927">
        <v>7.85</v>
      </c>
      <c r="P179" s="927">
        <v>8.1300000000000008</v>
      </c>
      <c r="Q179" s="927">
        <v>8.5399999999999991</v>
      </c>
      <c r="R179" s="927">
        <v>8.7799999999999994</v>
      </c>
      <c r="S179" s="927">
        <v>8.91</v>
      </c>
      <c r="T179" s="927">
        <v>9.17</v>
      </c>
      <c r="U179" s="927">
        <v>9.57</v>
      </c>
      <c r="V179" s="927">
        <v>9.9700000000000006</v>
      </c>
      <c r="W179" s="927">
        <v>10.51</v>
      </c>
      <c r="X179" s="927">
        <v>11.09</v>
      </c>
      <c r="Y179" s="927">
        <v>11.66</v>
      </c>
      <c r="Z179" s="927">
        <v>12.38</v>
      </c>
      <c r="AA179" s="927">
        <v>12.84</v>
      </c>
      <c r="AB179" s="927">
        <v>13.16</v>
      </c>
      <c r="AC179" s="927">
        <v>13.75</v>
      </c>
      <c r="AD179" s="927">
        <v>14.22</v>
      </c>
      <c r="AE179" s="966">
        <v>1.7000000000000001E-2</v>
      </c>
      <c r="AF179" s="927"/>
      <c r="AG179" s="927"/>
      <c r="AH179" s="927"/>
      <c r="AI179" s="927"/>
      <c r="AJ179" s="927"/>
      <c r="AK179" s="927"/>
      <c r="AL179" s="927"/>
      <c r="AM179" s="927"/>
      <c r="AN179" s="927"/>
      <c r="AO179" s="927"/>
      <c r="AP179" s="927"/>
      <c r="AQ179" s="927"/>
      <c r="AR179" s="927"/>
      <c r="AS179" s="927"/>
      <c r="AT179" s="927"/>
      <c r="AU179" s="927"/>
      <c r="AV179" s="927"/>
      <c r="AW179" s="927"/>
      <c r="AX179" s="927"/>
      <c r="AY179" s="927"/>
      <c r="AZ179" s="927"/>
      <c r="BA179" s="927"/>
      <c r="BB179" s="927"/>
      <c r="BC179" s="927"/>
      <c r="BD179" s="927"/>
      <c r="BE179" s="927"/>
      <c r="BF179" s="927"/>
      <c r="BG179" s="927"/>
      <c r="BH179" s="927"/>
      <c r="BI179" s="927"/>
      <c r="BJ179" s="927"/>
      <c r="BK179" s="927"/>
      <c r="BL179" s="927"/>
      <c r="BM179" s="927"/>
      <c r="BN179" s="927"/>
      <c r="BO179" s="927"/>
      <c r="BP179" s="927"/>
      <c r="BQ179" s="927"/>
      <c r="BR179" s="927"/>
      <c r="BS179" s="927"/>
      <c r="BT179" s="927"/>
    </row>
    <row r="180" spans="1:72" x14ac:dyDescent="0.25">
      <c r="A180" s="927" t="s">
        <v>624</v>
      </c>
      <c r="B180" s="927">
        <v>1.76</v>
      </c>
      <c r="C180" s="927">
        <v>2.0499999999999998</v>
      </c>
      <c r="D180" s="927">
        <v>2.1800000000000002</v>
      </c>
      <c r="E180" s="927">
        <v>2.0499999999999998</v>
      </c>
      <c r="F180" s="927">
        <v>2.0699999999999998</v>
      </c>
      <c r="G180" s="927">
        <v>2.1</v>
      </c>
      <c r="H180" s="927">
        <v>2.15</v>
      </c>
      <c r="I180" s="927">
        <v>2.19</v>
      </c>
      <c r="J180" s="927">
        <v>2.2400000000000002</v>
      </c>
      <c r="K180" s="927">
        <v>2.2599999999999998</v>
      </c>
      <c r="L180" s="927">
        <v>2.31</v>
      </c>
      <c r="M180" s="927">
        <v>2.34</v>
      </c>
      <c r="N180" s="927">
        <v>2.38</v>
      </c>
      <c r="O180" s="927">
        <v>2.42</v>
      </c>
      <c r="P180" s="927">
        <v>2.4700000000000002</v>
      </c>
      <c r="Q180" s="927">
        <v>2.54</v>
      </c>
      <c r="R180" s="927">
        <v>2.59</v>
      </c>
      <c r="S180" s="927">
        <v>2.65</v>
      </c>
      <c r="T180" s="927">
        <v>2.69</v>
      </c>
      <c r="U180" s="927">
        <v>2.77</v>
      </c>
      <c r="V180" s="927">
        <v>2.82</v>
      </c>
      <c r="W180" s="927">
        <v>2.9</v>
      </c>
      <c r="X180" s="927">
        <v>2.98</v>
      </c>
      <c r="Y180" s="927">
        <v>3.06</v>
      </c>
      <c r="Z180" s="927">
        <v>3.15</v>
      </c>
      <c r="AA180" s="927">
        <v>3.23</v>
      </c>
      <c r="AB180" s="927">
        <v>3.32</v>
      </c>
      <c r="AC180" s="927">
        <v>3.41</v>
      </c>
      <c r="AD180" s="927">
        <v>3.51</v>
      </c>
      <c r="AE180" s="966">
        <v>0.02</v>
      </c>
      <c r="AF180" s="927"/>
      <c r="AG180" s="927"/>
      <c r="AH180" s="927"/>
      <c r="AI180" s="927"/>
      <c r="AJ180" s="927"/>
      <c r="AK180" s="927"/>
      <c r="AL180" s="927"/>
      <c r="AM180" s="927"/>
      <c r="AN180" s="927"/>
      <c r="AO180" s="927"/>
      <c r="AP180" s="927"/>
      <c r="AQ180" s="927"/>
      <c r="AR180" s="927"/>
      <c r="AS180" s="927"/>
      <c r="AT180" s="927"/>
      <c r="AU180" s="927"/>
      <c r="AV180" s="927"/>
      <c r="AW180" s="927"/>
      <c r="AX180" s="927"/>
      <c r="AY180" s="927"/>
      <c r="AZ180" s="927"/>
      <c r="BA180" s="927"/>
      <c r="BB180" s="927"/>
      <c r="BC180" s="927"/>
      <c r="BD180" s="927"/>
      <c r="BE180" s="927"/>
      <c r="BF180" s="927"/>
      <c r="BG180" s="927"/>
      <c r="BH180" s="927"/>
      <c r="BI180" s="927"/>
      <c r="BJ180" s="927"/>
      <c r="BK180" s="927"/>
      <c r="BL180" s="927"/>
      <c r="BM180" s="927"/>
      <c r="BN180" s="927"/>
      <c r="BO180" s="927"/>
      <c r="BP180" s="927"/>
      <c r="BQ180" s="927"/>
      <c r="BR180" s="927"/>
      <c r="BS180" s="927"/>
      <c r="BT180" s="927"/>
    </row>
    <row r="181" spans="1:72" x14ac:dyDescent="0.25">
      <c r="A181" s="927"/>
      <c r="B181" s="927"/>
      <c r="C181" s="927"/>
      <c r="D181" s="927"/>
      <c r="E181" s="927"/>
      <c r="F181" s="927"/>
      <c r="G181" s="927"/>
      <c r="H181" s="927"/>
      <c r="I181" s="927"/>
      <c r="J181" s="927"/>
      <c r="K181" s="927"/>
      <c r="L181" s="927"/>
      <c r="M181" s="927"/>
      <c r="N181" s="927"/>
      <c r="O181" s="927"/>
      <c r="P181" s="927"/>
      <c r="Q181" s="927"/>
      <c r="R181" s="927"/>
      <c r="S181" s="927"/>
      <c r="T181" s="927"/>
      <c r="U181" s="927"/>
      <c r="V181" s="927"/>
      <c r="W181" s="927"/>
      <c r="X181" s="927"/>
      <c r="Y181" s="927"/>
      <c r="Z181" s="927"/>
      <c r="AA181" s="927"/>
      <c r="AB181" s="927"/>
      <c r="AC181" s="927"/>
      <c r="AD181" s="927"/>
      <c r="AE181" s="927"/>
      <c r="AF181" s="927"/>
      <c r="AG181" s="927"/>
      <c r="AH181" s="927"/>
      <c r="AI181" s="927"/>
      <c r="AJ181" s="927"/>
      <c r="AK181" s="927"/>
      <c r="AL181" s="927"/>
      <c r="AM181" s="927"/>
      <c r="AN181" s="927"/>
      <c r="AO181" s="927"/>
      <c r="AP181" s="927"/>
      <c r="AQ181" s="927"/>
      <c r="AR181" s="927"/>
      <c r="AS181" s="927"/>
      <c r="AT181" s="927"/>
      <c r="AU181" s="927"/>
      <c r="AV181" s="927"/>
      <c r="AW181" s="927"/>
      <c r="AX181" s="927"/>
      <c r="AY181" s="927"/>
      <c r="AZ181" s="927"/>
      <c r="BA181" s="927"/>
      <c r="BB181" s="927"/>
      <c r="BC181" s="927"/>
      <c r="BD181" s="927"/>
      <c r="BE181" s="927"/>
      <c r="BF181" s="927"/>
      <c r="BG181" s="927"/>
      <c r="BH181" s="927"/>
      <c r="BI181" s="927"/>
      <c r="BJ181" s="927"/>
      <c r="BK181" s="927"/>
      <c r="BL181" s="927"/>
      <c r="BM181" s="927"/>
      <c r="BN181" s="927"/>
      <c r="BO181" s="927"/>
      <c r="BP181" s="927"/>
      <c r="BQ181" s="927"/>
      <c r="BR181" s="927"/>
      <c r="BS181" s="927"/>
      <c r="BT181" s="927"/>
    </row>
    <row r="182" spans="1:72" x14ac:dyDescent="0.25">
      <c r="A182" s="927" t="s">
        <v>625</v>
      </c>
      <c r="B182" s="927"/>
      <c r="C182" s="927"/>
      <c r="D182" s="927"/>
      <c r="E182" s="927"/>
      <c r="F182" s="927"/>
      <c r="G182" s="927"/>
      <c r="H182" s="927"/>
      <c r="I182" s="927"/>
      <c r="J182" s="927"/>
      <c r="K182" s="927"/>
      <c r="L182" s="927"/>
      <c r="M182" s="927"/>
      <c r="N182" s="927"/>
      <c r="O182" s="927"/>
      <c r="P182" s="927"/>
      <c r="Q182" s="927"/>
      <c r="R182" s="927"/>
      <c r="S182" s="927"/>
      <c r="T182" s="927"/>
      <c r="U182" s="927"/>
      <c r="V182" s="927"/>
      <c r="W182" s="927"/>
      <c r="X182" s="927"/>
      <c r="Y182" s="927"/>
      <c r="Z182" s="927"/>
      <c r="AA182" s="927"/>
      <c r="AB182" s="927"/>
      <c r="AC182" s="927"/>
      <c r="AD182" s="927"/>
      <c r="AE182" s="927"/>
      <c r="AF182" s="927"/>
      <c r="AG182" s="927"/>
      <c r="AH182" s="927"/>
      <c r="AI182" s="927"/>
      <c r="AJ182" s="927"/>
      <c r="AK182" s="927"/>
      <c r="AL182" s="927"/>
      <c r="AM182" s="927"/>
      <c r="AN182" s="927"/>
      <c r="AO182" s="927"/>
      <c r="AP182" s="927"/>
      <c r="AQ182" s="927"/>
      <c r="AR182" s="927"/>
      <c r="AS182" s="927"/>
      <c r="AT182" s="927"/>
      <c r="AU182" s="927"/>
      <c r="AV182" s="927"/>
      <c r="AW182" s="927"/>
      <c r="AX182" s="927"/>
      <c r="AY182" s="927"/>
      <c r="AZ182" s="927"/>
      <c r="BA182" s="927"/>
      <c r="BB182" s="927"/>
      <c r="BC182" s="927"/>
      <c r="BD182" s="927"/>
      <c r="BE182" s="927"/>
      <c r="BF182" s="927"/>
      <c r="BG182" s="927"/>
      <c r="BH182" s="927"/>
      <c r="BI182" s="927"/>
      <c r="BJ182" s="927"/>
      <c r="BK182" s="927"/>
      <c r="BL182" s="927"/>
      <c r="BM182" s="927"/>
      <c r="BN182" s="927"/>
      <c r="BO182" s="927"/>
      <c r="BP182" s="927"/>
      <c r="BQ182" s="927"/>
      <c r="BR182" s="927"/>
      <c r="BS182" s="927"/>
      <c r="BT182" s="927"/>
    </row>
    <row r="183" spans="1:72" x14ac:dyDescent="0.25">
      <c r="A183" s="927" t="s">
        <v>609</v>
      </c>
      <c r="B183" s="927">
        <v>18.53</v>
      </c>
      <c r="C183" s="927">
        <v>20.190000000000001</v>
      </c>
      <c r="D183" s="927">
        <v>18.64</v>
      </c>
      <c r="E183" s="927">
        <v>17.36</v>
      </c>
      <c r="F183" s="927">
        <v>17.61</v>
      </c>
      <c r="G183" s="927">
        <v>18.920000000000002</v>
      </c>
      <c r="H183" s="927">
        <v>20.43</v>
      </c>
      <c r="I183" s="927">
        <v>21.72</v>
      </c>
      <c r="J183" s="927">
        <v>22.62</v>
      </c>
      <c r="K183" s="927">
        <v>23.64</v>
      </c>
      <c r="L183" s="927">
        <v>24.56</v>
      </c>
      <c r="M183" s="927">
        <v>25.55</v>
      </c>
      <c r="N183" s="927">
        <v>26.28</v>
      </c>
      <c r="O183" s="927">
        <v>27.06</v>
      </c>
      <c r="P183" s="927">
        <v>27.91</v>
      </c>
      <c r="Q183" s="927">
        <v>28.78</v>
      </c>
      <c r="R183" s="927">
        <v>29.75</v>
      </c>
      <c r="S183" s="927">
        <v>30.7</v>
      </c>
      <c r="T183" s="927">
        <v>31.68</v>
      </c>
      <c r="U183" s="927">
        <v>32.54</v>
      </c>
      <c r="V183" s="927">
        <v>33.6</v>
      </c>
      <c r="W183" s="927">
        <v>34.69</v>
      </c>
      <c r="X183" s="927">
        <v>35.950000000000003</v>
      </c>
      <c r="Y183" s="927">
        <v>37.049999999999997</v>
      </c>
      <c r="Z183" s="927">
        <v>38.44</v>
      </c>
      <c r="AA183" s="927">
        <v>39.83</v>
      </c>
      <c r="AB183" s="927">
        <v>41.29</v>
      </c>
      <c r="AC183" s="927">
        <v>42.77</v>
      </c>
      <c r="AD183" s="927">
        <v>44.32</v>
      </c>
      <c r="AE183" s="966">
        <v>0.03</v>
      </c>
      <c r="AF183" s="927"/>
      <c r="AG183" s="927"/>
      <c r="AH183" s="927"/>
      <c r="AI183" s="927"/>
      <c r="AJ183" s="927"/>
      <c r="AK183" s="927"/>
      <c r="AL183" s="927"/>
      <c r="AM183" s="927"/>
      <c r="AN183" s="927"/>
      <c r="AO183" s="927"/>
      <c r="AP183" s="927"/>
      <c r="AQ183" s="927"/>
      <c r="AR183" s="927"/>
      <c r="AS183" s="927"/>
      <c r="AT183" s="927"/>
      <c r="AU183" s="927"/>
      <c r="AV183" s="927"/>
      <c r="AW183" s="927"/>
      <c r="AX183" s="927"/>
      <c r="AY183" s="927"/>
      <c r="AZ183" s="927"/>
      <c r="BA183" s="927"/>
      <c r="BB183" s="927"/>
      <c r="BC183" s="927"/>
      <c r="BD183" s="927"/>
      <c r="BE183" s="927"/>
      <c r="BF183" s="927"/>
      <c r="BG183" s="927"/>
      <c r="BH183" s="927"/>
      <c r="BI183" s="927"/>
      <c r="BJ183" s="927"/>
      <c r="BK183" s="927"/>
      <c r="BL183" s="927"/>
      <c r="BM183" s="927"/>
      <c r="BN183" s="927"/>
      <c r="BO183" s="927"/>
      <c r="BP183" s="927"/>
      <c r="BQ183" s="927"/>
      <c r="BR183" s="927"/>
      <c r="BS183" s="927"/>
      <c r="BT183" s="927"/>
    </row>
    <row r="184" spans="1:72" x14ac:dyDescent="0.25">
      <c r="A184" s="927" t="s">
        <v>618</v>
      </c>
      <c r="B184" s="927">
        <v>26.83</v>
      </c>
      <c r="C184" s="927">
        <v>26.93</v>
      </c>
      <c r="D184" s="927">
        <v>23.64</v>
      </c>
      <c r="E184" s="927">
        <v>21.26</v>
      </c>
      <c r="F184" s="927">
        <v>21.89</v>
      </c>
      <c r="G184" s="927">
        <v>23.43</v>
      </c>
      <c r="H184" s="927">
        <v>26.07</v>
      </c>
      <c r="I184" s="927">
        <v>27.64</v>
      </c>
      <c r="J184" s="927">
        <v>28.47</v>
      </c>
      <c r="K184" s="927">
        <v>28.45</v>
      </c>
      <c r="L184" s="927">
        <v>29.92</v>
      </c>
      <c r="M184" s="927">
        <v>31.23</v>
      </c>
      <c r="N184" s="927">
        <v>31.97</v>
      </c>
      <c r="O184" s="927">
        <v>32.94</v>
      </c>
      <c r="P184" s="927">
        <v>34.090000000000003</v>
      </c>
      <c r="Q184" s="927">
        <v>35.479999999999997</v>
      </c>
      <c r="R184" s="927">
        <v>36.880000000000003</v>
      </c>
      <c r="S184" s="927">
        <v>37.979999999999997</v>
      </c>
      <c r="T184" s="927">
        <v>39.17</v>
      </c>
      <c r="U184" s="927">
        <v>40.479999999999997</v>
      </c>
      <c r="V184" s="927">
        <v>41.72</v>
      </c>
      <c r="W184" s="927">
        <v>43.4</v>
      </c>
      <c r="X184" s="927">
        <v>44.96</v>
      </c>
      <c r="Y184" s="927">
        <v>46.25</v>
      </c>
      <c r="Z184" s="927">
        <v>47.62</v>
      </c>
      <c r="AA184" s="927">
        <v>49.36</v>
      </c>
      <c r="AB184" s="927">
        <v>50.75</v>
      </c>
      <c r="AC184" s="927">
        <v>52.29</v>
      </c>
      <c r="AD184" s="927">
        <v>54.17</v>
      </c>
      <c r="AE184" s="966">
        <v>2.5999999999999999E-2</v>
      </c>
      <c r="AF184" s="927"/>
      <c r="AG184" s="927"/>
      <c r="AH184" s="927"/>
      <c r="AI184" s="927"/>
      <c r="AJ184" s="927"/>
      <c r="AK184" s="927"/>
      <c r="AL184" s="927"/>
      <c r="AM184" s="927"/>
      <c r="AN184" s="927"/>
      <c r="AO184" s="927"/>
      <c r="AP184" s="927"/>
      <c r="AQ184" s="927"/>
      <c r="AR184" s="927"/>
      <c r="AS184" s="927"/>
      <c r="AT184" s="927"/>
      <c r="AU184" s="927"/>
      <c r="AV184" s="927"/>
      <c r="AW184" s="927"/>
      <c r="AX184" s="927"/>
      <c r="AY184" s="927"/>
      <c r="AZ184" s="927"/>
      <c r="BA184" s="927"/>
      <c r="BB184" s="927"/>
      <c r="BC184" s="927"/>
      <c r="BD184" s="927"/>
      <c r="BE184" s="927"/>
      <c r="BF184" s="927"/>
      <c r="BG184" s="927"/>
      <c r="BH184" s="927"/>
      <c r="BI184" s="927"/>
      <c r="BJ184" s="927"/>
      <c r="BK184" s="927"/>
      <c r="BL184" s="927"/>
      <c r="BM184" s="927"/>
      <c r="BN184" s="927"/>
      <c r="BO184" s="927"/>
      <c r="BP184" s="927"/>
      <c r="BQ184" s="927"/>
      <c r="BR184" s="927"/>
      <c r="BS184" s="927"/>
      <c r="BT184" s="927"/>
    </row>
    <row r="185" spans="1:72" x14ac:dyDescent="0.25">
      <c r="A185" s="927" t="s">
        <v>619</v>
      </c>
      <c r="B185" s="927">
        <v>23.03</v>
      </c>
      <c r="C185" s="927">
        <v>26.54</v>
      </c>
      <c r="D185" s="927">
        <v>19.440000000000001</v>
      </c>
      <c r="E185" s="927">
        <v>21.17</v>
      </c>
      <c r="F185" s="927">
        <v>21.79</v>
      </c>
      <c r="G185" s="927">
        <v>23.32</v>
      </c>
      <c r="H185" s="927">
        <v>25.87</v>
      </c>
      <c r="I185" s="927">
        <v>27.33</v>
      </c>
      <c r="J185" s="927">
        <v>28.27</v>
      </c>
      <c r="K185" s="927">
        <v>29.42</v>
      </c>
      <c r="L185" s="927">
        <v>30.58</v>
      </c>
      <c r="M185" s="927">
        <v>31.64</v>
      </c>
      <c r="N185" s="927">
        <v>32.6</v>
      </c>
      <c r="O185" s="927">
        <v>33.71</v>
      </c>
      <c r="P185" s="927">
        <v>34.71</v>
      </c>
      <c r="Q185" s="927">
        <v>35.93</v>
      </c>
      <c r="R185" s="927">
        <v>37.020000000000003</v>
      </c>
      <c r="S185" s="927">
        <v>37.950000000000003</v>
      </c>
      <c r="T185" s="927">
        <v>39.17</v>
      </c>
      <c r="U185" s="927">
        <v>40.43</v>
      </c>
      <c r="V185" s="927">
        <v>41.68</v>
      </c>
      <c r="W185" s="927">
        <v>43.21</v>
      </c>
      <c r="X185" s="927">
        <v>44.69</v>
      </c>
      <c r="Y185" s="927">
        <v>45.9</v>
      </c>
      <c r="Z185" s="927">
        <v>47.46</v>
      </c>
      <c r="AA185" s="927">
        <v>49.15</v>
      </c>
      <c r="AB185" s="927">
        <v>50.65</v>
      </c>
      <c r="AC185" s="927">
        <v>52.35</v>
      </c>
      <c r="AD185" s="927">
        <v>54.32</v>
      </c>
      <c r="AE185" s="966">
        <v>2.7E-2</v>
      </c>
      <c r="AF185" s="927"/>
      <c r="AG185" s="927"/>
      <c r="AH185" s="927"/>
      <c r="AI185" s="927"/>
      <c r="AJ185" s="927"/>
      <c r="AK185" s="927"/>
      <c r="AL185" s="927"/>
      <c r="AM185" s="927"/>
      <c r="AN185" s="927"/>
      <c r="AO185" s="927"/>
      <c r="AP185" s="927"/>
      <c r="AQ185" s="927"/>
      <c r="AR185" s="927"/>
      <c r="AS185" s="927"/>
      <c r="AT185" s="927"/>
      <c r="AU185" s="927"/>
      <c r="AV185" s="927"/>
      <c r="AW185" s="927"/>
      <c r="AX185" s="927"/>
      <c r="AY185" s="927"/>
      <c r="AZ185" s="927"/>
      <c r="BA185" s="927"/>
      <c r="BB185" s="927"/>
      <c r="BC185" s="927"/>
      <c r="BD185" s="927"/>
      <c r="BE185" s="927"/>
      <c r="BF185" s="927"/>
      <c r="BG185" s="927"/>
      <c r="BH185" s="927"/>
      <c r="BI185" s="927"/>
      <c r="BJ185" s="927"/>
      <c r="BK185" s="927"/>
      <c r="BL185" s="927"/>
      <c r="BM185" s="927"/>
      <c r="BN185" s="927"/>
      <c r="BO185" s="927"/>
      <c r="BP185" s="927"/>
      <c r="BQ185" s="927"/>
      <c r="BR185" s="927"/>
      <c r="BS185" s="927"/>
      <c r="BT185" s="927"/>
    </row>
    <row r="186" spans="1:72" x14ac:dyDescent="0.25">
      <c r="A186" s="927" t="s">
        <v>626</v>
      </c>
      <c r="B186" s="927">
        <v>15.42</v>
      </c>
      <c r="C186" s="927">
        <v>22.71</v>
      </c>
      <c r="D186" s="927">
        <v>12.92</v>
      </c>
      <c r="E186" s="927">
        <v>15.23</v>
      </c>
      <c r="F186" s="927">
        <v>15.82</v>
      </c>
      <c r="G186" s="927">
        <v>17.510000000000002</v>
      </c>
      <c r="H186" s="927">
        <v>19.05</v>
      </c>
      <c r="I186" s="927">
        <v>20.23</v>
      </c>
      <c r="J186" s="927">
        <v>21.21</v>
      </c>
      <c r="K186" s="927">
        <v>22.42</v>
      </c>
      <c r="L186" s="927">
        <v>23.58</v>
      </c>
      <c r="M186" s="927">
        <v>24.67</v>
      </c>
      <c r="N186" s="927">
        <v>25.58</v>
      </c>
      <c r="O186" s="927">
        <v>26.51</v>
      </c>
      <c r="P186" s="927">
        <v>27.27</v>
      </c>
      <c r="Q186" s="927">
        <v>28.18</v>
      </c>
      <c r="R186" s="927">
        <v>29.2</v>
      </c>
      <c r="S186" s="927">
        <v>30.07</v>
      </c>
      <c r="T186" s="927">
        <v>31.1</v>
      </c>
      <c r="U186" s="927">
        <v>32.130000000000003</v>
      </c>
      <c r="V186" s="927">
        <v>33.21</v>
      </c>
      <c r="W186" s="927">
        <v>34.54</v>
      </c>
      <c r="X186" s="927">
        <v>35.83</v>
      </c>
      <c r="Y186" s="927">
        <v>36.99</v>
      </c>
      <c r="Z186" s="927">
        <v>38.42</v>
      </c>
      <c r="AA186" s="927">
        <v>39.92</v>
      </c>
      <c r="AB186" s="927">
        <v>41.32</v>
      </c>
      <c r="AC186" s="927">
        <v>42.87</v>
      </c>
      <c r="AD186" s="927">
        <v>44.51</v>
      </c>
      <c r="AE186" s="966">
        <v>2.5000000000000001E-2</v>
      </c>
      <c r="AF186" s="927"/>
      <c r="AG186" s="927"/>
      <c r="AH186" s="927"/>
      <c r="AI186" s="927"/>
      <c r="AJ186" s="927"/>
      <c r="AK186" s="927"/>
      <c r="AL186" s="927"/>
      <c r="AM186" s="927"/>
      <c r="AN186" s="927"/>
      <c r="AO186" s="927"/>
      <c r="AP186" s="927"/>
      <c r="AQ186" s="927"/>
      <c r="AR186" s="927"/>
      <c r="AS186" s="927"/>
      <c r="AT186" s="927"/>
      <c r="AU186" s="927"/>
      <c r="AV186" s="927"/>
      <c r="AW186" s="927"/>
      <c r="AX186" s="927"/>
      <c r="AY186" s="927"/>
      <c r="AZ186" s="927"/>
      <c r="BA186" s="927"/>
      <c r="BB186" s="927"/>
      <c r="BC186" s="927"/>
      <c r="BD186" s="927"/>
      <c r="BE186" s="927"/>
      <c r="BF186" s="927"/>
      <c r="BG186" s="927"/>
      <c r="BH186" s="927"/>
      <c r="BI186" s="927"/>
      <c r="BJ186" s="927"/>
      <c r="BK186" s="927"/>
      <c r="BL186" s="927"/>
      <c r="BM186" s="927"/>
      <c r="BN186" s="927"/>
      <c r="BO186" s="927"/>
      <c r="BP186" s="927"/>
      <c r="BQ186" s="927"/>
      <c r="BR186" s="927"/>
      <c r="BS186" s="927"/>
      <c r="BT186" s="927"/>
    </row>
    <row r="187" spans="1:72" x14ac:dyDescent="0.25">
      <c r="A187" s="927" t="s">
        <v>610</v>
      </c>
      <c r="B187" s="927">
        <v>20.260000000000002</v>
      </c>
      <c r="C187" s="927">
        <v>26.27</v>
      </c>
      <c r="D187" s="927">
        <v>17.73</v>
      </c>
      <c r="E187" s="927">
        <v>18.260000000000002</v>
      </c>
      <c r="F187" s="927">
        <v>18.940000000000001</v>
      </c>
      <c r="G187" s="927">
        <v>20.58</v>
      </c>
      <c r="H187" s="927">
        <v>22.21</v>
      </c>
      <c r="I187" s="927">
        <v>23.39</v>
      </c>
      <c r="J187" s="927">
        <v>24.55</v>
      </c>
      <c r="K187" s="927">
        <v>25.86</v>
      </c>
      <c r="L187" s="927">
        <v>27.09</v>
      </c>
      <c r="M187" s="927">
        <v>28.33</v>
      </c>
      <c r="N187" s="927">
        <v>29.33</v>
      </c>
      <c r="O187" s="927">
        <v>30.3</v>
      </c>
      <c r="P187" s="927">
        <v>31.19</v>
      </c>
      <c r="Q187" s="927">
        <v>32.29</v>
      </c>
      <c r="R187" s="927">
        <v>33.22</v>
      </c>
      <c r="S187" s="927">
        <v>34.04</v>
      </c>
      <c r="T187" s="927">
        <v>35.14</v>
      </c>
      <c r="U187" s="927">
        <v>36.19</v>
      </c>
      <c r="V187" s="927">
        <v>37.31</v>
      </c>
      <c r="W187" s="927">
        <v>38.6</v>
      </c>
      <c r="X187" s="927">
        <v>40.04</v>
      </c>
      <c r="Y187" s="927">
        <v>41.2</v>
      </c>
      <c r="Z187" s="927">
        <v>42.78</v>
      </c>
      <c r="AA187" s="927">
        <v>44.38</v>
      </c>
      <c r="AB187" s="927">
        <v>45.87</v>
      </c>
      <c r="AC187" s="927">
        <v>47.52</v>
      </c>
      <c r="AD187" s="927">
        <v>49.31</v>
      </c>
      <c r="AE187" s="966">
        <v>2.4E-2</v>
      </c>
      <c r="AF187" s="927"/>
      <c r="AG187" s="927"/>
      <c r="AH187" s="927"/>
      <c r="AI187" s="927"/>
      <c r="AJ187" s="927"/>
      <c r="AK187" s="927"/>
      <c r="AL187" s="927"/>
      <c r="AM187" s="927"/>
      <c r="AN187" s="927"/>
      <c r="AO187" s="927"/>
      <c r="AP187" s="927"/>
      <c r="AQ187" s="927"/>
      <c r="AR187" s="927"/>
      <c r="AS187" s="927"/>
      <c r="AT187" s="927"/>
      <c r="AU187" s="927"/>
      <c r="AV187" s="927"/>
      <c r="AW187" s="927"/>
      <c r="AX187" s="927"/>
      <c r="AY187" s="927"/>
      <c r="AZ187" s="927"/>
      <c r="BA187" s="927"/>
      <c r="BB187" s="927"/>
      <c r="BC187" s="927"/>
      <c r="BD187" s="927"/>
      <c r="BE187" s="927"/>
      <c r="BF187" s="927"/>
      <c r="BG187" s="927"/>
      <c r="BH187" s="927"/>
      <c r="BI187" s="927"/>
      <c r="BJ187" s="927"/>
      <c r="BK187" s="927"/>
      <c r="BL187" s="927"/>
      <c r="BM187" s="927"/>
      <c r="BN187" s="927"/>
      <c r="BO187" s="927"/>
      <c r="BP187" s="927"/>
      <c r="BQ187" s="927"/>
      <c r="BR187" s="927"/>
      <c r="BS187" s="927"/>
      <c r="BT187" s="927"/>
    </row>
    <row r="188" spans="1:72" x14ac:dyDescent="0.25">
      <c r="A188" s="927" t="s">
        <v>611</v>
      </c>
      <c r="B188" s="927">
        <v>8.8699999999999992</v>
      </c>
      <c r="C188" s="927">
        <v>14.77</v>
      </c>
      <c r="D188" s="927">
        <v>9.1</v>
      </c>
      <c r="E188" s="927">
        <v>11.22</v>
      </c>
      <c r="F188" s="927">
        <v>11.49</v>
      </c>
      <c r="G188" s="927">
        <v>12.89</v>
      </c>
      <c r="H188" s="927">
        <v>14.14</v>
      </c>
      <c r="I188" s="927">
        <v>15.19</v>
      </c>
      <c r="J188" s="927">
        <v>15.89</v>
      </c>
      <c r="K188" s="927">
        <v>16.600000000000001</v>
      </c>
      <c r="L188" s="927">
        <v>17.5</v>
      </c>
      <c r="M188" s="927">
        <v>18.3</v>
      </c>
      <c r="N188" s="927">
        <v>18.89</v>
      </c>
      <c r="O188" s="927">
        <v>19.329999999999998</v>
      </c>
      <c r="P188" s="927">
        <v>20.03</v>
      </c>
      <c r="Q188" s="927">
        <v>20.64</v>
      </c>
      <c r="R188" s="927">
        <v>21.36</v>
      </c>
      <c r="S188" s="927">
        <v>22.08</v>
      </c>
      <c r="T188" s="927">
        <v>22.8</v>
      </c>
      <c r="U188" s="927">
        <v>23.35</v>
      </c>
      <c r="V188" s="927">
        <v>24.24</v>
      </c>
      <c r="W188" s="927">
        <v>25.11</v>
      </c>
      <c r="X188" s="927">
        <v>26.08</v>
      </c>
      <c r="Y188" s="927">
        <v>27.11</v>
      </c>
      <c r="Z188" s="927">
        <v>28.23</v>
      </c>
      <c r="AA188" s="927">
        <v>29.29</v>
      </c>
      <c r="AB188" s="927">
        <v>30.29</v>
      </c>
      <c r="AC188" s="927">
        <v>31.46</v>
      </c>
      <c r="AD188" s="927">
        <v>32.700000000000003</v>
      </c>
      <c r="AE188" s="966">
        <v>0.03</v>
      </c>
      <c r="AF188" s="927"/>
      <c r="AG188" s="927"/>
      <c r="AH188" s="927"/>
      <c r="AI188" s="927"/>
      <c r="AJ188" s="927"/>
      <c r="AK188" s="927"/>
      <c r="AL188" s="927"/>
      <c r="AM188" s="927"/>
      <c r="AN188" s="927"/>
      <c r="AO188" s="927"/>
      <c r="AP188" s="927"/>
      <c r="AQ188" s="927"/>
      <c r="AR188" s="927"/>
      <c r="AS188" s="927"/>
      <c r="AT188" s="927"/>
      <c r="AU188" s="927"/>
      <c r="AV188" s="927"/>
      <c r="AW188" s="927"/>
      <c r="AX188" s="927"/>
      <c r="AY188" s="927"/>
      <c r="AZ188" s="927"/>
      <c r="BA188" s="927"/>
      <c r="BB188" s="927"/>
      <c r="BC188" s="927"/>
      <c r="BD188" s="927"/>
      <c r="BE188" s="927"/>
      <c r="BF188" s="927"/>
      <c r="BG188" s="927"/>
      <c r="BH188" s="927"/>
      <c r="BI188" s="927"/>
      <c r="BJ188" s="927"/>
      <c r="BK188" s="927"/>
      <c r="BL188" s="927"/>
      <c r="BM188" s="927"/>
      <c r="BN188" s="927"/>
      <c r="BO188" s="927"/>
      <c r="BP188" s="927"/>
      <c r="BQ188" s="927"/>
      <c r="BR188" s="927"/>
      <c r="BS188" s="927"/>
      <c r="BT188" s="927"/>
    </row>
    <row r="189" spans="1:72" x14ac:dyDescent="0.25">
      <c r="A189" s="927" t="s">
        <v>510</v>
      </c>
      <c r="B189" s="927">
        <v>8.99</v>
      </c>
      <c r="C189" s="927">
        <v>10.53</v>
      </c>
      <c r="D189" s="927">
        <v>6.67</v>
      </c>
      <c r="E189" s="927">
        <v>7.08</v>
      </c>
      <c r="F189" s="927">
        <v>8.2100000000000009</v>
      </c>
      <c r="G189" s="927">
        <v>8.68</v>
      </c>
      <c r="H189" s="927">
        <v>8.67</v>
      </c>
      <c r="I189" s="927">
        <v>8.7799999999999994</v>
      </c>
      <c r="J189" s="927">
        <v>9.07</v>
      </c>
      <c r="K189" s="927">
        <v>9.33</v>
      </c>
      <c r="L189" s="927">
        <v>9.5</v>
      </c>
      <c r="M189" s="927">
        <v>9.73</v>
      </c>
      <c r="N189" s="927">
        <v>9.98</v>
      </c>
      <c r="O189" s="927">
        <v>10.32</v>
      </c>
      <c r="P189" s="927">
        <v>10.67</v>
      </c>
      <c r="Q189" s="927">
        <v>11.14</v>
      </c>
      <c r="R189" s="927">
        <v>11.42</v>
      </c>
      <c r="S189" s="927">
        <v>11.55</v>
      </c>
      <c r="T189" s="927">
        <v>11.88</v>
      </c>
      <c r="U189" s="927">
        <v>12.31</v>
      </c>
      <c r="V189" s="927">
        <v>12.79</v>
      </c>
      <c r="W189" s="927">
        <v>13.39</v>
      </c>
      <c r="X189" s="927">
        <v>14.02</v>
      </c>
      <c r="Y189" s="927">
        <v>14.7</v>
      </c>
      <c r="Z189" s="927">
        <v>15.51</v>
      </c>
      <c r="AA189" s="927">
        <v>16.05</v>
      </c>
      <c r="AB189" s="927">
        <v>16.46</v>
      </c>
      <c r="AC189" s="927">
        <v>17.12</v>
      </c>
      <c r="AD189" s="927">
        <v>17.71</v>
      </c>
      <c r="AE189" s="966">
        <v>1.9E-2</v>
      </c>
      <c r="AF189" s="927"/>
      <c r="AG189" s="927"/>
      <c r="AH189" s="927"/>
      <c r="AI189" s="927"/>
      <c r="AJ189" s="927"/>
      <c r="AK189" s="927"/>
      <c r="AL189" s="927"/>
      <c r="AM189" s="927"/>
      <c r="AN189" s="927"/>
      <c r="AO189" s="927"/>
      <c r="AP189" s="927"/>
      <c r="AQ189" s="927"/>
      <c r="AR189" s="927"/>
      <c r="AS189" s="927"/>
      <c r="AT189" s="927"/>
      <c r="AU189" s="927"/>
      <c r="AV189" s="927"/>
      <c r="AW189" s="927"/>
      <c r="AX189" s="927"/>
      <c r="AY189" s="927"/>
      <c r="AZ189" s="927"/>
      <c r="BA189" s="927"/>
      <c r="BB189" s="927"/>
      <c r="BC189" s="927"/>
      <c r="BD189" s="927"/>
      <c r="BE189" s="927"/>
      <c r="BF189" s="927"/>
      <c r="BG189" s="927"/>
      <c r="BH189" s="927"/>
      <c r="BI189" s="927"/>
      <c r="BJ189" s="927"/>
      <c r="BK189" s="927"/>
      <c r="BL189" s="927"/>
      <c r="BM189" s="927"/>
      <c r="BN189" s="927"/>
      <c r="BO189" s="927"/>
      <c r="BP189" s="927"/>
      <c r="BQ189" s="927"/>
      <c r="BR189" s="927"/>
      <c r="BS189" s="927"/>
      <c r="BT189" s="927"/>
    </row>
    <row r="190" spans="1:72" x14ac:dyDescent="0.25">
      <c r="A190" s="927" t="s">
        <v>614</v>
      </c>
      <c r="B190" s="927">
        <v>3.61</v>
      </c>
      <c r="C190" s="927">
        <v>4.49</v>
      </c>
      <c r="D190" s="927">
        <v>4.79</v>
      </c>
      <c r="E190" s="927">
        <v>4.9400000000000004</v>
      </c>
      <c r="F190" s="927">
        <v>5.07</v>
      </c>
      <c r="G190" s="927">
        <v>5.31</v>
      </c>
      <c r="H190" s="927">
        <v>5.44</v>
      </c>
      <c r="I190" s="927">
        <v>5.56</v>
      </c>
      <c r="J190" s="927">
        <v>5.66</v>
      </c>
      <c r="K190" s="927">
        <v>5.77</v>
      </c>
      <c r="L190" s="927">
        <v>5.97</v>
      </c>
      <c r="M190" s="927">
        <v>6.14</v>
      </c>
      <c r="N190" s="927">
        <v>6.34</v>
      </c>
      <c r="O190" s="927">
        <v>6.5</v>
      </c>
      <c r="P190" s="927">
        <v>6.68</v>
      </c>
      <c r="Q190" s="927">
        <v>6.84</v>
      </c>
      <c r="R190" s="927">
        <v>6.98</v>
      </c>
      <c r="S190" s="927">
        <v>7.07</v>
      </c>
      <c r="T190" s="927">
        <v>7.11</v>
      </c>
      <c r="U190" s="927">
        <v>7.15</v>
      </c>
      <c r="V190" s="927">
        <v>7.27</v>
      </c>
      <c r="W190" s="927">
        <v>7.43</v>
      </c>
      <c r="X190" s="927">
        <v>7.55</v>
      </c>
      <c r="Y190" s="927">
        <v>7.72</v>
      </c>
      <c r="Z190" s="927">
        <v>7.86</v>
      </c>
      <c r="AA190" s="927">
        <v>8.02</v>
      </c>
      <c r="AB190" s="927">
        <v>8.18</v>
      </c>
      <c r="AC190" s="927">
        <v>8.33</v>
      </c>
      <c r="AD190" s="927">
        <v>8.5</v>
      </c>
      <c r="AE190" s="966">
        <v>2.4E-2</v>
      </c>
      <c r="AF190" s="927"/>
      <c r="AG190" s="927"/>
      <c r="AH190" s="927"/>
      <c r="AI190" s="927"/>
      <c r="AJ190" s="927"/>
      <c r="AK190" s="927"/>
      <c r="AL190" s="927"/>
      <c r="AM190" s="927"/>
      <c r="AN190" s="927"/>
      <c r="AO190" s="927"/>
      <c r="AP190" s="927"/>
      <c r="AQ190" s="927"/>
      <c r="AR190" s="927"/>
      <c r="AS190" s="927"/>
      <c r="AT190" s="927"/>
      <c r="AU190" s="927"/>
      <c r="AV190" s="927"/>
      <c r="AW190" s="927"/>
      <c r="AX190" s="927"/>
      <c r="AY190" s="927"/>
      <c r="AZ190" s="927"/>
      <c r="BA190" s="927"/>
      <c r="BB190" s="927"/>
      <c r="BC190" s="927"/>
      <c r="BD190" s="927"/>
      <c r="BE190" s="927"/>
      <c r="BF190" s="927"/>
      <c r="BG190" s="927"/>
      <c r="BH190" s="927"/>
      <c r="BI190" s="927"/>
      <c r="BJ190" s="927"/>
      <c r="BK190" s="927"/>
      <c r="BL190" s="927"/>
      <c r="BM190" s="927"/>
      <c r="BN190" s="927"/>
      <c r="BO190" s="927"/>
      <c r="BP190" s="927"/>
      <c r="BQ190" s="927"/>
      <c r="BR190" s="927"/>
      <c r="BS190" s="927"/>
      <c r="BT190" s="927"/>
    </row>
    <row r="191" spans="1:72" x14ac:dyDescent="0.25">
      <c r="A191" s="927" t="s">
        <v>627</v>
      </c>
      <c r="B191" s="927">
        <v>1.8</v>
      </c>
      <c r="C191" s="927">
        <v>2.1</v>
      </c>
      <c r="D191" s="927">
        <v>2.2200000000000002</v>
      </c>
      <c r="E191" s="927">
        <v>2.09</v>
      </c>
      <c r="F191" s="927">
        <v>2.11</v>
      </c>
      <c r="G191" s="927">
        <v>2.14</v>
      </c>
      <c r="H191" s="927">
        <v>2.19</v>
      </c>
      <c r="I191" s="927">
        <v>2.23</v>
      </c>
      <c r="J191" s="927">
        <v>2.2799999999999998</v>
      </c>
      <c r="K191" s="927">
        <v>2.2999999999999998</v>
      </c>
      <c r="L191" s="927">
        <v>2.35</v>
      </c>
      <c r="M191" s="927">
        <v>2.39</v>
      </c>
      <c r="N191" s="927">
        <v>2.4300000000000002</v>
      </c>
      <c r="O191" s="927">
        <v>2.4700000000000002</v>
      </c>
      <c r="P191" s="927">
        <v>2.52</v>
      </c>
      <c r="Q191" s="927">
        <v>2.58</v>
      </c>
      <c r="R191" s="927">
        <v>2.64</v>
      </c>
      <c r="S191" s="927">
        <v>2.69</v>
      </c>
      <c r="T191" s="927">
        <v>2.74</v>
      </c>
      <c r="U191" s="927">
        <v>2.81</v>
      </c>
      <c r="V191" s="927">
        <v>2.87</v>
      </c>
      <c r="W191" s="927">
        <v>2.95</v>
      </c>
      <c r="X191" s="927">
        <v>3.03</v>
      </c>
      <c r="Y191" s="927">
        <v>3.11</v>
      </c>
      <c r="Z191" s="927">
        <v>3.2</v>
      </c>
      <c r="AA191" s="927">
        <v>3.28</v>
      </c>
      <c r="AB191" s="927">
        <v>3.37</v>
      </c>
      <c r="AC191" s="927">
        <v>3.46</v>
      </c>
      <c r="AD191" s="927">
        <v>3.56</v>
      </c>
      <c r="AE191" s="966">
        <v>0.02</v>
      </c>
      <c r="AF191" s="927"/>
      <c r="AG191" s="927"/>
      <c r="AH191" s="927"/>
      <c r="AI191" s="927"/>
      <c r="AJ191" s="927"/>
      <c r="AK191" s="927"/>
      <c r="AL191" s="927"/>
      <c r="AM191" s="927"/>
      <c r="AN191" s="927"/>
      <c r="AO191" s="927"/>
      <c r="AP191" s="927"/>
      <c r="AQ191" s="927"/>
      <c r="AR191" s="927"/>
      <c r="AS191" s="927"/>
      <c r="AT191" s="927"/>
      <c r="AU191" s="927"/>
      <c r="AV191" s="927"/>
      <c r="AW191" s="927"/>
      <c r="AX191" s="927"/>
      <c r="AY191" s="927"/>
      <c r="AZ191" s="927"/>
      <c r="BA191" s="927"/>
      <c r="BB191" s="927"/>
      <c r="BC191" s="927"/>
      <c r="BD191" s="927"/>
      <c r="BE191" s="927"/>
      <c r="BF191" s="927"/>
      <c r="BG191" s="927"/>
      <c r="BH191" s="927"/>
      <c r="BI191" s="927"/>
      <c r="BJ191" s="927"/>
      <c r="BK191" s="927"/>
      <c r="BL191" s="927"/>
      <c r="BM191" s="927"/>
      <c r="BN191" s="927"/>
      <c r="BO191" s="927"/>
      <c r="BP191" s="927"/>
      <c r="BQ191" s="927"/>
      <c r="BR191" s="927"/>
      <c r="BS191" s="927"/>
      <c r="BT191" s="927"/>
    </row>
    <row r="192" spans="1:72" x14ac:dyDescent="0.25">
      <c r="A192" s="927" t="s">
        <v>616</v>
      </c>
      <c r="B192" s="927" t="s">
        <v>788</v>
      </c>
      <c r="C192" s="927" t="s">
        <v>788</v>
      </c>
      <c r="D192" s="927" t="s">
        <v>788</v>
      </c>
      <c r="E192" s="927" t="s">
        <v>788</v>
      </c>
      <c r="F192" s="927">
        <v>1.32</v>
      </c>
      <c r="G192" s="927">
        <v>1.1000000000000001</v>
      </c>
      <c r="H192" s="927">
        <v>1.1200000000000001</v>
      </c>
      <c r="I192" s="927">
        <v>1.55</v>
      </c>
      <c r="J192" s="927">
        <v>1.58</v>
      </c>
      <c r="K192" s="927">
        <v>1.65</v>
      </c>
      <c r="L192" s="927">
        <v>1.72</v>
      </c>
      <c r="M192" s="927">
        <v>1.74</v>
      </c>
      <c r="N192" s="927">
        <v>1.76</v>
      </c>
      <c r="O192" s="927">
        <v>1.79</v>
      </c>
      <c r="P192" s="927">
        <v>1.86</v>
      </c>
      <c r="Q192" s="927">
        <v>1.91</v>
      </c>
      <c r="R192" s="927">
        <v>1.98</v>
      </c>
      <c r="S192" s="927">
        <v>1.99</v>
      </c>
      <c r="T192" s="927">
        <v>2.02</v>
      </c>
      <c r="U192" s="927">
        <v>2.04</v>
      </c>
      <c r="V192" s="927">
        <v>2.0699999999999998</v>
      </c>
      <c r="W192" s="927">
        <v>2.1</v>
      </c>
      <c r="X192" s="927">
        <v>2.13</v>
      </c>
      <c r="Y192" s="927">
        <v>2.1800000000000002</v>
      </c>
      <c r="Z192" s="927">
        <v>2.2200000000000002</v>
      </c>
      <c r="AA192" s="927">
        <v>2.2799999999999998</v>
      </c>
      <c r="AB192" s="927">
        <v>2.35</v>
      </c>
      <c r="AC192" s="927">
        <v>2.44</v>
      </c>
      <c r="AD192" s="927">
        <v>2.5299999999999998</v>
      </c>
      <c r="AE192" s="927" t="s">
        <v>788</v>
      </c>
      <c r="AF192" s="927"/>
      <c r="AG192" s="927"/>
      <c r="AH192" s="927"/>
      <c r="AI192" s="927"/>
      <c r="AJ192" s="927"/>
      <c r="AK192" s="927"/>
      <c r="AL192" s="927"/>
      <c r="AM192" s="927"/>
      <c r="AN192" s="927"/>
      <c r="AO192" s="927"/>
      <c r="AP192" s="927"/>
      <c r="AQ192" s="927"/>
      <c r="AR192" s="927"/>
      <c r="AS192" s="927"/>
      <c r="AT192" s="927"/>
      <c r="AU192" s="927"/>
      <c r="AV192" s="927"/>
      <c r="AW192" s="927"/>
      <c r="AX192" s="927"/>
      <c r="AY192" s="927"/>
      <c r="AZ192" s="927"/>
      <c r="BA192" s="927"/>
      <c r="BB192" s="927"/>
      <c r="BC192" s="927"/>
      <c r="BD192" s="927"/>
      <c r="BE192" s="927"/>
      <c r="BF192" s="927"/>
      <c r="BG192" s="927"/>
      <c r="BH192" s="927"/>
      <c r="BI192" s="927"/>
      <c r="BJ192" s="927"/>
      <c r="BK192" s="927"/>
      <c r="BL192" s="927"/>
      <c r="BM192" s="927"/>
      <c r="BN192" s="927"/>
      <c r="BO192" s="927"/>
      <c r="BP192" s="927"/>
      <c r="BQ192" s="927"/>
      <c r="BR192" s="927"/>
      <c r="BS192" s="927"/>
      <c r="BT192" s="927"/>
    </row>
    <row r="193" spans="1:72" x14ac:dyDescent="0.25">
      <c r="A193" s="927" t="s">
        <v>479</v>
      </c>
      <c r="B193" s="927">
        <v>26.66</v>
      </c>
      <c r="C193" s="927">
        <v>28.81</v>
      </c>
      <c r="D193" s="927">
        <v>28.5</v>
      </c>
      <c r="E193" s="927">
        <v>27.58</v>
      </c>
      <c r="F193" s="927">
        <v>26.29</v>
      </c>
      <c r="G193" s="927">
        <v>27.63</v>
      </c>
      <c r="H193" s="927">
        <v>28.19</v>
      </c>
      <c r="I193" s="927">
        <v>28.46</v>
      </c>
      <c r="J193" s="927">
        <v>28.92</v>
      </c>
      <c r="K193" s="927">
        <v>29.72</v>
      </c>
      <c r="L193" s="927">
        <v>30.45</v>
      </c>
      <c r="M193" s="927">
        <v>31.03</v>
      </c>
      <c r="N193" s="927">
        <v>31.53</v>
      </c>
      <c r="O193" s="927">
        <v>32.4</v>
      </c>
      <c r="P193" s="927">
        <v>33.33</v>
      </c>
      <c r="Q193" s="927">
        <v>34.229999999999997</v>
      </c>
      <c r="R193" s="927">
        <v>35.22</v>
      </c>
      <c r="S193" s="927">
        <v>36.159999999999997</v>
      </c>
      <c r="T193" s="927">
        <v>36.869999999999997</v>
      </c>
      <c r="U193" s="927">
        <v>37.86</v>
      </c>
      <c r="V193" s="927">
        <v>38.94</v>
      </c>
      <c r="W193" s="927">
        <v>40.090000000000003</v>
      </c>
      <c r="X193" s="927">
        <v>41.58</v>
      </c>
      <c r="Y193" s="927">
        <v>43</v>
      </c>
      <c r="Z193" s="927">
        <v>44.53</v>
      </c>
      <c r="AA193" s="927">
        <v>46.07</v>
      </c>
      <c r="AB193" s="927">
        <v>47.34</v>
      </c>
      <c r="AC193" s="927">
        <v>48.78</v>
      </c>
      <c r="AD193" s="927">
        <v>50.19</v>
      </c>
      <c r="AE193" s="966">
        <v>2.1000000000000001E-2</v>
      </c>
      <c r="AF193" s="927"/>
      <c r="AG193" s="927"/>
      <c r="AH193" s="927"/>
      <c r="AI193" s="927"/>
      <c r="AJ193" s="927"/>
      <c r="AK193" s="927"/>
      <c r="AL193" s="927"/>
      <c r="AM193" s="927"/>
      <c r="AN193" s="927"/>
      <c r="AO193" s="927"/>
      <c r="AP193" s="927"/>
      <c r="AQ193" s="927"/>
      <c r="AR193" s="927"/>
      <c r="AS193" s="927"/>
      <c r="AT193" s="927"/>
      <c r="AU193" s="927"/>
      <c r="AV193" s="927"/>
      <c r="AW193" s="927"/>
      <c r="AX193" s="927"/>
      <c r="AY193" s="927"/>
      <c r="AZ193" s="927"/>
      <c r="BA193" s="927"/>
      <c r="BB193" s="927"/>
      <c r="BC193" s="927"/>
      <c r="BD193" s="927"/>
      <c r="BE193" s="927"/>
      <c r="BF193" s="927"/>
      <c r="BG193" s="927"/>
      <c r="BH193" s="927"/>
      <c r="BI193" s="927"/>
      <c r="BJ193" s="927"/>
      <c r="BK193" s="927"/>
      <c r="BL193" s="927"/>
      <c r="BM193" s="927"/>
      <c r="BN193" s="927"/>
      <c r="BO193" s="927"/>
      <c r="BP193" s="927"/>
      <c r="BQ193" s="927"/>
      <c r="BR193" s="927"/>
      <c r="BS193" s="927"/>
      <c r="BT193" s="927"/>
    </row>
    <row r="194" spans="1:72" x14ac:dyDescent="0.25">
      <c r="A194" s="927"/>
      <c r="B194" s="927"/>
      <c r="C194" s="927"/>
      <c r="D194" s="927"/>
      <c r="E194" s="927"/>
      <c r="F194" s="927"/>
      <c r="G194" s="927"/>
      <c r="H194" s="927"/>
      <c r="I194" s="927"/>
      <c r="J194" s="927"/>
      <c r="K194" s="927"/>
      <c r="L194" s="927"/>
      <c r="M194" s="927"/>
      <c r="N194" s="927"/>
      <c r="O194" s="927"/>
      <c r="P194" s="927"/>
      <c r="Q194" s="927"/>
      <c r="R194" s="927"/>
      <c r="S194" s="927"/>
      <c r="T194" s="927"/>
      <c r="U194" s="927"/>
      <c r="V194" s="927"/>
      <c r="W194" s="927"/>
      <c r="X194" s="927"/>
      <c r="Y194" s="927"/>
      <c r="Z194" s="927"/>
      <c r="AA194" s="927"/>
      <c r="AB194" s="927"/>
      <c r="AC194" s="927"/>
      <c r="AD194" s="927"/>
      <c r="AE194" s="927"/>
      <c r="AF194" s="927"/>
      <c r="AG194" s="927"/>
      <c r="AH194" s="927"/>
      <c r="AI194" s="927"/>
      <c r="AJ194" s="927"/>
      <c r="AK194" s="927"/>
      <c r="AL194" s="927"/>
      <c r="AM194" s="927"/>
      <c r="AN194" s="927"/>
      <c r="AO194" s="927"/>
      <c r="AP194" s="927"/>
      <c r="AQ194" s="927"/>
      <c r="AR194" s="927"/>
      <c r="AS194" s="927"/>
      <c r="AT194" s="927"/>
      <c r="AU194" s="927"/>
      <c r="AV194" s="927"/>
      <c r="AW194" s="927"/>
      <c r="AX194" s="927"/>
      <c r="AY194" s="927"/>
      <c r="AZ194" s="927"/>
      <c r="BA194" s="927"/>
      <c r="BB194" s="927"/>
      <c r="BC194" s="927"/>
      <c r="BD194" s="927"/>
      <c r="BE194" s="927"/>
      <c r="BF194" s="927"/>
      <c r="BG194" s="927"/>
      <c r="BH194" s="927"/>
      <c r="BI194" s="927"/>
      <c r="BJ194" s="927"/>
      <c r="BK194" s="927"/>
      <c r="BL194" s="927"/>
      <c r="BM194" s="927"/>
      <c r="BN194" s="927"/>
      <c r="BO194" s="927"/>
      <c r="BP194" s="927"/>
      <c r="BQ194" s="927"/>
      <c r="BR194" s="927"/>
      <c r="BS194" s="927"/>
      <c r="BT194" s="927"/>
    </row>
    <row r="195" spans="1:72" x14ac:dyDescent="0.25">
      <c r="A195" s="927" t="s">
        <v>513</v>
      </c>
      <c r="B195" s="927"/>
      <c r="C195" s="927"/>
      <c r="D195" s="927"/>
      <c r="E195" s="927"/>
      <c r="F195" s="927"/>
      <c r="G195" s="927"/>
      <c r="H195" s="927"/>
      <c r="I195" s="927"/>
      <c r="J195" s="927"/>
      <c r="K195" s="927"/>
      <c r="L195" s="927"/>
      <c r="M195" s="927"/>
      <c r="N195" s="927"/>
      <c r="O195" s="927"/>
      <c r="P195" s="927"/>
      <c r="Q195" s="927"/>
      <c r="R195" s="927"/>
      <c r="S195" s="927"/>
      <c r="T195" s="927"/>
      <c r="U195" s="927"/>
      <c r="V195" s="927"/>
      <c r="W195" s="927"/>
      <c r="X195" s="927"/>
      <c r="Y195" s="927"/>
      <c r="Z195" s="927"/>
      <c r="AA195" s="927"/>
      <c r="AB195" s="927"/>
      <c r="AC195" s="927"/>
      <c r="AD195" s="927"/>
      <c r="AE195" s="927"/>
      <c r="AF195" s="927"/>
      <c r="AG195" s="927"/>
      <c r="AH195" s="927"/>
      <c r="AI195" s="927"/>
      <c r="AJ195" s="927"/>
      <c r="AK195" s="927"/>
      <c r="AL195" s="927"/>
      <c r="AM195" s="927"/>
      <c r="AN195" s="927"/>
      <c r="AO195" s="927"/>
      <c r="AP195" s="927"/>
      <c r="AQ195" s="927"/>
      <c r="AR195" s="927"/>
      <c r="AS195" s="927"/>
      <c r="AT195" s="927"/>
      <c r="AU195" s="927"/>
      <c r="AV195" s="927"/>
      <c r="AW195" s="927"/>
      <c r="AX195" s="927"/>
      <c r="AY195" s="927"/>
      <c r="AZ195" s="927"/>
      <c r="BA195" s="927"/>
      <c r="BB195" s="927"/>
      <c r="BC195" s="927"/>
      <c r="BD195" s="927"/>
      <c r="BE195" s="927"/>
      <c r="BF195" s="927"/>
      <c r="BG195" s="927"/>
      <c r="BH195" s="927"/>
      <c r="BI195" s="927"/>
      <c r="BJ195" s="927"/>
      <c r="BK195" s="927"/>
      <c r="BL195" s="927"/>
      <c r="BM195" s="927"/>
      <c r="BN195" s="927"/>
      <c r="BO195" s="927"/>
      <c r="BP195" s="927"/>
      <c r="BQ195" s="927"/>
      <c r="BR195" s="927"/>
      <c r="BS195" s="927"/>
      <c r="BT195" s="927"/>
    </row>
    <row r="196" spans="1:72" x14ac:dyDescent="0.25">
      <c r="A196" s="927" t="s">
        <v>727</v>
      </c>
      <c r="B196" s="927"/>
      <c r="C196" s="927"/>
      <c r="D196" s="927"/>
      <c r="E196" s="927"/>
      <c r="F196" s="927"/>
      <c r="G196" s="927"/>
      <c r="H196" s="927"/>
      <c r="I196" s="927"/>
      <c r="J196" s="927"/>
      <c r="K196" s="927"/>
      <c r="L196" s="927"/>
      <c r="M196" s="927"/>
      <c r="N196" s="927"/>
      <c r="O196" s="927"/>
      <c r="P196" s="927"/>
      <c r="Q196" s="927"/>
      <c r="R196" s="927"/>
      <c r="S196" s="927"/>
      <c r="T196" s="927"/>
      <c r="U196" s="927"/>
      <c r="V196" s="927"/>
      <c r="W196" s="927"/>
      <c r="X196" s="927"/>
      <c r="Y196" s="927"/>
      <c r="Z196" s="927"/>
      <c r="AA196" s="927"/>
      <c r="AB196" s="927"/>
      <c r="AC196" s="927"/>
      <c r="AD196" s="927"/>
      <c r="AE196" s="927"/>
      <c r="AF196" s="927"/>
      <c r="AG196" s="927"/>
      <c r="AH196" s="927"/>
      <c r="AI196" s="927"/>
      <c r="AJ196" s="927"/>
      <c r="AK196" s="927"/>
      <c r="AL196" s="927"/>
      <c r="AM196" s="927"/>
      <c r="AN196" s="927"/>
      <c r="AO196" s="927"/>
      <c r="AP196" s="927"/>
      <c r="AQ196" s="927"/>
      <c r="AR196" s="927"/>
      <c r="AS196" s="927"/>
      <c r="AT196" s="927"/>
      <c r="AU196" s="927"/>
      <c r="AV196" s="927"/>
      <c r="AW196" s="927"/>
      <c r="AX196" s="927"/>
      <c r="AY196" s="927"/>
      <c r="AZ196" s="927"/>
      <c r="BA196" s="927"/>
      <c r="BB196" s="927"/>
      <c r="BC196" s="927"/>
      <c r="BD196" s="927"/>
      <c r="BE196" s="927"/>
      <c r="BF196" s="927"/>
      <c r="BG196" s="927"/>
      <c r="BH196" s="927"/>
      <c r="BI196" s="927"/>
      <c r="BJ196" s="927"/>
      <c r="BK196" s="927"/>
      <c r="BL196" s="927"/>
      <c r="BM196" s="927"/>
      <c r="BN196" s="927"/>
      <c r="BO196" s="927"/>
      <c r="BP196" s="927"/>
      <c r="BQ196" s="927"/>
      <c r="BR196" s="927"/>
      <c r="BS196" s="927"/>
      <c r="BT196" s="927"/>
    </row>
    <row r="197" spans="1:72" x14ac:dyDescent="0.25">
      <c r="A197" s="927" t="s">
        <v>473</v>
      </c>
      <c r="B197" s="927">
        <v>236.38</v>
      </c>
      <c r="C197" s="927">
        <v>254.66</v>
      </c>
      <c r="D197" s="927">
        <v>235.17</v>
      </c>
      <c r="E197" s="927">
        <v>230.51</v>
      </c>
      <c r="F197" s="927">
        <v>232.31</v>
      </c>
      <c r="G197" s="927">
        <v>244.12</v>
      </c>
      <c r="H197" s="927">
        <v>246.57</v>
      </c>
      <c r="I197" s="927">
        <v>251.37</v>
      </c>
      <c r="J197" s="927">
        <v>257.29000000000002</v>
      </c>
      <c r="K197" s="927">
        <v>266.02999999999997</v>
      </c>
      <c r="L197" s="927">
        <v>273.52999999999997</v>
      </c>
      <c r="M197" s="927">
        <v>281.39999999999998</v>
      </c>
      <c r="N197" s="927">
        <v>289.27</v>
      </c>
      <c r="O197" s="927">
        <v>299.58999999999997</v>
      </c>
      <c r="P197" s="927">
        <v>309.45</v>
      </c>
      <c r="Q197" s="927">
        <v>320.3</v>
      </c>
      <c r="R197" s="927">
        <v>330.83</v>
      </c>
      <c r="S197" s="927">
        <v>341.36</v>
      </c>
      <c r="T197" s="927">
        <v>351.09</v>
      </c>
      <c r="U197" s="927">
        <v>363.72</v>
      </c>
      <c r="V197" s="927">
        <v>377.1</v>
      </c>
      <c r="W197" s="927">
        <v>392.03</v>
      </c>
      <c r="X197" s="927">
        <v>407.27</v>
      </c>
      <c r="Y197" s="927">
        <v>423.22</v>
      </c>
      <c r="Z197" s="927">
        <v>441.01</v>
      </c>
      <c r="AA197" s="927">
        <v>458.4</v>
      </c>
      <c r="AB197" s="927">
        <v>471.99</v>
      </c>
      <c r="AC197" s="927">
        <v>489.06</v>
      </c>
      <c r="AD197" s="927">
        <v>506.03</v>
      </c>
      <c r="AE197" s="966">
        <v>2.5999999999999999E-2</v>
      </c>
      <c r="AF197" s="927"/>
      <c r="AG197" s="927"/>
      <c r="AH197" s="927"/>
      <c r="AI197" s="927"/>
      <c r="AJ197" s="927"/>
      <c r="AK197" s="927"/>
      <c r="AL197" s="927"/>
      <c r="AM197" s="927"/>
      <c r="AN197" s="927"/>
      <c r="AO197" s="927"/>
      <c r="AP197" s="927"/>
      <c r="AQ197" s="927"/>
      <c r="AR197" s="927"/>
      <c r="AS197" s="927"/>
      <c r="AT197" s="927"/>
      <c r="AU197" s="927"/>
      <c r="AV197" s="927"/>
      <c r="AW197" s="927"/>
      <c r="AX197" s="927"/>
      <c r="AY197" s="927"/>
      <c r="AZ197" s="927"/>
      <c r="BA197" s="927"/>
      <c r="BB197" s="927"/>
      <c r="BC197" s="927"/>
      <c r="BD197" s="927"/>
      <c r="BE197" s="927"/>
      <c r="BF197" s="927"/>
      <c r="BG197" s="927"/>
      <c r="BH197" s="927"/>
      <c r="BI197" s="927"/>
      <c r="BJ197" s="927"/>
      <c r="BK197" s="927"/>
      <c r="BL197" s="927"/>
      <c r="BM197" s="927"/>
      <c r="BN197" s="927"/>
      <c r="BO197" s="927"/>
      <c r="BP197" s="927"/>
      <c r="BQ197" s="927"/>
      <c r="BR197" s="927"/>
      <c r="BS197" s="927"/>
      <c r="BT197" s="927"/>
    </row>
    <row r="198" spans="1:72" x14ac:dyDescent="0.25">
      <c r="A198" s="927" t="s">
        <v>480</v>
      </c>
      <c r="B198" s="927">
        <v>172.75</v>
      </c>
      <c r="C198" s="927">
        <v>191.19</v>
      </c>
      <c r="D198" s="927">
        <v>171.27</v>
      </c>
      <c r="E198" s="927">
        <v>168.36</v>
      </c>
      <c r="F198" s="927">
        <v>170.83</v>
      </c>
      <c r="G198" s="927">
        <v>182.74</v>
      </c>
      <c r="H198" s="927">
        <v>187.26</v>
      </c>
      <c r="I198" s="927">
        <v>190.86</v>
      </c>
      <c r="J198" s="927">
        <v>197.13</v>
      </c>
      <c r="K198" s="927">
        <v>205.11</v>
      </c>
      <c r="L198" s="927">
        <v>212.7</v>
      </c>
      <c r="M198" s="927">
        <v>219.88</v>
      </c>
      <c r="N198" s="927">
        <v>226.94</v>
      </c>
      <c r="O198" s="927">
        <v>236.05</v>
      </c>
      <c r="P198" s="927">
        <v>245.65</v>
      </c>
      <c r="Q198" s="927">
        <v>255.58</v>
      </c>
      <c r="R198" s="927">
        <v>265.91000000000003</v>
      </c>
      <c r="S198" s="927">
        <v>275.66000000000003</v>
      </c>
      <c r="T198" s="927">
        <v>285.08999999999997</v>
      </c>
      <c r="U198" s="927">
        <v>296.79000000000002</v>
      </c>
      <c r="V198" s="927">
        <v>309.27</v>
      </c>
      <c r="W198" s="927">
        <v>322.77</v>
      </c>
      <c r="X198" s="927">
        <v>338.69</v>
      </c>
      <c r="Y198" s="927">
        <v>354.37</v>
      </c>
      <c r="Z198" s="927">
        <v>371.75</v>
      </c>
      <c r="AA198" s="927">
        <v>388.64</v>
      </c>
      <c r="AB198" s="927">
        <v>403.84</v>
      </c>
      <c r="AC198" s="927">
        <v>421.34</v>
      </c>
      <c r="AD198" s="927">
        <v>438.74</v>
      </c>
      <c r="AE198" s="966">
        <v>3.1E-2</v>
      </c>
      <c r="AF198" s="927"/>
      <c r="AG198" s="927"/>
      <c r="AH198" s="927"/>
      <c r="AI198" s="927"/>
      <c r="AJ198" s="927"/>
      <c r="AK198" s="927"/>
      <c r="AL198" s="927"/>
      <c r="AM198" s="927"/>
      <c r="AN198" s="927"/>
      <c r="AO198" s="927"/>
      <c r="AP198" s="927"/>
      <c r="AQ198" s="927"/>
      <c r="AR198" s="927"/>
      <c r="AS198" s="927"/>
      <c r="AT198" s="927"/>
      <c r="AU198" s="927"/>
      <c r="AV198" s="927"/>
      <c r="AW198" s="927"/>
      <c r="AX198" s="927"/>
      <c r="AY198" s="927"/>
      <c r="AZ198" s="927"/>
      <c r="BA198" s="927"/>
      <c r="BB198" s="927"/>
      <c r="BC198" s="927"/>
      <c r="BD198" s="927"/>
      <c r="BE198" s="927"/>
      <c r="BF198" s="927"/>
      <c r="BG198" s="927"/>
      <c r="BH198" s="927"/>
      <c r="BI198" s="927"/>
      <c r="BJ198" s="927"/>
      <c r="BK198" s="927"/>
      <c r="BL198" s="927"/>
      <c r="BM198" s="927"/>
      <c r="BN198" s="927"/>
      <c r="BO198" s="927"/>
      <c r="BP198" s="927"/>
      <c r="BQ198" s="927"/>
      <c r="BR198" s="927"/>
      <c r="BS198" s="927"/>
      <c r="BT198" s="927"/>
    </row>
    <row r="199" spans="1:72" x14ac:dyDescent="0.25">
      <c r="A199" s="927" t="s">
        <v>515</v>
      </c>
      <c r="B199" s="927">
        <v>214.89</v>
      </c>
      <c r="C199" s="927">
        <v>244.81</v>
      </c>
      <c r="D199" s="927">
        <v>178.09</v>
      </c>
      <c r="E199" s="927">
        <v>168.16</v>
      </c>
      <c r="F199" s="927">
        <v>181.07</v>
      </c>
      <c r="G199" s="927">
        <v>202.87</v>
      </c>
      <c r="H199" s="927">
        <v>217.07</v>
      </c>
      <c r="I199" s="927">
        <v>227.35</v>
      </c>
      <c r="J199" s="927">
        <v>237.51</v>
      </c>
      <c r="K199" s="927">
        <v>248.26</v>
      </c>
      <c r="L199" s="927">
        <v>257.8</v>
      </c>
      <c r="M199" s="927">
        <v>268.36</v>
      </c>
      <c r="N199" s="927">
        <v>277.25</v>
      </c>
      <c r="O199" s="927">
        <v>287.02999999999997</v>
      </c>
      <c r="P199" s="927">
        <v>295.06</v>
      </c>
      <c r="Q199" s="927">
        <v>303.12</v>
      </c>
      <c r="R199" s="927">
        <v>311.48</v>
      </c>
      <c r="S199" s="927">
        <v>319.60000000000002</v>
      </c>
      <c r="T199" s="927">
        <v>328.09</v>
      </c>
      <c r="U199" s="927">
        <v>336.58</v>
      </c>
      <c r="V199" s="927">
        <v>346.81</v>
      </c>
      <c r="W199" s="927">
        <v>357.93</v>
      </c>
      <c r="X199" s="927">
        <v>370.58</v>
      </c>
      <c r="Y199" s="927">
        <v>382.62</v>
      </c>
      <c r="Z199" s="927">
        <v>397.61</v>
      </c>
      <c r="AA199" s="927">
        <v>409.44</v>
      </c>
      <c r="AB199" s="927">
        <v>421.52</v>
      </c>
      <c r="AC199" s="927">
        <v>436.23</v>
      </c>
      <c r="AD199" s="927">
        <v>449</v>
      </c>
      <c r="AE199" s="966">
        <v>2.3E-2</v>
      </c>
      <c r="AF199" s="927"/>
      <c r="AG199" s="927"/>
      <c r="AH199" s="927"/>
      <c r="AI199" s="927"/>
      <c r="AJ199" s="927"/>
      <c r="AK199" s="927"/>
      <c r="AL199" s="927"/>
      <c r="AM199" s="927"/>
      <c r="AN199" s="927"/>
      <c r="AO199" s="927"/>
      <c r="AP199" s="927"/>
      <c r="AQ199" s="927"/>
      <c r="AR199" s="927"/>
      <c r="AS199" s="927"/>
      <c r="AT199" s="927"/>
      <c r="AU199" s="927"/>
      <c r="AV199" s="927"/>
      <c r="AW199" s="927"/>
      <c r="AX199" s="927"/>
      <c r="AY199" s="927"/>
      <c r="AZ199" s="927"/>
      <c r="BA199" s="927"/>
      <c r="BB199" s="927"/>
      <c r="BC199" s="927"/>
      <c r="BD199" s="927"/>
      <c r="BE199" s="927"/>
      <c r="BF199" s="927"/>
      <c r="BG199" s="927"/>
      <c r="BH199" s="927"/>
      <c r="BI199" s="927"/>
      <c r="BJ199" s="927"/>
      <c r="BK199" s="927"/>
      <c r="BL199" s="927"/>
      <c r="BM199" s="927"/>
      <c r="BN199" s="927"/>
      <c r="BO199" s="927"/>
      <c r="BP199" s="927"/>
      <c r="BQ199" s="927"/>
      <c r="BR199" s="927"/>
      <c r="BS199" s="927"/>
      <c r="BT199" s="927"/>
    </row>
    <row r="200" spans="1:72" x14ac:dyDescent="0.25">
      <c r="A200" s="927" t="s">
        <v>487</v>
      </c>
      <c r="B200" s="927">
        <v>599.94000000000005</v>
      </c>
      <c r="C200" s="927">
        <v>705.86</v>
      </c>
      <c r="D200" s="927">
        <v>472.76</v>
      </c>
      <c r="E200" s="927">
        <v>523.54</v>
      </c>
      <c r="F200" s="927">
        <v>551.54</v>
      </c>
      <c r="G200" s="927">
        <v>600.52</v>
      </c>
      <c r="H200" s="927">
        <v>663.3</v>
      </c>
      <c r="I200" s="927">
        <v>702.29</v>
      </c>
      <c r="J200" s="927">
        <v>730.78</v>
      </c>
      <c r="K200" s="927">
        <v>762.17</v>
      </c>
      <c r="L200" s="927">
        <v>797.53</v>
      </c>
      <c r="M200" s="927">
        <v>828.81</v>
      </c>
      <c r="N200" s="927">
        <v>859.4</v>
      </c>
      <c r="O200" s="927">
        <v>891.87</v>
      </c>
      <c r="P200" s="927">
        <v>920.68</v>
      </c>
      <c r="Q200" s="927">
        <v>948.26</v>
      </c>
      <c r="R200" s="927">
        <v>986.59</v>
      </c>
      <c r="S200" s="927">
        <v>1021.27</v>
      </c>
      <c r="T200" s="927">
        <v>1062.24</v>
      </c>
      <c r="U200" s="927">
        <v>1101.69</v>
      </c>
      <c r="V200" s="927">
        <v>1143.03</v>
      </c>
      <c r="W200" s="927">
        <v>1188</v>
      </c>
      <c r="X200" s="927">
        <v>1232.23</v>
      </c>
      <c r="Y200" s="927">
        <v>1277.8499999999999</v>
      </c>
      <c r="Z200" s="927">
        <v>1321.12</v>
      </c>
      <c r="AA200" s="927">
        <v>1371.03</v>
      </c>
      <c r="AB200" s="927">
        <v>1423.78</v>
      </c>
      <c r="AC200" s="927">
        <v>1471.43</v>
      </c>
      <c r="AD200" s="927">
        <v>1525.95</v>
      </c>
      <c r="AE200" s="966">
        <v>2.9000000000000001E-2</v>
      </c>
      <c r="AF200" s="927"/>
      <c r="AG200" s="927"/>
      <c r="AH200" s="927"/>
      <c r="AI200" s="927"/>
      <c r="AJ200" s="927"/>
      <c r="AK200" s="927"/>
      <c r="AL200" s="927"/>
      <c r="AM200" s="927"/>
      <c r="AN200" s="927"/>
      <c r="AO200" s="927"/>
      <c r="AP200" s="927"/>
      <c r="AQ200" s="927"/>
      <c r="AR200" s="927"/>
      <c r="AS200" s="927"/>
      <c r="AT200" s="927"/>
      <c r="AU200" s="927"/>
      <c r="AV200" s="927"/>
      <c r="AW200" s="927"/>
      <c r="AX200" s="927"/>
      <c r="AY200" s="927"/>
      <c r="AZ200" s="927"/>
      <c r="BA200" s="927"/>
      <c r="BB200" s="927"/>
      <c r="BC200" s="927"/>
      <c r="BD200" s="927"/>
      <c r="BE200" s="927"/>
      <c r="BF200" s="927"/>
      <c r="BG200" s="927"/>
      <c r="BH200" s="927"/>
      <c r="BI200" s="927"/>
      <c r="BJ200" s="927"/>
      <c r="BK200" s="927"/>
      <c r="BL200" s="927"/>
      <c r="BM200" s="927"/>
      <c r="BN200" s="927"/>
      <c r="BO200" s="927"/>
      <c r="BP200" s="927"/>
      <c r="BQ200" s="927"/>
      <c r="BR200" s="927"/>
      <c r="BS200" s="927"/>
      <c r="BT200" s="927"/>
    </row>
    <row r="201" spans="1:72" x14ac:dyDescent="0.25">
      <c r="A201" s="927" t="s">
        <v>516</v>
      </c>
      <c r="B201" s="927">
        <v>1223.96</v>
      </c>
      <c r="C201" s="927">
        <v>1396.52</v>
      </c>
      <c r="D201" s="927">
        <v>1057.29</v>
      </c>
      <c r="E201" s="927">
        <v>1090.58</v>
      </c>
      <c r="F201" s="927">
        <v>1135.76</v>
      </c>
      <c r="G201" s="927">
        <v>1230.25</v>
      </c>
      <c r="H201" s="927">
        <v>1314.19</v>
      </c>
      <c r="I201" s="927">
        <v>1371.86</v>
      </c>
      <c r="J201" s="927">
        <v>1422.72</v>
      </c>
      <c r="K201" s="927">
        <v>1481.57</v>
      </c>
      <c r="L201" s="927">
        <v>1541.56</v>
      </c>
      <c r="M201" s="927">
        <v>1598.45</v>
      </c>
      <c r="N201" s="927">
        <v>1652.86</v>
      </c>
      <c r="O201" s="927">
        <v>1714.54</v>
      </c>
      <c r="P201" s="927">
        <v>1770.84</v>
      </c>
      <c r="Q201" s="927">
        <v>1827.25</v>
      </c>
      <c r="R201" s="927">
        <v>1894.81</v>
      </c>
      <c r="S201" s="927">
        <v>1957.89</v>
      </c>
      <c r="T201" s="927">
        <v>2026.51</v>
      </c>
      <c r="U201" s="927">
        <v>2098.7800000000002</v>
      </c>
      <c r="V201" s="927">
        <v>2176.1999999999998</v>
      </c>
      <c r="W201" s="927">
        <v>2260.73</v>
      </c>
      <c r="X201" s="927">
        <v>2348.7600000000002</v>
      </c>
      <c r="Y201" s="927">
        <v>2438.06</v>
      </c>
      <c r="Z201" s="927">
        <v>2531.5</v>
      </c>
      <c r="AA201" s="927">
        <v>2627.51</v>
      </c>
      <c r="AB201" s="927">
        <v>2721.14</v>
      </c>
      <c r="AC201" s="927">
        <v>2818.06</v>
      </c>
      <c r="AD201" s="927">
        <v>2919.72</v>
      </c>
      <c r="AE201" s="966">
        <v>2.8000000000000001E-2</v>
      </c>
      <c r="AF201" s="927"/>
      <c r="AG201" s="927"/>
      <c r="AH201" s="927"/>
      <c r="AI201" s="927"/>
      <c r="AJ201" s="927"/>
      <c r="AK201" s="927"/>
      <c r="AL201" s="927"/>
      <c r="AM201" s="927"/>
      <c r="AN201" s="927"/>
      <c r="AO201" s="927"/>
      <c r="AP201" s="927"/>
      <c r="AQ201" s="927"/>
      <c r="AR201" s="927"/>
      <c r="AS201" s="927"/>
      <c r="AT201" s="927"/>
      <c r="AU201" s="927"/>
      <c r="AV201" s="927"/>
      <c r="AW201" s="927"/>
      <c r="AX201" s="927"/>
      <c r="AY201" s="927"/>
      <c r="AZ201" s="927"/>
      <c r="BA201" s="927"/>
      <c r="BB201" s="927"/>
      <c r="BC201" s="927"/>
      <c r="BD201" s="927"/>
      <c r="BE201" s="927"/>
      <c r="BF201" s="927"/>
      <c r="BG201" s="927"/>
      <c r="BH201" s="927"/>
      <c r="BI201" s="927"/>
      <c r="BJ201" s="927"/>
      <c r="BK201" s="927"/>
      <c r="BL201" s="927"/>
      <c r="BM201" s="927"/>
      <c r="BN201" s="927"/>
      <c r="BO201" s="927"/>
      <c r="BP201" s="927"/>
      <c r="BQ201" s="927"/>
      <c r="BR201" s="927"/>
      <c r="BS201" s="927"/>
      <c r="BT201" s="927"/>
    </row>
    <row r="202" spans="1:72" x14ac:dyDescent="0.25">
      <c r="A202" s="927" t="s">
        <v>629</v>
      </c>
      <c r="B202" s="927">
        <v>0.04</v>
      </c>
      <c r="C202" s="927">
        <v>0.17</v>
      </c>
      <c r="D202" s="927">
        <v>0.04</v>
      </c>
      <c r="E202" s="927">
        <v>0.09</v>
      </c>
      <c r="F202" s="927">
        <v>0.11</v>
      </c>
      <c r="G202" s="927">
        <v>0.13</v>
      </c>
      <c r="H202" s="927">
        <v>0.16</v>
      </c>
      <c r="I202" s="927">
        <v>0.18</v>
      </c>
      <c r="J202" s="927">
        <v>0.24</v>
      </c>
      <c r="K202" s="927">
        <v>2.65</v>
      </c>
      <c r="L202" s="927">
        <v>3.64</v>
      </c>
      <c r="M202" s="927">
        <v>4.71</v>
      </c>
      <c r="N202" s="927">
        <v>6.36</v>
      </c>
      <c r="O202" s="927">
        <v>8.6999999999999993</v>
      </c>
      <c r="P202" s="927">
        <v>11.96</v>
      </c>
      <c r="Q202" s="927">
        <v>22.18</v>
      </c>
      <c r="R202" s="927">
        <v>20.28</v>
      </c>
      <c r="S202" s="927">
        <v>19.329999999999998</v>
      </c>
      <c r="T202" s="927">
        <v>20.440000000000001</v>
      </c>
      <c r="U202" s="927">
        <v>23.52</v>
      </c>
      <c r="V202" s="927">
        <v>26.81</v>
      </c>
      <c r="W202" s="927">
        <v>29.72</v>
      </c>
      <c r="X202" s="927">
        <v>34.94</v>
      </c>
      <c r="Y202" s="927">
        <v>37.81</v>
      </c>
      <c r="Z202" s="927">
        <v>49.23</v>
      </c>
      <c r="AA202" s="927">
        <v>57.96</v>
      </c>
      <c r="AB202" s="927">
        <v>65.66</v>
      </c>
      <c r="AC202" s="927">
        <v>79.569999999999993</v>
      </c>
      <c r="AD202" s="927">
        <v>94.81</v>
      </c>
      <c r="AE202" s="966">
        <v>0.26500000000000001</v>
      </c>
      <c r="AF202" s="927"/>
      <c r="AG202" s="927"/>
      <c r="AH202" s="927"/>
      <c r="AI202" s="927"/>
      <c r="AJ202" s="927"/>
      <c r="AK202" s="927"/>
      <c r="AL202" s="927"/>
      <c r="AM202" s="927"/>
      <c r="AN202" s="927"/>
      <c r="AO202" s="927"/>
      <c r="AP202" s="927"/>
      <c r="AQ202" s="927"/>
      <c r="AR202" s="927"/>
      <c r="AS202" s="927"/>
      <c r="AT202" s="927"/>
      <c r="AU202" s="927"/>
      <c r="AV202" s="927"/>
      <c r="AW202" s="927"/>
      <c r="AX202" s="927"/>
      <c r="AY202" s="927"/>
      <c r="AZ202" s="927"/>
      <c r="BA202" s="927"/>
      <c r="BB202" s="927"/>
      <c r="BC202" s="927"/>
      <c r="BD202" s="927"/>
      <c r="BE202" s="927"/>
      <c r="BF202" s="927"/>
      <c r="BG202" s="927"/>
      <c r="BH202" s="927"/>
      <c r="BI202" s="927"/>
      <c r="BJ202" s="927"/>
      <c r="BK202" s="927"/>
      <c r="BL202" s="927"/>
      <c r="BM202" s="927"/>
      <c r="BN202" s="927"/>
      <c r="BO202" s="927"/>
      <c r="BP202" s="927"/>
      <c r="BQ202" s="927"/>
      <c r="BR202" s="927"/>
      <c r="BS202" s="927"/>
      <c r="BT202" s="927"/>
    </row>
    <row r="203" spans="1:72" x14ac:dyDescent="0.25">
      <c r="A203" s="927" t="s">
        <v>518</v>
      </c>
      <c r="B203" s="927">
        <v>1224</v>
      </c>
      <c r="C203" s="927">
        <v>1396.69</v>
      </c>
      <c r="D203" s="927">
        <v>1057.33</v>
      </c>
      <c r="E203" s="927">
        <v>1090.67</v>
      </c>
      <c r="F203" s="927">
        <v>1135.8699999999999</v>
      </c>
      <c r="G203" s="927">
        <v>1230.3800000000001</v>
      </c>
      <c r="H203" s="927">
        <v>1314.36</v>
      </c>
      <c r="I203" s="927">
        <v>1372.05</v>
      </c>
      <c r="J203" s="927">
        <v>1422.95</v>
      </c>
      <c r="K203" s="927">
        <v>1484.22</v>
      </c>
      <c r="L203" s="927">
        <v>1545.2</v>
      </c>
      <c r="M203" s="927">
        <v>1603.16</v>
      </c>
      <c r="N203" s="927">
        <v>1659.22</v>
      </c>
      <c r="O203" s="927">
        <v>1723.24</v>
      </c>
      <c r="P203" s="927">
        <v>1782.8</v>
      </c>
      <c r="Q203" s="927">
        <v>1849.44</v>
      </c>
      <c r="R203" s="927">
        <v>1915.09</v>
      </c>
      <c r="S203" s="927">
        <v>1977.22</v>
      </c>
      <c r="T203" s="927">
        <v>2046.94</v>
      </c>
      <c r="U203" s="927">
        <v>2122.3000000000002</v>
      </c>
      <c r="V203" s="927">
        <v>2203.0100000000002</v>
      </c>
      <c r="W203" s="927">
        <v>2290.46</v>
      </c>
      <c r="X203" s="927">
        <v>2383.6999999999998</v>
      </c>
      <c r="Y203" s="927">
        <v>2475.87</v>
      </c>
      <c r="Z203" s="927">
        <v>2580.73</v>
      </c>
      <c r="AA203" s="927">
        <v>2685.47</v>
      </c>
      <c r="AB203" s="927">
        <v>2786.79</v>
      </c>
      <c r="AC203" s="927">
        <v>2897.63</v>
      </c>
      <c r="AD203" s="927">
        <v>3014.53</v>
      </c>
      <c r="AE203" s="966">
        <v>2.9000000000000001E-2</v>
      </c>
      <c r="AF203" s="927"/>
      <c r="AG203" s="927"/>
      <c r="AH203" s="927"/>
      <c r="AI203" s="927"/>
      <c r="AJ203" s="927"/>
      <c r="AK203" s="927"/>
      <c r="AL203" s="927"/>
      <c r="AM203" s="927"/>
      <c r="AN203" s="927"/>
      <c r="AO203" s="927"/>
      <c r="AP203" s="927"/>
      <c r="AQ203" s="927"/>
      <c r="AR203" s="927"/>
      <c r="AS203" s="927"/>
      <c r="AT203" s="927"/>
      <c r="AU203" s="927"/>
      <c r="AV203" s="927"/>
      <c r="AW203" s="927"/>
      <c r="AX203" s="927"/>
      <c r="AY203" s="927"/>
      <c r="AZ203" s="927"/>
      <c r="BA203" s="927"/>
      <c r="BB203" s="927"/>
      <c r="BC203" s="927"/>
      <c r="BD203" s="927"/>
      <c r="BE203" s="927"/>
      <c r="BF203" s="927"/>
      <c r="BG203" s="927"/>
      <c r="BH203" s="927"/>
      <c r="BI203" s="927"/>
      <c r="BJ203" s="927"/>
      <c r="BK203" s="927"/>
      <c r="BL203" s="927"/>
      <c r="BM203" s="927"/>
      <c r="BN203" s="927"/>
      <c r="BO203" s="927"/>
      <c r="BP203" s="927"/>
      <c r="BQ203" s="927"/>
      <c r="BR203" s="927"/>
      <c r="BS203" s="927"/>
      <c r="BT203" s="927"/>
    </row>
    <row r="204" spans="1:72" x14ac:dyDescent="0.25">
      <c r="A204" s="927"/>
      <c r="B204" s="927"/>
      <c r="C204" s="927"/>
      <c r="D204" s="927"/>
      <c r="E204" s="927"/>
      <c r="F204" s="927"/>
      <c r="G204" s="927"/>
      <c r="H204" s="927"/>
      <c r="I204" s="927"/>
      <c r="J204" s="927"/>
      <c r="K204" s="927"/>
      <c r="L204" s="927"/>
      <c r="M204" s="927"/>
      <c r="N204" s="927"/>
      <c r="O204" s="927"/>
      <c r="P204" s="927"/>
      <c r="Q204" s="927"/>
      <c r="R204" s="927"/>
      <c r="S204" s="927"/>
      <c r="T204" s="927"/>
      <c r="U204" s="927"/>
      <c r="V204" s="927"/>
      <c r="W204" s="927"/>
      <c r="X204" s="927"/>
      <c r="Y204" s="927"/>
      <c r="Z204" s="927"/>
      <c r="AA204" s="927"/>
      <c r="AB204" s="927"/>
      <c r="AC204" s="927"/>
      <c r="AD204" s="927"/>
      <c r="AE204" s="927"/>
      <c r="AF204" s="927"/>
      <c r="AG204" s="927"/>
      <c r="AH204" s="927"/>
      <c r="AI204" s="927"/>
      <c r="AJ204" s="927"/>
      <c r="AK204" s="927"/>
      <c r="AL204" s="927"/>
      <c r="AM204" s="927"/>
      <c r="AN204" s="927"/>
      <c r="AO204" s="927"/>
      <c r="AP204" s="927"/>
      <c r="AQ204" s="927"/>
      <c r="AR204" s="927"/>
      <c r="AS204" s="927"/>
      <c r="AT204" s="927"/>
      <c r="AU204" s="927"/>
      <c r="AV204" s="927"/>
      <c r="AW204" s="927"/>
      <c r="AX204" s="927"/>
      <c r="AY204" s="927"/>
      <c r="AZ204" s="927"/>
      <c r="BA204" s="927"/>
      <c r="BB204" s="927"/>
      <c r="BC204" s="927"/>
      <c r="BD204" s="927"/>
      <c r="BE204" s="927"/>
      <c r="BF204" s="927"/>
      <c r="BG204" s="927"/>
      <c r="BH204" s="927"/>
      <c r="BI204" s="927"/>
      <c r="BJ204" s="927"/>
      <c r="BK204" s="927"/>
      <c r="BL204" s="927"/>
      <c r="BM204" s="927"/>
      <c r="BN204" s="927"/>
      <c r="BO204" s="927"/>
      <c r="BP204" s="927"/>
      <c r="BQ204" s="927"/>
      <c r="BR204" s="927"/>
      <c r="BS204" s="927"/>
      <c r="BT204" s="927"/>
    </row>
    <row r="205" spans="1:72" x14ac:dyDescent="0.25">
      <c r="A205" s="927"/>
      <c r="B205" s="927"/>
      <c r="C205" s="927"/>
      <c r="D205" s="927"/>
      <c r="E205" s="927"/>
      <c r="F205" s="927"/>
      <c r="G205" s="927"/>
      <c r="H205" s="927"/>
      <c r="I205" s="927"/>
      <c r="J205" s="927"/>
      <c r="K205" s="927"/>
      <c r="L205" s="927"/>
      <c r="M205" s="927"/>
      <c r="N205" s="927"/>
      <c r="O205" s="927"/>
      <c r="P205" s="927"/>
      <c r="Q205" s="927"/>
      <c r="R205" s="927"/>
      <c r="S205" s="927"/>
      <c r="T205" s="927"/>
      <c r="U205" s="927"/>
      <c r="V205" s="927"/>
      <c r="W205" s="927"/>
      <c r="X205" s="927"/>
      <c r="Y205" s="927"/>
      <c r="Z205" s="927"/>
      <c r="AA205" s="927"/>
      <c r="AB205" s="927"/>
      <c r="AC205" s="927"/>
      <c r="AD205" s="927"/>
      <c r="AE205" s="927"/>
      <c r="AF205" s="927"/>
      <c r="AG205" s="927"/>
      <c r="AH205" s="927"/>
      <c r="AI205" s="927"/>
      <c r="AJ205" s="927"/>
      <c r="AK205" s="927"/>
      <c r="AL205" s="927"/>
      <c r="AM205" s="927"/>
      <c r="AN205" s="927"/>
      <c r="AO205" s="927"/>
      <c r="AP205" s="927"/>
      <c r="AQ205" s="927"/>
      <c r="AR205" s="927"/>
      <c r="AS205" s="927"/>
      <c r="AT205" s="927"/>
      <c r="AU205" s="927"/>
      <c r="AV205" s="927"/>
      <c r="AW205" s="927"/>
      <c r="AX205" s="927"/>
      <c r="AY205" s="927"/>
      <c r="AZ205" s="927"/>
      <c r="BA205" s="927"/>
      <c r="BB205" s="927"/>
      <c r="BC205" s="927"/>
      <c r="BD205" s="927"/>
      <c r="BE205" s="927"/>
      <c r="BF205" s="927"/>
      <c r="BG205" s="927"/>
      <c r="BH205" s="927"/>
      <c r="BI205" s="927"/>
      <c r="BJ205" s="927"/>
      <c r="BK205" s="927"/>
      <c r="BL205" s="927"/>
      <c r="BM205" s="927"/>
      <c r="BN205" s="927"/>
      <c r="BO205" s="927"/>
      <c r="BP205" s="927"/>
      <c r="BQ205" s="927"/>
      <c r="BR205" s="927"/>
      <c r="BS205" s="927"/>
      <c r="BT205" s="927"/>
    </row>
    <row r="206" spans="1:72" x14ac:dyDescent="0.25">
      <c r="A206" s="927"/>
      <c r="B206" s="927"/>
      <c r="C206" s="927"/>
      <c r="D206" s="927"/>
      <c r="E206" s="927"/>
      <c r="F206" s="927"/>
      <c r="G206" s="927"/>
      <c r="H206" s="927"/>
      <c r="I206" s="927"/>
      <c r="J206" s="927"/>
      <c r="K206" s="927"/>
      <c r="L206" s="927"/>
      <c r="M206" s="927"/>
      <c r="N206" s="927"/>
      <c r="O206" s="927"/>
      <c r="P206" s="927"/>
      <c r="Q206" s="927"/>
      <c r="R206" s="927"/>
      <c r="S206" s="927"/>
      <c r="T206" s="927"/>
      <c r="U206" s="927"/>
      <c r="V206" s="927"/>
      <c r="W206" s="927"/>
      <c r="X206" s="927"/>
      <c r="Y206" s="927"/>
      <c r="Z206" s="927"/>
      <c r="AA206" s="927"/>
      <c r="AB206" s="927"/>
      <c r="AC206" s="927"/>
      <c r="AD206" s="927"/>
      <c r="AE206" s="927"/>
      <c r="AF206" s="927"/>
      <c r="AG206" s="927"/>
      <c r="AH206" s="927"/>
      <c r="AI206" s="927"/>
      <c r="AJ206" s="927"/>
      <c r="AK206" s="927"/>
      <c r="AL206" s="927"/>
      <c r="AM206" s="927"/>
      <c r="AN206" s="927"/>
      <c r="AO206" s="927"/>
      <c r="AP206" s="927"/>
      <c r="AQ206" s="927"/>
      <c r="AR206" s="927"/>
      <c r="AS206" s="927"/>
      <c r="AT206" s="927"/>
      <c r="AU206" s="927"/>
      <c r="AV206" s="927"/>
      <c r="AW206" s="927"/>
      <c r="AX206" s="927"/>
      <c r="AY206" s="927"/>
      <c r="AZ206" s="927"/>
      <c r="BA206" s="927"/>
      <c r="BB206" s="927"/>
      <c r="BC206" s="927"/>
      <c r="BD206" s="927"/>
      <c r="BE206" s="927"/>
      <c r="BF206" s="927"/>
      <c r="BG206" s="927"/>
      <c r="BH206" s="927"/>
      <c r="BI206" s="927"/>
      <c r="BJ206" s="927"/>
      <c r="BK206" s="927"/>
      <c r="BL206" s="927"/>
      <c r="BM206" s="927"/>
      <c r="BN206" s="927"/>
      <c r="BO206" s="927"/>
      <c r="BP206" s="927"/>
      <c r="BQ206" s="927"/>
      <c r="BR206" s="927"/>
      <c r="BS206" s="927"/>
      <c r="BT206" s="927"/>
    </row>
    <row r="207" spans="1:72" x14ac:dyDescent="0.25">
      <c r="A207" s="927" t="s">
        <v>630</v>
      </c>
      <c r="B207" s="927"/>
      <c r="C207" s="927"/>
      <c r="D207" s="927"/>
      <c r="E207" s="927"/>
      <c r="F207" s="927"/>
      <c r="G207" s="927"/>
      <c r="H207" s="927"/>
      <c r="I207" s="927"/>
      <c r="J207" s="927"/>
      <c r="K207" s="927"/>
      <c r="L207" s="927"/>
      <c r="M207" s="927"/>
      <c r="N207" s="927"/>
      <c r="O207" s="927"/>
      <c r="P207" s="927"/>
      <c r="Q207" s="927"/>
      <c r="R207" s="927"/>
      <c r="S207" s="927"/>
      <c r="T207" s="927"/>
      <c r="U207" s="927"/>
      <c r="V207" s="927"/>
      <c r="W207" s="927"/>
      <c r="X207" s="927"/>
      <c r="Y207" s="927"/>
      <c r="Z207" s="927"/>
      <c r="AA207" s="927"/>
      <c r="AB207" s="927"/>
      <c r="AC207" s="927"/>
      <c r="AD207" s="927"/>
      <c r="AE207" s="927"/>
      <c r="AF207" s="927"/>
      <c r="AG207" s="927"/>
      <c r="AH207" s="927"/>
      <c r="AI207" s="927"/>
      <c r="AJ207" s="927"/>
      <c r="AK207" s="927"/>
      <c r="AL207" s="927"/>
      <c r="AM207" s="927"/>
      <c r="AN207" s="927"/>
      <c r="AO207" s="927"/>
      <c r="AP207" s="927"/>
      <c r="AQ207" s="927"/>
      <c r="AR207" s="927"/>
      <c r="AS207" s="927"/>
      <c r="AT207" s="927"/>
      <c r="AU207" s="927"/>
      <c r="AV207" s="927"/>
      <c r="AW207" s="927"/>
      <c r="AX207" s="927"/>
      <c r="AY207" s="927"/>
      <c r="AZ207" s="927"/>
      <c r="BA207" s="927"/>
      <c r="BB207" s="927"/>
      <c r="BC207" s="927"/>
      <c r="BD207" s="927"/>
      <c r="BE207" s="927"/>
      <c r="BF207" s="927"/>
      <c r="BG207" s="927"/>
      <c r="BH207" s="927"/>
      <c r="BI207" s="927"/>
      <c r="BJ207" s="927"/>
      <c r="BK207" s="927"/>
      <c r="BL207" s="927"/>
      <c r="BM207" s="927"/>
      <c r="BN207" s="927"/>
      <c r="BO207" s="927"/>
      <c r="BP207" s="927"/>
      <c r="BQ207" s="927"/>
      <c r="BR207" s="927"/>
      <c r="BS207" s="927"/>
      <c r="BT207" s="927"/>
    </row>
    <row r="208" spans="1:72" x14ac:dyDescent="0.25">
      <c r="A208" s="927" t="s">
        <v>631</v>
      </c>
      <c r="B208" s="927"/>
      <c r="C208" s="927"/>
      <c r="D208" s="927"/>
      <c r="E208" s="927"/>
      <c r="F208" s="927"/>
      <c r="G208" s="927"/>
      <c r="H208" s="927"/>
      <c r="I208" s="927"/>
      <c r="J208" s="927"/>
      <c r="K208" s="927"/>
      <c r="L208" s="927"/>
      <c r="M208" s="927"/>
      <c r="N208" s="927"/>
      <c r="O208" s="927"/>
      <c r="P208" s="927"/>
      <c r="Q208" s="927"/>
      <c r="R208" s="927"/>
      <c r="S208" s="927"/>
      <c r="T208" s="927"/>
      <c r="U208" s="927"/>
      <c r="V208" s="927"/>
      <c r="W208" s="927"/>
      <c r="X208" s="927"/>
      <c r="Y208" s="927"/>
      <c r="Z208" s="927"/>
      <c r="AA208" s="927"/>
      <c r="AB208" s="927"/>
      <c r="AC208" s="927"/>
      <c r="AD208" s="927"/>
      <c r="AE208" s="927"/>
      <c r="AF208" s="927"/>
      <c r="AG208" s="927"/>
      <c r="AH208" s="927"/>
      <c r="AI208" s="927"/>
      <c r="AJ208" s="927"/>
      <c r="AK208" s="927"/>
      <c r="AL208" s="927"/>
      <c r="AM208" s="927"/>
      <c r="AN208" s="927"/>
      <c r="AO208" s="927"/>
      <c r="AP208" s="927"/>
      <c r="AQ208" s="927"/>
      <c r="AR208" s="927"/>
      <c r="AS208" s="927"/>
      <c r="AT208" s="927"/>
      <c r="AU208" s="927"/>
      <c r="AV208" s="927"/>
      <c r="AW208" s="927"/>
      <c r="AX208" s="927"/>
      <c r="AY208" s="927"/>
      <c r="AZ208" s="927"/>
      <c r="BA208" s="927"/>
      <c r="BB208" s="927"/>
      <c r="BC208" s="927"/>
      <c r="BD208" s="927"/>
      <c r="BE208" s="927"/>
      <c r="BF208" s="927"/>
      <c r="BG208" s="927"/>
      <c r="BH208" s="927"/>
      <c r="BI208" s="927"/>
      <c r="BJ208" s="927"/>
      <c r="BK208" s="927"/>
      <c r="BL208" s="927"/>
      <c r="BM208" s="927"/>
      <c r="BN208" s="927"/>
      <c r="BO208" s="927"/>
      <c r="BP208" s="927"/>
      <c r="BQ208" s="927"/>
      <c r="BR208" s="927"/>
      <c r="BS208" s="927"/>
      <c r="BT208" s="927"/>
    </row>
    <row r="209" spans="1:72" x14ac:dyDescent="0.25">
      <c r="A209" s="927" t="s">
        <v>632</v>
      </c>
      <c r="B209" s="927"/>
      <c r="C209" s="927"/>
      <c r="D209" s="927"/>
      <c r="E209" s="927"/>
      <c r="F209" s="927"/>
      <c r="G209" s="927"/>
      <c r="H209" s="927"/>
      <c r="I209" s="927"/>
      <c r="J209" s="927"/>
      <c r="K209" s="927"/>
      <c r="L209" s="927"/>
      <c r="M209" s="927"/>
      <c r="N209" s="927"/>
      <c r="O209" s="927"/>
      <c r="P209" s="927"/>
      <c r="Q209" s="927"/>
      <c r="R209" s="927"/>
      <c r="S209" s="927"/>
      <c r="T209" s="927"/>
      <c r="U209" s="927"/>
      <c r="V209" s="927"/>
      <c r="W209" s="927"/>
      <c r="X209" s="927"/>
      <c r="Y209" s="927"/>
      <c r="Z209" s="927"/>
      <c r="AA209" s="927"/>
      <c r="AB209" s="927"/>
      <c r="AC209" s="927"/>
      <c r="AD209" s="927"/>
      <c r="AE209" s="927"/>
      <c r="AF209" s="927"/>
      <c r="AG209" s="927"/>
      <c r="AH209" s="927"/>
      <c r="AI209" s="927"/>
      <c r="AJ209" s="927"/>
      <c r="AK209" s="927"/>
      <c r="AL209" s="927"/>
      <c r="AM209" s="927"/>
      <c r="AN209" s="927"/>
      <c r="AO209" s="927"/>
      <c r="AP209" s="927"/>
      <c r="AQ209" s="927"/>
      <c r="AR209" s="927"/>
      <c r="AS209" s="927"/>
      <c r="AT209" s="927"/>
      <c r="AU209" s="927"/>
      <c r="AV209" s="927"/>
      <c r="AW209" s="927"/>
      <c r="AX209" s="927"/>
      <c r="AY209" s="927"/>
      <c r="AZ209" s="927"/>
      <c r="BA209" s="927"/>
      <c r="BB209" s="927"/>
      <c r="BC209" s="927"/>
      <c r="BD209" s="927"/>
      <c r="BE209" s="927"/>
      <c r="BF209" s="927"/>
      <c r="BG209" s="927"/>
      <c r="BH209" s="927"/>
      <c r="BI209" s="927"/>
      <c r="BJ209" s="927"/>
      <c r="BK209" s="927"/>
      <c r="BL209" s="927"/>
      <c r="BM209" s="927"/>
      <c r="BN209" s="927"/>
      <c r="BO209" s="927"/>
      <c r="BP209" s="927"/>
      <c r="BQ209" s="927"/>
      <c r="BR209" s="927"/>
      <c r="BS209" s="927"/>
      <c r="BT209" s="927"/>
    </row>
    <row r="210" spans="1:72" x14ac:dyDescent="0.25">
      <c r="A210" s="927" t="s">
        <v>790</v>
      </c>
      <c r="B210" s="927"/>
      <c r="C210" s="927"/>
      <c r="D210" s="927"/>
      <c r="E210" s="927"/>
      <c r="F210" s="927"/>
      <c r="G210" s="927"/>
      <c r="H210" s="927"/>
      <c r="I210" s="927"/>
      <c r="J210" s="927"/>
      <c r="K210" s="927"/>
      <c r="L210" s="927"/>
      <c r="M210" s="927"/>
      <c r="N210" s="927"/>
      <c r="O210" s="927"/>
      <c r="P210" s="927"/>
      <c r="Q210" s="927"/>
      <c r="R210" s="927"/>
      <c r="S210" s="927"/>
      <c r="T210" s="927"/>
      <c r="U210" s="927"/>
      <c r="V210" s="927"/>
      <c r="W210" s="927"/>
      <c r="X210" s="927"/>
      <c r="Y210" s="927"/>
      <c r="Z210" s="927"/>
      <c r="AA210" s="927"/>
      <c r="AB210" s="927"/>
      <c r="AC210" s="927"/>
      <c r="AD210" s="927"/>
      <c r="AE210" s="927"/>
      <c r="AF210" s="927"/>
      <c r="AG210" s="927"/>
      <c r="AH210" s="927"/>
      <c r="AI210" s="927"/>
      <c r="AJ210" s="927"/>
      <c r="AK210" s="927"/>
      <c r="AL210" s="927"/>
      <c r="AM210" s="927"/>
      <c r="AN210" s="927"/>
      <c r="AO210" s="927"/>
      <c r="AP210" s="927"/>
      <c r="AQ210" s="927"/>
      <c r="AR210" s="927"/>
      <c r="AS210" s="927"/>
      <c r="AT210" s="927"/>
      <c r="AU210" s="927"/>
      <c r="AV210" s="927"/>
      <c r="AW210" s="927"/>
      <c r="AX210" s="927"/>
      <c r="AY210" s="927"/>
      <c r="AZ210" s="927"/>
      <c r="BA210" s="927"/>
      <c r="BB210" s="927"/>
      <c r="BC210" s="927"/>
      <c r="BD210" s="927"/>
      <c r="BE210" s="927"/>
      <c r="BF210" s="927"/>
      <c r="BG210" s="927"/>
      <c r="BH210" s="927"/>
      <c r="BI210" s="927"/>
      <c r="BJ210" s="927"/>
      <c r="BK210" s="927"/>
      <c r="BL210" s="927"/>
      <c r="BM210" s="927"/>
      <c r="BN210" s="927"/>
      <c r="BO210" s="927"/>
      <c r="BP210" s="927"/>
      <c r="BQ210" s="927"/>
      <c r="BR210" s="927"/>
      <c r="BS210" s="927"/>
      <c r="BT210" s="927"/>
    </row>
    <row r="211" spans="1:72" x14ac:dyDescent="0.25">
      <c r="A211" s="927" t="s">
        <v>791</v>
      </c>
      <c r="B211" s="927"/>
      <c r="C211" s="927"/>
      <c r="D211" s="927"/>
      <c r="E211" s="927"/>
      <c r="F211" s="927"/>
      <c r="G211" s="927"/>
      <c r="H211" s="927"/>
      <c r="I211" s="927"/>
      <c r="J211" s="927"/>
      <c r="K211" s="927"/>
      <c r="L211" s="927"/>
      <c r="M211" s="927"/>
      <c r="N211" s="927"/>
      <c r="O211" s="927"/>
      <c r="P211" s="927"/>
      <c r="Q211" s="927"/>
      <c r="R211" s="927"/>
      <c r="S211" s="927"/>
      <c r="T211" s="927"/>
      <c r="U211" s="927"/>
      <c r="V211" s="927"/>
      <c r="W211" s="927"/>
      <c r="X211" s="927"/>
      <c r="Y211" s="927"/>
      <c r="Z211" s="927"/>
      <c r="AA211" s="927"/>
      <c r="AB211" s="927"/>
      <c r="AC211" s="927"/>
      <c r="AD211" s="927"/>
      <c r="AE211" s="927"/>
      <c r="AF211" s="927"/>
      <c r="AG211" s="927"/>
      <c r="AH211" s="927"/>
      <c r="AI211" s="927"/>
      <c r="AJ211" s="927"/>
      <c r="AK211" s="927"/>
      <c r="AL211" s="927"/>
      <c r="AM211" s="927"/>
      <c r="AN211" s="927"/>
      <c r="AO211" s="927"/>
      <c r="AP211" s="927"/>
      <c r="AQ211" s="927"/>
      <c r="AR211" s="927"/>
      <c r="AS211" s="927"/>
      <c r="AT211" s="927"/>
      <c r="AU211" s="927"/>
      <c r="AV211" s="927"/>
      <c r="AW211" s="927"/>
      <c r="AX211" s="927"/>
      <c r="AY211" s="927"/>
      <c r="AZ211" s="927"/>
      <c r="BA211" s="927"/>
      <c r="BB211" s="927"/>
      <c r="BC211" s="927"/>
      <c r="BD211" s="927"/>
      <c r="BE211" s="927"/>
      <c r="BF211" s="927"/>
      <c r="BG211" s="927"/>
      <c r="BH211" s="927"/>
      <c r="BI211" s="927"/>
      <c r="BJ211" s="927"/>
      <c r="BK211" s="927"/>
      <c r="BL211" s="927"/>
      <c r="BM211" s="927"/>
      <c r="BN211" s="927"/>
      <c r="BO211" s="927"/>
      <c r="BP211" s="927"/>
      <c r="BQ211" s="927"/>
      <c r="BR211" s="927"/>
      <c r="BS211" s="927"/>
      <c r="BT211" s="927"/>
    </row>
    <row r="212" spans="1:72" x14ac:dyDescent="0.25">
      <c r="A212" s="927" t="s">
        <v>649</v>
      </c>
      <c r="B212" s="927"/>
      <c r="C212" s="927"/>
      <c r="D212" s="927"/>
      <c r="E212" s="927"/>
      <c r="F212" s="927"/>
      <c r="G212" s="927"/>
      <c r="H212" s="927"/>
      <c r="I212" s="927"/>
      <c r="J212" s="927"/>
      <c r="K212" s="927"/>
      <c r="L212" s="927"/>
      <c r="M212" s="927"/>
      <c r="N212" s="927"/>
      <c r="O212" s="927"/>
      <c r="P212" s="927"/>
      <c r="Q212" s="927"/>
      <c r="R212" s="927"/>
      <c r="S212" s="927"/>
      <c r="T212" s="927"/>
      <c r="U212" s="927"/>
      <c r="V212" s="927"/>
      <c r="W212" s="927"/>
      <c r="X212" s="927"/>
      <c r="Y212" s="927"/>
      <c r="Z212" s="927"/>
      <c r="AA212" s="927"/>
      <c r="AB212" s="927"/>
      <c r="AC212" s="927"/>
      <c r="AD212" s="927"/>
      <c r="AE212" s="927"/>
      <c r="AF212" s="927"/>
      <c r="AG212" s="927"/>
      <c r="AH212" s="927"/>
      <c r="AI212" s="927"/>
      <c r="AJ212" s="927"/>
      <c r="AK212" s="927"/>
      <c r="AL212" s="927"/>
      <c r="AM212" s="927"/>
      <c r="AN212" s="927"/>
      <c r="AO212" s="927"/>
      <c r="AP212" s="927"/>
      <c r="AQ212" s="927"/>
      <c r="AR212" s="927"/>
      <c r="AS212" s="927"/>
      <c r="AT212" s="927"/>
      <c r="AU212" s="927"/>
      <c r="AV212" s="927"/>
      <c r="AW212" s="927"/>
      <c r="AX212" s="927"/>
      <c r="AY212" s="927"/>
      <c r="AZ212" s="927"/>
      <c r="BA212" s="927"/>
      <c r="BB212" s="927"/>
      <c r="BC212" s="927"/>
      <c r="BD212" s="927"/>
      <c r="BE212" s="927"/>
      <c r="BF212" s="927"/>
      <c r="BG212" s="927"/>
      <c r="BH212" s="927"/>
      <c r="BI212" s="927"/>
      <c r="BJ212" s="927"/>
      <c r="BK212" s="927"/>
      <c r="BL212" s="927"/>
      <c r="BM212" s="927"/>
      <c r="BN212" s="927"/>
      <c r="BO212" s="927"/>
      <c r="BP212" s="927"/>
      <c r="BQ212" s="927"/>
      <c r="BR212" s="927"/>
      <c r="BS212" s="927"/>
      <c r="BT212" s="927"/>
    </row>
    <row r="213" spans="1:72" x14ac:dyDescent="0.25">
      <c r="A213" s="927" t="s">
        <v>650</v>
      </c>
      <c r="B213" s="927"/>
      <c r="C213" s="927"/>
      <c r="D213" s="927"/>
      <c r="E213" s="927"/>
      <c r="F213" s="927"/>
      <c r="G213" s="927"/>
      <c r="H213" s="927"/>
      <c r="I213" s="927"/>
      <c r="J213" s="927"/>
      <c r="K213" s="927"/>
      <c r="L213" s="927"/>
      <c r="M213" s="927"/>
      <c r="N213" s="927"/>
      <c r="O213" s="927"/>
      <c r="P213" s="927"/>
      <c r="Q213" s="927"/>
      <c r="R213" s="927"/>
      <c r="S213" s="927"/>
      <c r="T213" s="927"/>
      <c r="U213" s="927"/>
      <c r="V213" s="927"/>
      <c r="W213" s="927"/>
      <c r="X213" s="927"/>
      <c r="Y213" s="927"/>
      <c r="Z213" s="927"/>
      <c r="AA213" s="927"/>
      <c r="AB213" s="927"/>
      <c r="AC213" s="927"/>
      <c r="AD213" s="927"/>
      <c r="AE213" s="927"/>
      <c r="AF213" s="927"/>
      <c r="AG213" s="927"/>
      <c r="AH213" s="927"/>
      <c r="AI213" s="927"/>
      <c r="AJ213" s="927"/>
      <c r="AK213" s="927"/>
      <c r="AL213" s="927"/>
      <c r="AM213" s="927"/>
      <c r="AN213" s="927"/>
      <c r="AO213" s="927"/>
      <c r="AP213" s="927"/>
      <c r="AQ213" s="927"/>
      <c r="AR213" s="927"/>
      <c r="AS213" s="927"/>
      <c r="AT213" s="927"/>
      <c r="AU213" s="927"/>
      <c r="AV213" s="927"/>
      <c r="AW213" s="927"/>
      <c r="AX213" s="927"/>
      <c r="AY213" s="927"/>
      <c r="AZ213" s="927"/>
      <c r="BA213" s="927"/>
      <c r="BB213" s="927"/>
      <c r="BC213" s="927"/>
      <c r="BD213" s="927"/>
      <c r="BE213" s="927"/>
      <c r="BF213" s="927"/>
      <c r="BG213" s="927"/>
      <c r="BH213" s="927"/>
      <c r="BI213" s="927"/>
      <c r="BJ213" s="927"/>
      <c r="BK213" s="927"/>
      <c r="BL213" s="927"/>
      <c r="BM213" s="927"/>
      <c r="BN213" s="927"/>
      <c r="BO213" s="927"/>
      <c r="BP213" s="927"/>
      <c r="BQ213" s="927"/>
      <c r="BR213" s="927"/>
      <c r="BS213" s="927"/>
      <c r="BT213" s="927"/>
    </row>
    <row r="214" spans="1:72" x14ac:dyDescent="0.25">
      <c r="A214" s="927" t="s">
        <v>651</v>
      </c>
      <c r="B214" s="927"/>
      <c r="C214" s="927"/>
      <c r="D214" s="927"/>
      <c r="E214" s="927"/>
      <c r="F214" s="927"/>
      <c r="G214" s="927"/>
      <c r="H214" s="927"/>
      <c r="I214" s="927"/>
      <c r="J214" s="927"/>
      <c r="K214" s="927"/>
      <c r="L214" s="927"/>
      <c r="M214" s="927"/>
      <c r="N214" s="927"/>
      <c r="O214" s="927"/>
      <c r="P214" s="927"/>
      <c r="Q214" s="927"/>
      <c r="R214" s="927"/>
      <c r="S214" s="927"/>
      <c r="T214" s="927"/>
      <c r="U214" s="927"/>
      <c r="V214" s="927"/>
      <c r="W214" s="927"/>
      <c r="X214" s="927"/>
      <c r="Y214" s="927"/>
      <c r="Z214" s="927"/>
      <c r="AA214" s="927"/>
      <c r="AB214" s="927"/>
      <c r="AC214" s="927"/>
      <c r="AD214" s="927"/>
      <c r="AE214" s="927"/>
      <c r="AF214" s="927"/>
      <c r="AG214" s="927"/>
      <c r="AH214" s="927"/>
      <c r="AI214" s="927"/>
      <c r="AJ214" s="927"/>
      <c r="AK214" s="927"/>
      <c r="AL214" s="927"/>
      <c r="AM214" s="927"/>
      <c r="AN214" s="927"/>
      <c r="AO214" s="927"/>
      <c r="AP214" s="927"/>
      <c r="AQ214" s="927"/>
      <c r="AR214" s="927"/>
      <c r="AS214" s="927"/>
      <c r="AT214" s="927"/>
      <c r="AU214" s="927"/>
      <c r="AV214" s="927"/>
      <c r="AW214" s="927"/>
      <c r="AX214" s="927"/>
      <c r="AY214" s="927"/>
      <c r="AZ214" s="927"/>
      <c r="BA214" s="927"/>
      <c r="BB214" s="927"/>
      <c r="BC214" s="927"/>
      <c r="BD214" s="927"/>
      <c r="BE214" s="927"/>
      <c r="BF214" s="927"/>
      <c r="BG214" s="927"/>
      <c r="BH214" s="927"/>
      <c r="BI214" s="927"/>
      <c r="BJ214" s="927"/>
      <c r="BK214" s="927"/>
      <c r="BL214" s="927"/>
      <c r="BM214" s="927"/>
      <c r="BN214" s="927"/>
      <c r="BO214" s="927"/>
      <c r="BP214" s="927"/>
      <c r="BQ214" s="927"/>
      <c r="BR214" s="927"/>
      <c r="BS214" s="927"/>
      <c r="BT214" s="927"/>
    </row>
    <row r="215" spans="1:72" x14ac:dyDescent="0.25">
      <c r="A215" s="927" t="s">
        <v>652</v>
      </c>
      <c r="B215" s="927"/>
      <c r="C215" s="927"/>
      <c r="D215" s="927"/>
      <c r="E215" s="927"/>
      <c r="F215" s="927"/>
      <c r="G215" s="927"/>
      <c r="H215" s="927"/>
      <c r="I215" s="927"/>
      <c r="J215" s="927"/>
      <c r="K215" s="927"/>
      <c r="L215" s="927"/>
      <c r="M215" s="927"/>
      <c r="N215" s="927"/>
      <c r="O215" s="927"/>
      <c r="P215" s="927"/>
      <c r="Q215" s="927"/>
      <c r="R215" s="927"/>
      <c r="S215" s="927"/>
      <c r="T215" s="927"/>
      <c r="U215" s="927"/>
      <c r="V215" s="927"/>
      <c r="W215" s="927"/>
      <c r="X215" s="927"/>
      <c r="Y215" s="927"/>
      <c r="Z215" s="927"/>
      <c r="AA215" s="927"/>
      <c r="AB215" s="927"/>
      <c r="AC215" s="927"/>
      <c r="AD215" s="927"/>
      <c r="AE215" s="927"/>
      <c r="AF215" s="927"/>
      <c r="AG215" s="927"/>
      <c r="AH215" s="927"/>
      <c r="AI215" s="927"/>
      <c r="AJ215" s="927"/>
      <c r="AK215" s="927"/>
      <c r="AL215" s="927"/>
      <c r="AM215" s="927"/>
      <c r="AN215" s="927"/>
      <c r="AO215" s="927"/>
      <c r="AP215" s="927"/>
      <c r="AQ215" s="927"/>
      <c r="AR215" s="927"/>
      <c r="AS215" s="927"/>
      <c r="AT215" s="927"/>
      <c r="AU215" s="927"/>
      <c r="AV215" s="927"/>
      <c r="AW215" s="927"/>
      <c r="AX215" s="927"/>
      <c r="AY215" s="927"/>
      <c r="AZ215" s="927"/>
      <c r="BA215" s="927"/>
      <c r="BB215" s="927"/>
      <c r="BC215" s="927"/>
      <c r="BD215" s="927"/>
      <c r="BE215" s="927"/>
      <c r="BF215" s="927"/>
      <c r="BG215" s="927"/>
      <c r="BH215" s="927"/>
      <c r="BI215" s="927"/>
      <c r="BJ215" s="927"/>
      <c r="BK215" s="927"/>
      <c r="BL215" s="927"/>
      <c r="BM215" s="927"/>
      <c r="BN215" s="927"/>
      <c r="BO215" s="927"/>
      <c r="BP215" s="927"/>
      <c r="BQ215" s="927"/>
      <c r="BR215" s="927"/>
      <c r="BS215" s="927"/>
      <c r="BT215" s="927"/>
    </row>
    <row r="216" spans="1:72" x14ac:dyDescent="0.25">
      <c r="A216" s="927" t="s">
        <v>653</v>
      </c>
      <c r="B216" s="927"/>
      <c r="C216" s="927"/>
      <c r="D216" s="927"/>
      <c r="E216" s="927"/>
      <c r="F216" s="927"/>
      <c r="G216" s="927"/>
      <c r="H216" s="927"/>
      <c r="I216" s="927"/>
      <c r="J216" s="927"/>
      <c r="K216" s="927"/>
      <c r="L216" s="927"/>
      <c r="M216" s="927"/>
      <c r="N216" s="927"/>
      <c r="O216" s="927"/>
      <c r="P216" s="927"/>
      <c r="Q216" s="927"/>
      <c r="R216" s="927"/>
      <c r="S216" s="927"/>
      <c r="T216" s="927"/>
      <c r="U216" s="927"/>
      <c r="V216" s="927"/>
      <c r="W216" s="927"/>
      <c r="X216" s="927"/>
      <c r="Y216" s="927"/>
      <c r="Z216" s="927"/>
      <c r="AA216" s="927"/>
      <c r="AB216" s="927"/>
      <c r="AC216" s="927"/>
      <c r="AD216" s="927"/>
      <c r="AE216" s="927"/>
      <c r="AF216" s="927"/>
      <c r="AG216" s="927"/>
      <c r="AH216" s="927"/>
      <c r="AI216" s="927"/>
      <c r="AJ216" s="927"/>
      <c r="AK216" s="927"/>
      <c r="AL216" s="927"/>
      <c r="AM216" s="927"/>
      <c r="AN216" s="927"/>
      <c r="AO216" s="927"/>
      <c r="AP216" s="927"/>
      <c r="AQ216" s="927"/>
      <c r="AR216" s="927"/>
      <c r="AS216" s="927"/>
      <c r="AT216" s="927"/>
      <c r="AU216" s="927"/>
      <c r="AV216" s="927"/>
      <c r="AW216" s="927"/>
      <c r="AX216" s="927"/>
      <c r="AY216" s="927"/>
      <c r="AZ216" s="927"/>
      <c r="BA216" s="927"/>
      <c r="BB216" s="927"/>
      <c r="BC216" s="927"/>
      <c r="BD216" s="927"/>
      <c r="BE216" s="927"/>
      <c r="BF216" s="927"/>
      <c r="BG216" s="927"/>
      <c r="BH216" s="927"/>
      <c r="BI216" s="927"/>
      <c r="BJ216" s="927"/>
      <c r="BK216" s="927"/>
      <c r="BL216" s="927"/>
      <c r="BM216" s="927"/>
      <c r="BN216" s="927"/>
      <c r="BO216" s="927"/>
      <c r="BP216" s="927"/>
      <c r="BQ216" s="927"/>
      <c r="BR216" s="927"/>
      <c r="BS216" s="927"/>
      <c r="BT216" s="927"/>
    </row>
    <row r="217" spans="1:72" x14ac:dyDescent="0.25">
      <c r="A217" s="927" t="s">
        <v>654</v>
      </c>
      <c r="B217" s="927"/>
      <c r="C217" s="927"/>
      <c r="D217" s="927"/>
      <c r="E217" s="927"/>
      <c r="F217" s="927"/>
      <c r="G217" s="927"/>
      <c r="H217" s="927"/>
      <c r="I217" s="927"/>
      <c r="J217" s="927"/>
      <c r="K217" s="927"/>
      <c r="L217" s="927"/>
      <c r="M217" s="927"/>
      <c r="N217" s="927"/>
      <c r="O217" s="927"/>
      <c r="P217" s="927"/>
      <c r="Q217" s="927"/>
      <c r="R217" s="927"/>
      <c r="S217" s="927"/>
      <c r="T217" s="927"/>
      <c r="U217" s="927"/>
      <c r="V217" s="927"/>
      <c r="W217" s="927"/>
      <c r="X217" s="927"/>
      <c r="Y217" s="927"/>
      <c r="Z217" s="927"/>
      <c r="AA217" s="927"/>
      <c r="AB217" s="927"/>
      <c r="AC217" s="927"/>
      <c r="AD217" s="927"/>
      <c r="AE217" s="927"/>
      <c r="AF217" s="927"/>
      <c r="AG217" s="927"/>
      <c r="AH217" s="927"/>
      <c r="AI217" s="927"/>
      <c r="AJ217" s="927"/>
      <c r="AK217" s="927"/>
      <c r="AL217" s="927"/>
      <c r="AM217" s="927"/>
      <c r="AN217" s="927"/>
      <c r="AO217" s="927"/>
      <c r="AP217" s="927"/>
      <c r="AQ217" s="927"/>
      <c r="AR217" s="927"/>
      <c r="AS217" s="927"/>
      <c r="AT217" s="927"/>
      <c r="AU217" s="927"/>
      <c r="AV217" s="927"/>
      <c r="AW217" s="927"/>
      <c r="AX217" s="927"/>
      <c r="AY217" s="927"/>
      <c r="AZ217" s="927"/>
      <c r="BA217" s="927"/>
      <c r="BB217" s="927"/>
      <c r="BC217" s="927"/>
      <c r="BD217" s="927"/>
      <c r="BE217" s="927"/>
      <c r="BF217" s="927"/>
      <c r="BG217" s="927"/>
      <c r="BH217" s="927"/>
      <c r="BI217" s="927"/>
      <c r="BJ217" s="927"/>
      <c r="BK217" s="927"/>
      <c r="BL217" s="927"/>
      <c r="BM217" s="927"/>
      <c r="BN217" s="927"/>
      <c r="BO217" s="927"/>
      <c r="BP217" s="927"/>
      <c r="BQ217" s="927"/>
      <c r="BR217" s="927"/>
      <c r="BS217" s="927"/>
      <c r="BT217" s="927"/>
    </row>
    <row r="218" spans="1:72" x14ac:dyDescent="0.25">
      <c r="A218" s="927" t="s">
        <v>545</v>
      </c>
      <c r="B218" s="927"/>
      <c r="C218" s="927"/>
      <c r="D218" s="927"/>
      <c r="E218" s="927"/>
      <c r="F218" s="927"/>
      <c r="G218" s="927"/>
      <c r="H218" s="927"/>
      <c r="I218" s="927"/>
      <c r="J218" s="927"/>
      <c r="K218" s="927"/>
      <c r="L218" s="927"/>
      <c r="M218" s="927"/>
      <c r="N218" s="927"/>
      <c r="O218" s="927"/>
      <c r="P218" s="927"/>
      <c r="Q218" s="927"/>
      <c r="R218" s="927"/>
      <c r="S218" s="927"/>
      <c r="T218" s="927"/>
      <c r="U218" s="927"/>
      <c r="V218" s="927"/>
      <c r="W218" s="927"/>
      <c r="X218" s="927"/>
      <c r="Y218" s="927"/>
      <c r="Z218" s="927"/>
      <c r="AA218" s="927"/>
      <c r="AB218" s="927"/>
      <c r="AC218" s="927"/>
      <c r="AD218" s="927"/>
      <c r="AE218" s="927"/>
      <c r="AF218" s="927"/>
      <c r="AG218" s="927"/>
      <c r="AH218" s="927"/>
      <c r="AI218" s="927"/>
      <c r="AJ218" s="927"/>
      <c r="AK218" s="927"/>
      <c r="AL218" s="927"/>
      <c r="AM218" s="927"/>
      <c r="AN218" s="927"/>
      <c r="AO218" s="927"/>
      <c r="AP218" s="927"/>
      <c r="AQ218" s="927"/>
      <c r="AR218" s="927"/>
      <c r="AS218" s="927"/>
      <c r="AT218" s="927"/>
      <c r="AU218" s="927"/>
      <c r="AV218" s="927"/>
      <c r="AW218" s="927"/>
      <c r="AX218" s="927"/>
      <c r="AY218" s="927"/>
      <c r="AZ218" s="927"/>
      <c r="BA218" s="927"/>
      <c r="BB218" s="927"/>
      <c r="BC218" s="927"/>
      <c r="BD218" s="927"/>
      <c r="BE218" s="927"/>
      <c r="BF218" s="927"/>
      <c r="BG218" s="927"/>
      <c r="BH218" s="927"/>
      <c r="BI218" s="927"/>
      <c r="BJ218" s="927"/>
      <c r="BK218" s="927"/>
      <c r="BL218" s="927"/>
      <c r="BM218" s="927"/>
      <c r="BN218" s="927"/>
      <c r="BO218" s="927"/>
      <c r="BP218" s="927"/>
      <c r="BQ218" s="927"/>
      <c r="BR218" s="927"/>
      <c r="BS218" s="927"/>
      <c r="BT218" s="927"/>
    </row>
    <row r="219" spans="1:72" x14ac:dyDescent="0.25">
      <c r="A219" s="927" t="s">
        <v>730</v>
      </c>
      <c r="B219" s="927"/>
      <c r="C219" s="927"/>
      <c r="D219" s="927"/>
      <c r="E219" s="927"/>
      <c r="F219" s="927"/>
      <c r="G219" s="927"/>
      <c r="H219" s="927"/>
      <c r="I219" s="927"/>
      <c r="J219" s="927"/>
      <c r="K219" s="927"/>
      <c r="L219" s="927"/>
      <c r="M219" s="927"/>
      <c r="N219" s="927"/>
      <c r="O219" s="927"/>
      <c r="P219" s="927"/>
      <c r="Q219" s="927"/>
      <c r="R219" s="927"/>
      <c r="S219" s="927"/>
      <c r="T219" s="927"/>
      <c r="U219" s="927"/>
      <c r="V219" s="927"/>
      <c r="W219" s="927"/>
      <c r="X219" s="927"/>
      <c r="Y219" s="927"/>
      <c r="Z219" s="927"/>
      <c r="AA219" s="927"/>
      <c r="AB219" s="927"/>
      <c r="AC219" s="927"/>
      <c r="AD219" s="927"/>
      <c r="AE219" s="927"/>
      <c r="AF219" s="927"/>
      <c r="AG219" s="927"/>
      <c r="AH219" s="927"/>
      <c r="AI219" s="927"/>
      <c r="AJ219" s="927"/>
      <c r="AK219" s="927"/>
      <c r="AL219" s="927"/>
      <c r="AM219" s="927"/>
      <c r="AN219" s="927"/>
      <c r="AO219" s="927"/>
      <c r="AP219" s="927"/>
      <c r="AQ219" s="927"/>
      <c r="AR219" s="927"/>
      <c r="AS219" s="927"/>
      <c r="AT219" s="927"/>
      <c r="AU219" s="927"/>
      <c r="AV219" s="927"/>
      <c r="AW219" s="927"/>
      <c r="AX219" s="927"/>
      <c r="AY219" s="927"/>
      <c r="AZ219" s="927"/>
      <c r="BA219" s="927"/>
      <c r="BB219" s="927"/>
      <c r="BC219" s="927"/>
      <c r="BD219" s="927"/>
      <c r="BE219" s="927"/>
      <c r="BF219" s="927"/>
      <c r="BG219" s="927"/>
      <c r="BH219" s="927"/>
      <c r="BI219" s="927"/>
      <c r="BJ219" s="927"/>
      <c r="BK219" s="927"/>
      <c r="BL219" s="927"/>
      <c r="BM219" s="927"/>
      <c r="BN219" s="927"/>
      <c r="BO219" s="927"/>
      <c r="BP219" s="927"/>
      <c r="BQ219" s="927"/>
      <c r="BR219" s="927"/>
      <c r="BS219" s="927"/>
      <c r="BT219" s="927"/>
    </row>
    <row r="220" spans="1:72" x14ac:dyDescent="0.25">
      <c r="A220" s="927" t="s">
        <v>792</v>
      </c>
      <c r="B220" s="927"/>
      <c r="C220" s="927"/>
      <c r="D220" s="927"/>
      <c r="E220" s="927"/>
      <c r="F220" s="927"/>
      <c r="G220" s="927"/>
      <c r="H220" s="927"/>
      <c r="I220" s="927"/>
      <c r="J220" s="927"/>
      <c r="K220" s="927"/>
      <c r="L220" s="927"/>
      <c r="M220" s="927"/>
      <c r="N220" s="927"/>
      <c r="O220" s="927"/>
      <c r="P220" s="927"/>
      <c r="Q220" s="927"/>
      <c r="R220" s="927"/>
      <c r="S220" s="927"/>
      <c r="T220" s="927"/>
      <c r="U220" s="927"/>
      <c r="V220" s="927"/>
      <c r="W220" s="927"/>
      <c r="X220" s="927"/>
      <c r="Y220" s="927"/>
      <c r="Z220" s="927"/>
      <c r="AA220" s="927"/>
      <c r="AB220" s="927"/>
      <c r="AC220" s="927"/>
      <c r="AD220" s="927"/>
      <c r="AE220" s="927"/>
      <c r="AF220" s="927"/>
      <c r="AG220" s="927"/>
      <c r="AH220" s="927"/>
      <c r="AI220" s="927"/>
      <c r="AJ220" s="927"/>
      <c r="AK220" s="927"/>
      <c r="AL220" s="927"/>
      <c r="AM220" s="927"/>
      <c r="AN220" s="927"/>
      <c r="AO220" s="927"/>
      <c r="AP220" s="927"/>
      <c r="AQ220" s="927"/>
      <c r="AR220" s="927"/>
      <c r="AS220" s="927"/>
      <c r="AT220" s="927"/>
      <c r="AU220" s="927"/>
      <c r="AV220" s="927"/>
      <c r="AW220" s="927"/>
      <c r="AX220" s="927"/>
      <c r="AY220" s="927"/>
      <c r="AZ220" s="927"/>
      <c r="BA220" s="927"/>
      <c r="BB220" s="927"/>
      <c r="BC220" s="927"/>
      <c r="BD220" s="927"/>
      <c r="BE220" s="927"/>
      <c r="BF220" s="927"/>
      <c r="BG220" s="927"/>
      <c r="BH220" s="927"/>
      <c r="BI220" s="927"/>
      <c r="BJ220" s="927"/>
      <c r="BK220" s="927"/>
      <c r="BL220" s="927"/>
      <c r="BM220" s="927"/>
      <c r="BN220" s="927"/>
      <c r="BO220" s="927"/>
      <c r="BP220" s="927"/>
      <c r="BQ220" s="927"/>
      <c r="BR220" s="927"/>
      <c r="BS220" s="927"/>
      <c r="BT220" s="927"/>
    </row>
    <row r="221" spans="1:72" x14ac:dyDescent="0.25">
      <c r="A221" s="927" t="s">
        <v>793</v>
      </c>
      <c r="B221" s="927"/>
      <c r="C221" s="927"/>
      <c r="D221" s="927"/>
      <c r="E221" s="927"/>
      <c r="F221" s="927"/>
      <c r="G221" s="927"/>
      <c r="H221" s="927"/>
      <c r="I221" s="927"/>
      <c r="J221" s="927"/>
      <c r="K221" s="927"/>
      <c r="L221" s="927"/>
      <c r="M221" s="927"/>
      <c r="N221" s="927"/>
      <c r="O221" s="927"/>
      <c r="P221" s="927"/>
      <c r="Q221" s="927"/>
      <c r="R221" s="927"/>
      <c r="S221" s="927"/>
      <c r="T221" s="927"/>
      <c r="U221" s="927"/>
      <c r="V221" s="927"/>
      <c r="W221" s="927"/>
      <c r="X221" s="927"/>
      <c r="Y221" s="927"/>
      <c r="Z221" s="927"/>
      <c r="AA221" s="927"/>
      <c r="AB221" s="927"/>
      <c r="AC221" s="927"/>
      <c r="AD221" s="927"/>
      <c r="AE221" s="927"/>
      <c r="AF221" s="927"/>
      <c r="AG221" s="927"/>
      <c r="AH221" s="927"/>
      <c r="AI221" s="927"/>
      <c r="AJ221" s="927"/>
      <c r="AK221" s="927"/>
      <c r="AL221" s="927"/>
      <c r="AM221" s="927"/>
      <c r="AN221" s="927"/>
      <c r="AO221" s="927"/>
      <c r="AP221" s="927"/>
      <c r="AQ221" s="927"/>
      <c r="AR221" s="927"/>
      <c r="AS221" s="927"/>
      <c r="AT221" s="927"/>
      <c r="AU221" s="927"/>
      <c r="AV221" s="927"/>
      <c r="AW221" s="927"/>
      <c r="AX221" s="927"/>
      <c r="AY221" s="927"/>
      <c r="AZ221" s="927"/>
      <c r="BA221" s="927"/>
      <c r="BB221" s="927"/>
      <c r="BC221" s="927"/>
      <c r="BD221" s="927"/>
      <c r="BE221" s="927"/>
      <c r="BF221" s="927"/>
      <c r="BG221" s="927"/>
      <c r="BH221" s="927"/>
      <c r="BI221" s="927"/>
      <c r="BJ221" s="927"/>
      <c r="BK221" s="927"/>
      <c r="BL221" s="927"/>
      <c r="BM221" s="927"/>
      <c r="BN221" s="927"/>
      <c r="BO221" s="927"/>
      <c r="BP221" s="927"/>
      <c r="BQ221" s="927"/>
      <c r="BR221" s="927"/>
      <c r="BS221" s="927"/>
      <c r="BT221" s="927"/>
    </row>
    <row r="222" spans="1:72" x14ac:dyDescent="0.25">
      <c r="A222" s="927" t="s">
        <v>794</v>
      </c>
      <c r="B222" s="927"/>
      <c r="C222" s="927"/>
      <c r="D222" s="927"/>
      <c r="E222" s="927"/>
      <c r="F222" s="927"/>
      <c r="G222" s="927"/>
      <c r="H222" s="927"/>
      <c r="I222" s="927"/>
      <c r="J222" s="927"/>
      <c r="K222" s="927"/>
      <c r="L222" s="927"/>
      <c r="M222" s="927"/>
      <c r="N222" s="927"/>
      <c r="O222" s="927"/>
      <c r="P222" s="927"/>
      <c r="Q222" s="927"/>
      <c r="R222" s="927"/>
      <c r="S222" s="927"/>
      <c r="T222" s="927"/>
      <c r="U222" s="927"/>
      <c r="V222" s="927"/>
      <c r="W222" s="927"/>
      <c r="X222" s="927"/>
      <c r="Y222" s="927"/>
      <c r="Z222" s="927"/>
      <c r="AA222" s="927"/>
      <c r="AB222" s="927"/>
      <c r="AC222" s="927"/>
      <c r="AD222" s="927"/>
      <c r="AE222" s="927"/>
      <c r="AF222" s="927"/>
      <c r="AG222" s="927"/>
      <c r="AH222" s="927"/>
      <c r="AI222" s="927"/>
      <c r="AJ222" s="927"/>
      <c r="AK222" s="927"/>
      <c r="AL222" s="927"/>
      <c r="AM222" s="927"/>
      <c r="AN222" s="927"/>
      <c r="AO222" s="927"/>
      <c r="AP222" s="927"/>
      <c r="AQ222" s="927"/>
      <c r="AR222" s="927"/>
      <c r="AS222" s="927"/>
      <c r="AT222" s="927"/>
      <c r="AU222" s="927"/>
      <c r="AV222" s="927"/>
      <c r="AW222" s="927"/>
      <c r="AX222" s="927"/>
      <c r="AY222" s="927"/>
      <c r="AZ222" s="927"/>
      <c r="BA222" s="927"/>
      <c r="BB222" s="927"/>
      <c r="BC222" s="927"/>
      <c r="BD222" s="927"/>
      <c r="BE222" s="927"/>
      <c r="BF222" s="927"/>
      <c r="BG222" s="927"/>
      <c r="BH222" s="927"/>
      <c r="BI222" s="927"/>
      <c r="BJ222" s="927"/>
      <c r="BK222" s="927"/>
      <c r="BL222" s="927"/>
      <c r="BM222" s="927"/>
      <c r="BN222" s="927"/>
      <c r="BO222" s="927"/>
      <c r="BP222" s="927"/>
      <c r="BQ222" s="927"/>
      <c r="BR222" s="927"/>
      <c r="BS222" s="927"/>
      <c r="BT222" s="927"/>
    </row>
    <row r="223" spans="1:72" x14ac:dyDescent="0.25">
      <c r="A223" s="927" t="s">
        <v>795</v>
      </c>
      <c r="B223" s="927"/>
      <c r="C223" s="927"/>
      <c r="D223" s="927"/>
      <c r="E223" s="927"/>
      <c r="F223" s="927"/>
      <c r="G223" s="927"/>
      <c r="H223" s="927"/>
      <c r="I223" s="927"/>
      <c r="J223" s="927"/>
      <c r="K223" s="927"/>
      <c r="L223" s="927"/>
      <c r="M223" s="927"/>
      <c r="N223" s="927"/>
      <c r="O223" s="927"/>
      <c r="P223" s="927"/>
      <c r="Q223" s="927"/>
      <c r="R223" s="927"/>
      <c r="S223" s="927"/>
      <c r="T223" s="927"/>
      <c r="U223" s="927"/>
      <c r="V223" s="927"/>
      <c r="W223" s="927"/>
      <c r="X223" s="927"/>
      <c r="Y223" s="927"/>
      <c r="Z223" s="927"/>
      <c r="AA223" s="927"/>
      <c r="AB223" s="927"/>
      <c r="AC223" s="927"/>
      <c r="AD223" s="927"/>
      <c r="AE223" s="927"/>
      <c r="AF223" s="927"/>
      <c r="AG223" s="927"/>
      <c r="AH223" s="927"/>
      <c r="AI223" s="927"/>
      <c r="AJ223" s="927"/>
      <c r="AK223" s="927"/>
      <c r="AL223" s="927"/>
      <c r="AM223" s="927"/>
      <c r="AN223" s="927"/>
      <c r="AO223" s="927"/>
      <c r="AP223" s="927"/>
      <c r="AQ223" s="927"/>
      <c r="AR223" s="927"/>
      <c r="AS223" s="927"/>
      <c r="AT223" s="927"/>
      <c r="AU223" s="927"/>
      <c r="AV223" s="927"/>
      <c r="AW223" s="927"/>
      <c r="AX223" s="927"/>
      <c r="AY223" s="927"/>
      <c r="AZ223" s="927"/>
      <c r="BA223" s="927"/>
      <c r="BB223" s="927"/>
      <c r="BC223" s="927"/>
      <c r="BD223" s="927"/>
      <c r="BE223" s="927"/>
      <c r="BF223" s="927"/>
      <c r="BG223" s="927"/>
      <c r="BH223" s="927"/>
      <c r="BI223" s="927"/>
      <c r="BJ223" s="927"/>
      <c r="BK223" s="927"/>
      <c r="BL223" s="927"/>
      <c r="BM223" s="927"/>
      <c r="BN223" s="927"/>
      <c r="BO223" s="927"/>
      <c r="BP223" s="927"/>
      <c r="BQ223" s="927"/>
      <c r="BR223" s="927"/>
      <c r="BS223" s="927"/>
      <c r="BT223" s="927"/>
    </row>
    <row r="224" spans="1:72" x14ac:dyDescent="0.25">
      <c r="A224" s="927" t="s">
        <v>796</v>
      </c>
      <c r="B224" s="927"/>
      <c r="C224" s="927"/>
      <c r="D224" s="927"/>
      <c r="E224" s="927"/>
      <c r="F224" s="927"/>
      <c r="G224" s="927"/>
      <c r="H224" s="927"/>
      <c r="I224" s="927"/>
      <c r="J224" s="927"/>
      <c r="K224" s="927"/>
      <c r="L224" s="927"/>
      <c r="M224" s="927"/>
      <c r="N224" s="927"/>
      <c r="O224" s="927"/>
      <c r="P224" s="927"/>
      <c r="Q224" s="927"/>
      <c r="R224" s="927"/>
      <c r="S224" s="927"/>
      <c r="T224" s="927"/>
      <c r="U224" s="927"/>
      <c r="V224" s="927"/>
      <c r="W224" s="927"/>
      <c r="X224" s="927"/>
      <c r="Y224" s="927"/>
      <c r="Z224" s="927"/>
      <c r="AA224" s="927"/>
      <c r="AB224" s="927"/>
      <c r="AC224" s="927"/>
      <c r="AD224" s="927"/>
      <c r="AE224" s="927"/>
      <c r="AF224" s="927"/>
      <c r="AG224" s="927"/>
      <c r="AH224" s="927"/>
      <c r="AI224" s="927"/>
      <c r="AJ224" s="927"/>
      <c r="AK224" s="927"/>
      <c r="AL224" s="927"/>
      <c r="AM224" s="927"/>
      <c r="AN224" s="927"/>
      <c r="AO224" s="927"/>
      <c r="AP224" s="927"/>
      <c r="AQ224" s="927"/>
      <c r="AR224" s="927"/>
      <c r="AS224" s="927"/>
      <c r="AT224" s="927"/>
      <c r="AU224" s="927"/>
      <c r="AV224" s="927"/>
      <c r="AW224" s="927"/>
      <c r="AX224" s="927"/>
      <c r="AY224" s="927"/>
      <c r="AZ224" s="927"/>
      <c r="BA224" s="927"/>
      <c r="BB224" s="927"/>
      <c r="BC224" s="927"/>
      <c r="BD224" s="927"/>
      <c r="BE224" s="927"/>
      <c r="BF224" s="927"/>
      <c r="BG224" s="927"/>
      <c r="BH224" s="927"/>
      <c r="BI224" s="927"/>
      <c r="BJ224" s="927"/>
      <c r="BK224" s="927"/>
      <c r="BL224" s="927"/>
      <c r="BM224" s="927"/>
      <c r="BN224" s="927"/>
      <c r="BO224" s="927"/>
      <c r="BP224" s="927"/>
      <c r="BQ224" s="927"/>
      <c r="BR224" s="927"/>
      <c r="BS224" s="927"/>
      <c r="BT224" s="927"/>
    </row>
    <row r="225" spans="1:72" x14ac:dyDescent="0.25">
      <c r="A225" s="927" t="s">
        <v>797</v>
      </c>
      <c r="B225" s="927"/>
      <c r="C225" s="927"/>
      <c r="D225" s="927"/>
      <c r="E225" s="927"/>
      <c r="F225" s="927"/>
      <c r="G225" s="927"/>
      <c r="H225" s="927"/>
      <c r="I225" s="927"/>
      <c r="J225" s="927"/>
      <c r="K225" s="927"/>
      <c r="L225" s="927"/>
      <c r="M225" s="927"/>
      <c r="N225" s="927"/>
      <c r="O225" s="927"/>
      <c r="P225" s="927"/>
      <c r="Q225" s="927"/>
      <c r="R225" s="927"/>
      <c r="S225" s="927"/>
      <c r="T225" s="927"/>
      <c r="U225" s="927"/>
      <c r="V225" s="927"/>
      <c r="W225" s="927"/>
      <c r="X225" s="927"/>
      <c r="Y225" s="927"/>
      <c r="Z225" s="927"/>
      <c r="AA225" s="927"/>
      <c r="AB225" s="927"/>
      <c r="AC225" s="927"/>
      <c r="AD225" s="927"/>
      <c r="AE225" s="927"/>
      <c r="AF225" s="927"/>
      <c r="AG225" s="927"/>
      <c r="AH225" s="927"/>
      <c r="AI225" s="927"/>
      <c r="AJ225" s="927"/>
      <c r="AK225" s="927"/>
      <c r="AL225" s="927"/>
      <c r="AM225" s="927"/>
      <c r="AN225" s="927"/>
      <c r="AO225" s="927"/>
      <c r="AP225" s="927"/>
      <c r="AQ225" s="927"/>
      <c r="AR225" s="927"/>
      <c r="AS225" s="927"/>
      <c r="AT225" s="927"/>
      <c r="AU225" s="927"/>
      <c r="AV225" s="927"/>
      <c r="AW225" s="927"/>
      <c r="AX225" s="927"/>
      <c r="AY225" s="927"/>
      <c r="AZ225" s="927"/>
      <c r="BA225" s="927"/>
      <c r="BB225" s="927"/>
      <c r="BC225" s="927"/>
      <c r="BD225" s="927"/>
      <c r="BE225" s="927"/>
      <c r="BF225" s="927"/>
      <c r="BG225" s="927"/>
      <c r="BH225" s="927"/>
      <c r="BI225" s="927"/>
      <c r="BJ225" s="927"/>
      <c r="BK225" s="927"/>
      <c r="BL225" s="927"/>
      <c r="BM225" s="927"/>
      <c r="BN225" s="927"/>
      <c r="BO225" s="927"/>
      <c r="BP225" s="927"/>
      <c r="BQ225" s="927"/>
      <c r="BR225" s="927"/>
      <c r="BS225" s="927"/>
      <c r="BT225" s="927"/>
    </row>
    <row r="226" spans="1:72" x14ac:dyDescent="0.25">
      <c r="A226" s="927" t="s">
        <v>798</v>
      </c>
      <c r="B226" s="927"/>
      <c r="C226" s="927"/>
      <c r="D226" s="927"/>
      <c r="E226" s="927"/>
      <c r="F226" s="927"/>
      <c r="G226" s="927"/>
      <c r="H226" s="927"/>
      <c r="I226" s="927"/>
      <c r="J226" s="927"/>
      <c r="K226" s="927"/>
      <c r="L226" s="927"/>
      <c r="M226" s="927"/>
      <c r="N226" s="927"/>
      <c r="O226" s="927"/>
      <c r="P226" s="927"/>
      <c r="Q226" s="927"/>
      <c r="R226" s="927"/>
      <c r="S226" s="927"/>
      <c r="T226" s="927"/>
      <c r="U226" s="927"/>
      <c r="V226" s="927"/>
      <c r="W226" s="927"/>
      <c r="X226" s="927"/>
      <c r="Y226" s="927"/>
      <c r="Z226" s="927"/>
      <c r="AA226" s="927"/>
      <c r="AB226" s="927"/>
      <c r="AC226" s="927"/>
      <c r="AD226" s="927"/>
      <c r="AE226" s="927"/>
      <c r="AF226" s="927"/>
      <c r="AG226" s="927"/>
      <c r="AH226" s="927"/>
      <c r="AI226" s="927"/>
      <c r="AJ226" s="927"/>
      <c r="AK226" s="927"/>
      <c r="AL226" s="927"/>
      <c r="AM226" s="927"/>
      <c r="AN226" s="927"/>
      <c r="AO226" s="927"/>
      <c r="AP226" s="927"/>
      <c r="AQ226" s="927"/>
      <c r="AR226" s="927"/>
      <c r="AS226" s="927"/>
      <c r="AT226" s="927"/>
      <c r="AU226" s="927"/>
      <c r="AV226" s="927"/>
      <c r="AW226" s="927"/>
      <c r="AX226" s="927"/>
      <c r="AY226" s="927"/>
      <c r="AZ226" s="927"/>
      <c r="BA226" s="927"/>
      <c r="BB226" s="927"/>
      <c r="BC226" s="927"/>
      <c r="BD226" s="927"/>
      <c r="BE226" s="927"/>
      <c r="BF226" s="927"/>
      <c r="BG226" s="927"/>
      <c r="BH226" s="927"/>
      <c r="BI226" s="927"/>
      <c r="BJ226" s="927"/>
      <c r="BK226" s="927"/>
      <c r="BL226" s="927"/>
      <c r="BM226" s="927"/>
      <c r="BN226" s="927"/>
      <c r="BO226" s="927"/>
      <c r="BP226" s="927"/>
      <c r="BQ226" s="927"/>
      <c r="BR226" s="927"/>
      <c r="BS226" s="927"/>
      <c r="BT226" s="927"/>
    </row>
    <row r="227" spans="1:72" x14ac:dyDescent="0.25">
      <c r="A227" s="927" t="s">
        <v>799</v>
      </c>
      <c r="B227" s="927"/>
      <c r="C227" s="927"/>
      <c r="D227" s="927"/>
      <c r="E227" s="927"/>
      <c r="F227" s="927"/>
      <c r="G227" s="927"/>
      <c r="H227" s="927"/>
      <c r="I227" s="927"/>
      <c r="J227" s="927"/>
      <c r="K227" s="927"/>
      <c r="L227" s="927"/>
      <c r="M227" s="927"/>
      <c r="N227" s="927"/>
      <c r="O227" s="927"/>
      <c r="P227" s="927"/>
      <c r="Q227" s="927"/>
      <c r="R227" s="927"/>
      <c r="S227" s="927"/>
      <c r="T227" s="927"/>
      <c r="U227" s="927"/>
      <c r="V227" s="927"/>
      <c r="W227" s="927"/>
      <c r="X227" s="927"/>
      <c r="Y227" s="927"/>
      <c r="Z227" s="927"/>
      <c r="AA227" s="927"/>
      <c r="AB227" s="927"/>
      <c r="AC227" s="927"/>
      <c r="AD227" s="927"/>
      <c r="AE227" s="927"/>
      <c r="AF227" s="927"/>
      <c r="AG227" s="927"/>
      <c r="AH227" s="927"/>
      <c r="AI227" s="927"/>
      <c r="AJ227" s="927"/>
      <c r="AK227" s="927"/>
      <c r="AL227" s="927"/>
      <c r="AM227" s="927"/>
      <c r="AN227" s="927"/>
      <c r="AO227" s="927"/>
      <c r="AP227" s="927"/>
      <c r="AQ227" s="927"/>
      <c r="AR227" s="927"/>
      <c r="AS227" s="927"/>
      <c r="AT227" s="927"/>
      <c r="AU227" s="927"/>
      <c r="AV227" s="927"/>
      <c r="AW227" s="927"/>
      <c r="AX227" s="927"/>
      <c r="AY227" s="927"/>
      <c r="AZ227" s="927"/>
      <c r="BA227" s="927"/>
      <c r="BB227" s="927"/>
      <c r="BC227" s="927"/>
      <c r="BD227" s="927"/>
      <c r="BE227" s="927"/>
      <c r="BF227" s="927"/>
      <c r="BG227" s="927"/>
      <c r="BH227" s="927"/>
      <c r="BI227" s="927"/>
      <c r="BJ227" s="927"/>
      <c r="BK227" s="927"/>
      <c r="BL227" s="927"/>
      <c r="BM227" s="927"/>
      <c r="BN227" s="927"/>
      <c r="BO227" s="927"/>
      <c r="BP227" s="927"/>
      <c r="BQ227" s="927"/>
      <c r="BR227" s="927"/>
      <c r="BS227" s="927"/>
      <c r="BT227" s="927"/>
    </row>
    <row r="228" spans="1:72" x14ac:dyDescent="0.25">
      <c r="A228" s="927" t="s">
        <v>800</v>
      </c>
      <c r="B228" s="927"/>
      <c r="C228" s="927"/>
      <c r="D228" s="927"/>
      <c r="E228" s="927"/>
      <c r="F228" s="927"/>
      <c r="G228" s="927"/>
      <c r="H228" s="927"/>
      <c r="I228" s="927"/>
      <c r="J228" s="927"/>
      <c r="K228" s="927"/>
      <c r="L228" s="927"/>
      <c r="M228" s="927"/>
      <c r="N228" s="927"/>
      <c r="O228" s="927"/>
      <c r="P228" s="927"/>
      <c r="Q228" s="927"/>
      <c r="R228" s="927"/>
      <c r="S228" s="927"/>
      <c r="T228" s="927"/>
      <c r="U228" s="927"/>
      <c r="V228" s="927"/>
      <c r="W228" s="927"/>
      <c r="X228" s="927"/>
      <c r="Y228" s="927"/>
      <c r="Z228" s="927"/>
      <c r="AA228" s="927"/>
      <c r="AB228" s="927"/>
      <c r="AC228" s="927"/>
      <c r="AD228" s="927"/>
      <c r="AE228" s="927"/>
      <c r="AF228" s="927"/>
      <c r="AG228" s="927"/>
      <c r="AH228" s="927"/>
      <c r="AI228" s="927"/>
      <c r="AJ228" s="927"/>
      <c r="AK228" s="927"/>
      <c r="AL228" s="927"/>
      <c r="AM228" s="927"/>
      <c r="AN228" s="927"/>
      <c r="AO228" s="927"/>
      <c r="AP228" s="927"/>
      <c r="AQ228" s="927"/>
      <c r="AR228" s="927"/>
      <c r="AS228" s="927"/>
      <c r="AT228" s="927"/>
      <c r="AU228" s="927"/>
      <c r="AV228" s="927"/>
      <c r="AW228" s="927"/>
      <c r="AX228" s="927"/>
      <c r="AY228" s="927"/>
      <c r="AZ228" s="927"/>
      <c r="BA228" s="927"/>
      <c r="BB228" s="927"/>
      <c r="BC228" s="927"/>
      <c r="BD228" s="927"/>
      <c r="BE228" s="927"/>
      <c r="BF228" s="927"/>
      <c r="BG228" s="927"/>
      <c r="BH228" s="927"/>
      <c r="BI228" s="927"/>
      <c r="BJ228" s="927"/>
      <c r="BK228" s="927"/>
      <c r="BL228" s="927"/>
      <c r="BM228" s="927"/>
      <c r="BN228" s="927"/>
      <c r="BO228" s="927"/>
      <c r="BP228" s="927"/>
      <c r="BQ228" s="927"/>
      <c r="BR228" s="927"/>
      <c r="BS228" s="927"/>
      <c r="BT228" s="927"/>
    </row>
    <row r="229" spans="1:72" x14ac:dyDescent="0.25">
      <c r="A229" s="927" t="s">
        <v>801</v>
      </c>
      <c r="B229" s="927"/>
      <c r="C229" s="927"/>
      <c r="D229" s="927"/>
      <c r="E229" s="927"/>
      <c r="F229" s="927"/>
      <c r="G229" s="927"/>
      <c r="H229" s="927"/>
      <c r="I229" s="927"/>
      <c r="J229" s="927"/>
      <c r="K229" s="927"/>
      <c r="L229" s="927"/>
      <c r="M229" s="927"/>
      <c r="N229" s="927"/>
      <c r="O229" s="927"/>
      <c r="P229" s="927"/>
      <c r="Q229" s="927"/>
      <c r="R229" s="927"/>
      <c r="S229" s="927"/>
      <c r="T229" s="927"/>
      <c r="U229" s="927"/>
      <c r="V229" s="927"/>
      <c r="W229" s="927"/>
      <c r="X229" s="927"/>
      <c r="Y229" s="927"/>
      <c r="Z229" s="927"/>
      <c r="AA229" s="927"/>
      <c r="AB229" s="927"/>
      <c r="AC229" s="927"/>
      <c r="AD229" s="927"/>
      <c r="AE229" s="927"/>
      <c r="AF229" s="927"/>
      <c r="AG229" s="927"/>
      <c r="AH229" s="927"/>
      <c r="AI229" s="927"/>
      <c r="AJ229" s="927"/>
      <c r="AK229" s="927"/>
      <c r="AL229" s="927"/>
      <c r="AM229" s="927"/>
      <c r="AN229" s="927"/>
      <c r="AO229" s="927"/>
      <c r="AP229" s="927"/>
      <c r="AQ229" s="927"/>
      <c r="AR229" s="927"/>
      <c r="AS229" s="927"/>
      <c r="AT229" s="927"/>
      <c r="AU229" s="927"/>
      <c r="AV229" s="927"/>
      <c r="AW229" s="927"/>
      <c r="AX229" s="927"/>
      <c r="AY229" s="927"/>
      <c r="AZ229" s="927"/>
      <c r="BA229" s="927"/>
      <c r="BB229" s="927"/>
      <c r="BC229" s="927"/>
      <c r="BD229" s="927"/>
      <c r="BE229" s="927"/>
      <c r="BF229" s="927"/>
      <c r="BG229" s="927"/>
      <c r="BH229" s="927"/>
      <c r="BI229" s="927"/>
      <c r="BJ229" s="927"/>
      <c r="BK229" s="927"/>
      <c r="BL229" s="927"/>
      <c r="BM229" s="927"/>
      <c r="BN229" s="927"/>
      <c r="BO229" s="927"/>
      <c r="BP229" s="927"/>
      <c r="BQ229" s="927"/>
      <c r="BR229" s="927"/>
      <c r="BS229" s="927"/>
      <c r="BT229" s="927"/>
    </row>
    <row r="230" spans="1:72" x14ac:dyDescent="0.25">
      <c r="A230" s="927" t="s">
        <v>802</v>
      </c>
      <c r="B230" s="927"/>
      <c r="C230" s="927"/>
      <c r="D230" s="927"/>
      <c r="E230" s="927"/>
      <c r="F230" s="927"/>
      <c r="G230" s="927"/>
      <c r="H230" s="927"/>
      <c r="I230" s="927"/>
      <c r="J230" s="927"/>
      <c r="K230" s="927"/>
      <c r="L230" s="927"/>
      <c r="M230" s="927"/>
      <c r="N230" s="927"/>
      <c r="O230" s="927"/>
      <c r="P230" s="927"/>
      <c r="Q230" s="927"/>
      <c r="R230" s="927"/>
      <c r="S230" s="927"/>
      <c r="T230" s="927"/>
      <c r="U230" s="927"/>
      <c r="V230" s="927"/>
      <c r="W230" s="927"/>
      <c r="X230" s="927"/>
      <c r="Y230" s="927"/>
      <c r="Z230" s="927"/>
      <c r="AA230" s="927"/>
      <c r="AB230" s="927"/>
      <c r="AC230" s="927"/>
      <c r="AD230" s="927"/>
      <c r="AE230" s="927"/>
      <c r="AF230" s="927"/>
      <c r="AG230" s="927"/>
      <c r="AH230" s="927"/>
      <c r="AI230" s="927"/>
      <c r="AJ230" s="927"/>
      <c r="AK230" s="927"/>
      <c r="AL230" s="927"/>
      <c r="AM230" s="927"/>
      <c r="AN230" s="927"/>
      <c r="AO230" s="927"/>
      <c r="AP230" s="927"/>
      <c r="AQ230" s="927"/>
      <c r="AR230" s="927"/>
      <c r="AS230" s="927"/>
      <c r="AT230" s="927"/>
      <c r="AU230" s="927"/>
      <c r="AV230" s="927"/>
      <c r="AW230" s="927"/>
      <c r="AX230" s="927"/>
      <c r="AY230" s="927"/>
      <c r="AZ230" s="927"/>
      <c r="BA230" s="927"/>
      <c r="BB230" s="927"/>
      <c r="BC230" s="927"/>
      <c r="BD230" s="927"/>
      <c r="BE230" s="927"/>
      <c r="BF230" s="927"/>
      <c r="BG230" s="927"/>
      <c r="BH230" s="927"/>
      <c r="BI230" s="927"/>
      <c r="BJ230" s="927"/>
      <c r="BK230" s="927"/>
      <c r="BL230" s="927"/>
      <c r="BM230" s="927"/>
      <c r="BN230" s="927"/>
      <c r="BO230" s="927"/>
      <c r="BP230" s="927"/>
      <c r="BQ230" s="927"/>
      <c r="BR230" s="927"/>
      <c r="BS230" s="927"/>
      <c r="BT230" s="927"/>
    </row>
    <row r="231" spans="1:72" x14ac:dyDescent="0.25">
      <c r="A231" s="927" t="s">
        <v>803</v>
      </c>
      <c r="B231" s="927"/>
      <c r="C231" s="927"/>
      <c r="D231" s="927"/>
      <c r="E231" s="927"/>
      <c r="F231" s="927"/>
      <c r="G231" s="927"/>
      <c r="H231" s="927"/>
      <c r="I231" s="927"/>
      <c r="J231" s="927"/>
      <c r="K231" s="927"/>
      <c r="L231" s="927"/>
      <c r="M231" s="927"/>
      <c r="N231" s="927"/>
      <c r="O231" s="927"/>
      <c r="P231" s="927"/>
      <c r="Q231" s="927"/>
      <c r="R231" s="927"/>
      <c r="S231" s="927"/>
      <c r="T231" s="927"/>
      <c r="U231" s="927"/>
      <c r="V231" s="927"/>
      <c r="W231" s="927"/>
      <c r="X231" s="927"/>
      <c r="Y231" s="927"/>
      <c r="Z231" s="927"/>
      <c r="AA231" s="927"/>
      <c r="AB231" s="927"/>
      <c r="AC231" s="927"/>
      <c r="AD231" s="927"/>
      <c r="AE231" s="927"/>
      <c r="AF231" s="927"/>
      <c r="AG231" s="927"/>
      <c r="AH231" s="927"/>
      <c r="AI231" s="927"/>
      <c r="AJ231" s="927"/>
      <c r="AK231" s="927"/>
      <c r="AL231" s="927"/>
      <c r="AM231" s="927"/>
      <c r="AN231" s="927"/>
      <c r="AO231" s="927"/>
      <c r="AP231" s="927"/>
      <c r="AQ231" s="927"/>
      <c r="AR231" s="927"/>
      <c r="AS231" s="927"/>
      <c r="AT231" s="927"/>
      <c r="AU231" s="927"/>
      <c r="AV231" s="927"/>
      <c r="AW231" s="927"/>
      <c r="AX231" s="927"/>
      <c r="AY231" s="927"/>
      <c r="AZ231" s="927"/>
      <c r="BA231" s="927"/>
      <c r="BB231" s="927"/>
      <c r="BC231" s="927"/>
      <c r="BD231" s="927"/>
      <c r="BE231" s="927"/>
      <c r="BF231" s="927"/>
      <c r="BG231" s="927"/>
      <c r="BH231" s="927"/>
      <c r="BI231" s="927"/>
      <c r="BJ231" s="927"/>
      <c r="BK231" s="927"/>
      <c r="BL231" s="927"/>
      <c r="BM231" s="927"/>
      <c r="BN231" s="927"/>
      <c r="BO231" s="927"/>
      <c r="BP231" s="927"/>
      <c r="BQ231" s="927"/>
      <c r="BR231" s="927"/>
      <c r="BS231" s="927"/>
      <c r="BT231" s="927"/>
    </row>
    <row r="232" spans="1:72" x14ac:dyDescent="0.25">
      <c r="A232" s="927" t="s">
        <v>804</v>
      </c>
      <c r="B232" s="927"/>
      <c r="C232" s="927"/>
      <c r="D232" s="927"/>
      <c r="E232" s="927"/>
      <c r="F232" s="927"/>
      <c r="G232" s="927"/>
      <c r="H232" s="927"/>
      <c r="I232" s="927"/>
      <c r="J232" s="927"/>
      <c r="K232" s="927"/>
      <c r="L232" s="927"/>
      <c r="M232" s="927"/>
      <c r="N232" s="927"/>
      <c r="O232" s="927"/>
      <c r="P232" s="927"/>
      <c r="Q232" s="927"/>
      <c r="R232" s="927"/>
      <c r="S232" s="927"/>
      <c r="T232" s="927"/>
      <c r="U232" s="927"/>
      <c r="V232" s="927"/>
      <c r="W232" s="927"/>
      <c r="X232" s="927"/>
      <c r="Y232" s="927"/>
      <c r="Z232" s="927"/>
      <c r="AA232" s="927"/>
      <c r="AB232" s="927"/>
      <c r="AC232" s="927"/>
      <c r="AD232" s="927"/>
      <c r="AE232" s="927"/>
      <c r="AF232" s="927"/>
      <c r="AG232" s="927"/>
      <c r="AH232" s="927"/>
      <c r="AI232" s="927"/>
      <c r="AJ232" s="927"/>
      <c r="AK232" s="927"/>
      <c r="AL232" s="927"/>
      <c r="AM232" s="927"/>
      <c r="AN232" s="927"/>
      <c r="AO232" s="927"/>
      <c r="AP232" s="927"/>
      <c r="AQ232" s="927"/>
      <c r="AR232" s="927"/>
      <c r="AS232" s="927"/>
      <c r="AT232" s="927"/>
      <c r="AU232" s="927"/>
      <c r="AV232" s="927"/>
      <c r="AW232" s="927"/>
      <c r="AX232" s="927"/>
      <c r="AY232" s="927"/>
      <c r="AZ232" s="927"/>
      <c r="BA232" s="927"/>
      <c r="BB232" s="927"/>
      <c r="BC232" s="927"/>
      <c r="BD232" s="927"/>
      <c r="BE232" s="927"/>
      <c r="BF232" s="927"/>
      <c r="BG232" s="927"/>
      <c r="BH232" s="927"/>
      <c r="BI232" s="927"/>
      <c r="BJ232" s="927"/>
      <c r="BK232" s="927"/>
      <c r="BL232" s="927"/>
      <c r="BM232" s="927"/>
      <c r="BN232" s="927"/>
      <c r="BO232" s="927"/>
      <c r="BP232" s="927"/>
      <c r="BQ232" s="927"/>
      <c r="BR232" s="927"/>
      <c r="BS232" s="927"/>
      <c r="BT232" s="927"/>
    </row>
    <row r="233" spans="1:72" x14ac:dyDescent="0.25">
      <c r="A233" s="904" t="s">
        <v>805</v>
      </c>
      <c r="AA233" s="306"/>
      <c r="AB233" s="306"/>
      <c r="AC233" s="306"/>
      <c r="AD233" s="306"/>
    </row>
    <row r="234" spans="1:72" x14ac:dyDescent="0.25">
      <c r="A234" s="904" t="s">
        <v>806</v>
      </c>
      <c r="AA234" s="306"/>
      <c r="AB234" s="306"/>
      <c r="AC234" s="306"/>
      <c r="AD234" s="306"/>
    </row>
    <row r="235" spans="1:72" x14ac:dyDescent="0.25">
      <c r="A235" s="904" t="s">
        <v>718</v>
      </c>
      <c r="B235" t="s">
        <v>719</v>
      </c>
      <c r="C235" t="s">
        <v>720</v>
      </c>
      <c r="E235" t="s">
        <v>721</v>
      </c>
      <c r="AA235" s="306"/>
      <c r="AB235" s="306"/>
      <c r="AC235" s="306"/>
      <c r="AD235" s="306"/>
    </row>
    <row r="236" spans="1:72" x14ac:dyDescent="0.25">
      <c r="AA236" s="306"/>
      <c r="AB236" s="306"/>
      <c r="AC236" s="306"/>
      <c r="AD236" s="306"/>
    </row>
    <row r="237" spans="1:72" x14ac:dyDescent="0.25">
      <c r="A237" s="904" t="s">
        <v>447</v>
      </c>
      <c r="AA237" s="306"/>
      <c r="AB237" s="306"/>
      <c r="AC237" s="306"/>
      <c r="AD237" s="306"/>
    </row>
    <row r="238" spans="1:72" x14ac:dyDescent="0.25">
      <c r="A238" s="904" t="s">
        <v>722</v>
      </c>
      <c r="AA238" s="306"/>
      <c r="AB238" s="306"/>
      <c r="AC238" s="306"/>
      <c r="AD238" s="306"/>
    </row>
    <row r="239" spans="1:72" x14ac:dyDescent="0.25">
      <c r="AA239" s="306"/>
      <c r="AB239" s="306"/>
      <c r="AC239" s="306"/>
      <c r="AD239" s="306"/>
    </row>
    <row r="240" spans="1:72" x14ac:dyDescent="0.25">
      <c r="AA240" s="306"/>
      <c r="AB240" s="306"/>
      <c r="AC240" s="306"/>
      <c r="AD240" s="306"/>
    </row>
    <row r="241" spans="1:70" x14ac:dyDescent="0.25">
      <c r="AA241" s="306"/>
      <c r="AB241" s="306"/>
      <c r="AC241" s="306"/>
      <c r="AD241" s="306"/>
    </row>
    <row r="242" spans="1:70" x14ac:dyDescent="0.25">
      <c r="B242" s="905" t="s">
        <v>453</v>
      </c>
      <c r="C242" s="905" t="s">
        <v>454</v>
      </c>
      <c r="D242" s="905" t="s">
        <v>455</v>
      </c>
      <c r="E242" s="905" t="s">
        <v>456</v>
      </c>
      <c r="F242" s="905" t="s">
        <v>457</v>
      </c>
      <c r="G242" s="905" t="s">
        <v>458</v>
      </c>
      <c r="H242" s="905" t="s">
        <v>459</v>
      </c>
      <c r="I242" s="905" t="s">
        <v>460</v>
      </c>
      <c r="J242" s="905" t="s">
        <v>461</v>
      </c>
      <c r="K242" s="905" t="s">
        <v>462</v>
      </c>
      <c r="L242" s="905" t="s">
        <v>463</v>
      </c>
      <c r="M242" s="905" t="s">
        <v>464</v>
      </c>
      <c r="N242" s="905" t="s">
        <v>465</v>
      </c>
      <c r="O242" s="905" t="s">
        <v>466</v>
      </c>
      <c r="P242" s="905" t="s">
        <v>467</v>
      </c>
      <c r="Q242" s="905" t="s">
        <v>468</v>
      </c>
      <c r="R242" s="905" t="s">
        <v>469</v>
      </c>
      <c r="S242" s="905" t="s">
        <v>470</v>
      </c>
      <c r="T242" s="905" t="s">
        <v>471</v>
      </c>
      <c r="U242" s="905" t="s">
        <v>472</v>
      </c>
      <c r="V242" s="905" t="s">
        <v>604</v>
      </c>
      <c r="W242" s="905" t="s">
        <v>605</v>
      </c>
      <c r="X242" s="905" t="s">
        <v>606</v>
      </c>
      <c r="Y242" s="905" t="s">
        <v>607</v>
      </c>
      <c r="Z242" s="905" t="s">
        <v>608</v>
      </c>
      <c r="AA242" s="306" t="s">
        <v>605</v>
      </c>
      <c r="AB242" s="306" t="s">
        <v>606</v>
      </c>
      <c r="AC242" s="306" t="s">
        <v>607</v>
      </c>
      <c r="AD242" s="306" t="s">
        <v>608</v>
      </c>
      <c r="AE242">
        <v>2031</v>
      </c>
      <c r="AF242">
        <v>2032</v>
      </c>
      <c r="AG242">
        <v>2033</v>
      </c>
      <c r="AH242">
        <v>2034</v>
      </c>
      <c r="AI242">
        <v>2035</v>
      </c>
      <c r="AJ242">
        <v>2036</v>
      </c>
      <c r="AK242">
        <v>2037</v>
      </c>
      <c r="AL242">
        <v>2038</v>
      </c>
      <c r="AM242">
        <v>2039</v>
      </c>
      <c r="AN242">
        <v>2040</v>
      </c>
      <c r="AO242">
        <v>2041</v>
      </c>
      <c r="AP242">
        <v>2042</v>
      </c>
      <c r="AQ242">
        <v>2043</v>
      </c>
      <c r="AR242">
        <v>2044</v>
      </c>
      <c r="AS242">
        <v>2045</v>
      </c>
      <c r="AT242">
        <v>2046</v>
      </c>
      <c r="AU242">
        <v>2047</v>
      </c>
      <c r="AV242">
        <v>2048</v>
      </c>
      <c r="AW242">
        <v>2049</v>
      </c>
      <c r="AX242">
        <v>2050</v>
      </c>
      <c r="AY242">
        <v>2051</v>
      </c>
      <c r="AZ242">
        <v>2052</v>
      </c>
      <c r="BA242">
        <v>2053</v>
      </c>
      <c r="BB242">
        <v>2054</v>
      </c>
      <c r="BC242">
        <v>2055</v>
      </c>
      <c r="BD242">
        <v>2056</v>
      </c>
      <c r="BE242">
        <v>2057</v>
      </c>
      <c r="BF242">
        <v>2058</v>
      </c>
      <c r="BG242">
        <v>2059</v>
      </c>
      <c r="BH242">
        <v>2060</v>
      </c>
      <c r="BI242">
        <v>2061</v>
      </c>
      <c r="BJ242">
        <v>2062</v>
      </c>
      <c r="BK242">
        <v>2063</v>
      </c>
      <c r="BL242">
        <v>2064</v>
      </c>
      <c r="BM242">
        <v>2065</v>
      </c>
      <c r="BN242">
        <v>2066</v>
      </c>
      <c r="BO242">
        <v>2067</v>
      </c>
      <c r="BP242">
        <v>2068</v>
      </c>
      <c r="BQ242">
        <v>2069</v>
      </c>
      <c r="BR242">
        <v>2070</v>
      </c>
    </row>
    <row r="243" spans="1:70" x14ac:dyDescent="0.25">
      <c r="AA243" s="306"/>
      <c r="AB243" s="306"/>
      <c r="AC243" s="306"/>
      <c r="AD243" s="306"/>
    </row>
    <row r="244" spans="1:70" x14ac:dyDescent="0.25">
      <c r="AA244" s="306"/>
      <c r="AB244" s="306"/>
      <c r="AC244" s="306"/>
      <c r="AD244" s="306"/>
    </row>
    <row r="245" spans="1:70" x14ac:dyDescent="0.25">
      <c r="A245" s="904" t="s">
        <v>473</v>
      </c>
      <c r="AA245" s="306"/>
      <c r="AB245" s="306"/>
      <c r="AC245" s="306"/>
      <c r="AD245" s="306"/>
    </row>
    <row r="246" spans="1:70" x14ac:dyDescent="0.25">
      <c r="A246" s="904" t="s">
        <v>609</v>
      </c>
      <c r="B246" s="906">
        <v>23.882804870605501</v>
      </c>
      <c r="C246" s="906">
        <v>24.973464965820298</v>
      </c>
      <c r="D246" s="906">
        <v>28.470840454101602</v>
      </c>
      <c r="E246" s="906">
        <v>21.505495071411101</v>
      </c>
      <c r="F246" s="906">
        <v>20.697200775146499</v>
      </c>
      <c r="G246" s="906">
        <v>23.0020751953125</v>
      </c>
      <c r="H246" s="906">
        <v>24.980747222900401</v>
      </c>
      <c r="I246" s="906">
        <v>26.7403888702393</v>
      </c>
      <c r="J246" s="906">
        <v>28.254840850830099</v>
      </c>
      <c r="K246" s="906">
        <v>29.8807067871094</v>
      </c>
      <c r="L246" s="906">
        <v>30.930690765380898</v>
      </c>
      <c r="M246" s="906">
        <v>31.804765701293899</v>
      </c>
      <c r="N246" s="906">
        <v>32.682899475097699</v>
      </c>
      <c r="O246" s="906">
        <v>33.084945678710902</v>
      </c>
      <c r="P246" s="906">
        <v>33.339298248291001</v>
      </c>
      <c r="Q246" s="906">
        <v>33.569530487060497</v>
      </c>
      <c r="R246" s="906">
        <v>33.692008972167997</v>
      </c>
      <c r="S246" s="906">
        <v>34.029460906982401</v>
      </c>
      <c r="T246" s="906">
        <v>34.165733337402301</v>
      </c>
      <c r="U246" s="906">
        <v>33.722698211669901</v>
      </c>
      <c r="V246" s="906">
        <v>33.999015808105497</v>
      </c>
      <c r="W246" s="906">
        <v>34.276668548583999</v>
      </c>
      <c r="X246" s="906">
        <v>34.616855621337898</v>
      </c>
      <c r="Y246" s="906">
        <v>34.804977416992202</v>
      </c>
      <c r="Z246" s="906">
        <v>35.163482666015597</v>
      </c>
      <c r="AA246" s="306">
        <v>23.653226852416999</v>
      </c>
      <c r="AB246" s="306">
        <v>23.781959533691399</v>
      </c>
      <c r="AC246" s="306">
        <v>23.869001388549801</v>
      </c>
      <c r="AD246" s="306">
        <v>23.909082412719702</v>
      </c>
    </row>
    <row r="247" spans="1:70" x14ac:dyDescent="0.25">
      <c r="A247" s="904" t="s">
        <v>610</v>
      </c>
      <c r="B247" s="906">
        <v>18.4642543792725</v>
      </c>
      <c r="C247" s="906">
        <v>19.664405822753899</v>
      </c>
      <c r="D247" s="906">
        <v>23.940315246581999</v>
      </c>
      <c r="E247" s="906">
        <v>15.6857194900513</v>
      </c>
      <c r="F247" s="906">
        <v>13.3512983322144</v>
      </c>
      <c r="G247" s="906">
        <v>15.708171844482401</v>
      </c>
      <c r="H247" s="906">
        <v>17.491518020629901</v>
      </c>
      <c r="I247" s="906">
        <v>18.8044624328613</v>
      </c>
      <c r="J247" s="906">
        <v>20.071212768554702</v>
      </c>
      <c r="K247" s="906">
        <v>21.571735382080099</v>
      </c>
      <c r="L247" s="906">
        <v>22.444984436035199</v>
      </c>
      <c r="M247" s="906">
        <v>23.2645053863525</v>
      </c>
      <c r="N247" s="906">
        <v>23.975505828857401</v>
      </c>
      <c r="O247" s="906">
        <v>24.350082397460898</v>
      </c>
      <c r="P247" s="906">
        <v>24.6401481628418</v>
      </c>
      <c r="Q247" s="906">
        <v>24.7862453460693</v>
      </c>
      <c r="R247" s="906">
        <v>24.899822235107401</v>
      </c>
      <c r="S247" s="906">
        <v>25.1952934265137</v>
      </c>
      <c r="T247" s="906">
        <v>25.492937088012699</v>
      </c>
      <c r="U247" s="906">
        <v>25.134300231933601</v>
      </c>
      <c r="V247" s="906">
        <v>25.433099746704102</v>
      </c>
      <c r="W247" s="906">
        <v>25.7546691894531</v>
      </c>
      <c r="X247" s="906">
        <v>26.098386764526399</v>
      </c>
      <c r="Y247" s="906">
        <v>26.3820476531982</v>
      </c>
      <c r="Z247" s="906">
        <v>26.7700805664063</v>
      </c>
      <c r="AA247" s="306">
        <v>13.801754951477101</v>
      </c>
      <c r="AB247" s="306">
        <v>13.897899627685501</v>
      </c>
      <c r="AC247" s="306">
        <v>14.058331489563001</v>
      </c>
      <c r="AD247" s="306">
        <v>14.125551223754901</v>
      </c>
    </row>
    <row r="248" spans="1:70" x14ac:dyDescent="0.25">
      <c r="A248" s="904" t="s">
        <v>510</v>
      </c>
      <c r="B248" s="906">
        <v>13.7000589370728</v>
      </c>
      <c r="C248" s="906">
        <v>12.691158294677701</v>
      </c>
      <c r="D248" s="906">
        <v>12.9778490066528</v>
      </c>
      <c r="E248" s="906">
        <v>10.717614173889199</v>
      </c>
      <c r="F248" s="906">
        <v>11.192774772644</v>
      </c>
      <c r="G248" s="906">
        <v>11.487280845642101</v>
      </c>
      <c r="H248" s="906">
        <v>11.3991556167603</v>
      </c>
      <c r="I248" s="906">
        <v>11.307798385620099</v>
      </c>
      <c r="J248" s="906">
        <v>11.2896461486816</v>
      </c>
      <c r="K248" s="906">
        <v>11.345415115356399</v>
      </c>
      <c r="L248" s="906">
        <v>11.538298606872599</v>
      </c>
      <c r="M248" s="906">
        <v>11.7583208084106</v>
      </c>
      <c r="N248" s="906">
        <v>11.975100517272899</v>
      </c>
      <c r="O248" s="906">
        <v>12.23952293396</v>
      </c>
      <c r="P248" s="906">
        <v>12.557071685791</v>
      </c>
      <c r="Q248" s="906">
        <v>12.7957820892334</v>
      </c>
      <c r="R248" s="906">
        <v>12.871651649475099</v>
      </c>
      <c r="S248" s="906">
        <v>12.660281181335399</v>
      </c>
      <c r="T248" s="906">
        <v>12.6240320205688</v>
      </c>
      <c r="U248" s="906">
        <v>12.5992183685303</v>
      </c>
      <c r="V248" s="906">
        <v>12.7868556976318</v>
      </c>
      <c r="W248" s="906">
        <v>13.07555103302</v>
      </c>
      <c r="X248" s="906">
        <v>13.407883644104</v>
      </c>
      <c r="Y248" s="906">
        <v>13.6725673675537</v>
      </c>
      <c r="Z248" s="906">
        <v>13.962038993835399</v>
      </c>
      <c r="AA248" s="306">
        <v>11.116808891296399</v>
      </c>
      <c r="AB248" s="306">
        <v>11.2574377059937</v>
      </c>
      <c r="AC248" s="306">
        <v>11.3709173202515</v>
      </c>
      <c r="AD248" s="306">
        <v>11.426144599914601</v>
      </c>
    </row>
    <row r="249" spans="1:70" x14ac:dyDescent="0.25">
      <c r="A249" s="904" t="s">
        <v>479</v>
      </c>
      <c r="B249" s="906">
        <v>31.206779479980501</v>
      </c>
      <c r="C249" s="906">
        <v>31.181957244873001</v>
      </c>
      <c r="D249" s="906">
        <v>31.772819519043001</v>
      </c>
      <c r="E249" s="906">
        <v>30.736837387085</v>
      </c>
      <c r="F249" s="906">
        <v>28.616357803344702</v>
      </c>
      <c r="G249" s="906">
        <v>29.873619079589801</v>
      </c>
      <c r="H249" s="906">
        <v>30.101655960083001</v>
      </c>
      <c r="I249" s="906">
        <v>30.425390243530298</v>
      </c>
      <c r="J249" s="906">
        <v>30.7938537597656</v>
      </c>
      <c r="K249" s="906">
        <v>30.883028030395501</v>
      </c>
      <c r="L249" s="906">
        <v>31.149145126342798</v>
      </c>
      <c r="M249" s="906">
        <v>31.4898681640625</v>
      </c>
      <c r="N249" s="906">
        <v>31.815629959106399</v>
      </c>
      <c r="O249" s="906">
        <v>32.020698547363303</v>
      </c>
      <c r="P249" s="906">
        <v>32.4303588867188</v>
      </c>
      <c r="Q249" s="906">
        <v>32.7907905578613</v>
      </c>
      <c r="R249" s="906">
        <v>32.994007110595703</v>
      </c>
      <c r="S249" s="906">
        <v>32.923465728759801</v>
      </c>
      <c r="T249" s="906">
        <v>32.920154571533203</v>
      </c>
      <c r="U249" s="906">
        <v>32.902271270752003</v>
      </c>
      <c r="V249" s="906">
        <v>32.958240509033203</v>
      </c>
      <c r="W249" s="906">
        <v>33.321102142333999</v>
      </c>
      <c r="X249" s="906">
        <v>33.734363555908203</v>
      </c>
      <c r="Y249" s="906">
        <v>34.149539947509801</v>
      </c>
      <c r="Z249" s="906">
        <v>34.490489959716797</v>
      </c>
      <c r="AA249" s="306">
        <v>26.5695495605469</v>
      </c>
      <c r="AB249" s="306">
        <v>26.6057014465332</v>
      </c>
      <c r="AC249" s="306">
        <v>26.7373046875</v>
      </c>
      <c r="AD249" s="306">
        <v>26.757972717285199</v>
      </c>
    </row>
    <row r="250" spans="1:70" x14ac:dyDescent="0.25">
      <c r="AA250" s="306"/>
      <c r="AB250" s="306"/>
      <c r="AC250" s="306"/>
      <c r="AD250" s="306"/>
    </row>
    <row r="251" spans="1:70" x14ac:dyDescent="0.25">
      <c r="A251" s="904" t="s">
        <v>480</v>
      </c>
      <c r="AA251" s="306">
        <v>12.0537929534912</v>
      </c>
      <c r="AB251" s="306">
        <v>12.2529897689819</v>
      </c>
      <c r="AC251" s="306">
        <v>12.3258762359619</v>
      </c>
      <c r="AD251" s="306">
        <v>12.452996253967299</v>
      </c>
    </row>
    <row r="252" spans="1:70" ht="13.8" thickBot="1" x14ac:dyDescent="0.3">
      <c r="A252" s="904" t="s">
        <v>609</v>
      </c>
      <c r="B252" s="906">
        <v>21.1974983215332</v>
      </c>
      <c r="C252" s="906">
        <v>23.041419982910199</v>
      </c>
      <c r="D252" s="906">
        <v>23.540430068969702</v>
      </c>
      <c r="E252" s="906">
        <v>20.975297927856399</v>
      </c>
      <c r="F252" s="906">
        <v>17.540355682373001</v>
      </c>
      <c r="G252" s="906">
        <v>19.827720642089801</v>
      </c>
      <c r="H252" s="906">
        <v>21.7962131500244</v>
      </c>
      <c r="I252" s="906">
        <v>23.5440998077393</v>
      </c>
      <c r="J252" s="906">
        <v>25.047388076782202</v>
      </c>
      <c r="K252" s="906">
        <v>26.6623840332031</v>
      </c>
      <c r="L252" s="906">
        <v>27.701774597168001</v>
      </c>
      <c r="M252" s="906">
        <v>28.565574645996101</v>
      </c>
      <c r="N252" s="906">
        <v>29.4346523284912</v>
      </c>
      <c r="O252" s="906">
        <v>29.8274021148682</v>
      </c>
      <c r="P252" s="906">
        <v>30.0731811523438</v>
      </c>
      <c r="Q252" s="906">
        <v>30.2960014343262</v>
      </c>
      <c r="R252" s="906">
        <v>30.4115695953369</v>
      </c>
      <c r="S252" s="906">
        <v>30.7421360015869</v>
      </c>
      <c r="T252" s="906">
        <v>30.871879577636701</v>
      </c>
      <c r="U252" s="906">
        <v>30.422807693481399</v>
      </c>
      <c r="V252" s="906">
        <v>30.6932373046875</v>
      </c>
      <c r="W252" s="906">
        <v>30.965314865112301</v>
      </c>
      <c r="X252" s="906">
        <v>31.299940109252901</v>
      </c>
      <c r="Y252" s="906">
        <v>31.482862472534201</v>
      </c>
      <c r="Z252" s="906">
        <v>31.836189270019499</v>
      </c>
      <c r="AA252" s="306">
        <v>7.3951959609985396</v>
      </c>
      <c r="AB252" s="306">
        <v>7.4624595642089799</v>
      </c>
      <c r="AC252" s="306">
        <v>7.2386937141418501</v>
      </c>
      <c r="AD252" s="306">
        <v>7.3113985061645499</v>
      </c>
    </row>
    <row r="253" spans="1:70" ht="13.8" thickBot="1" x14ac:dyDescent="0.3">
      <c r="A253" s="904" t="s">
        <v>610</v>
      </c>
      <c r="B253" s="906">
        <v>15.019946098327599</v>
      </c>
      <c r="C253" s="906">
        <v>16.054100036621101</v>
      </c>
      <c r="D253" s="906">
        <v>20.9568576812744</v>
      </c>
      <c r="E253" s="906">
        <v>13.740292549133301</v>
      </c>
      <c r="F253" s="906">
        <v>10.759732246398899</v>
      </c>
      <c r="G253" s="906">
        <v>13.277551651001</v>
      </c>
      <c r="H253" s="906">
        <v>15.102119445800801</v>
      </c>
      <c r="I253" s="906">
        <v>16.819028854370099</v>
      </c>
      <c r="J253" s="906">
        <v>18.163129806518601</v>
      </c>
      <c r="K253" s="906">
        <v>19.404659271240199</v>
      </c>
      <c r="L253" s="906">
        <v>20.2805690765381</v>
      </c>
      <c r="M253" s="906">
        <v>21.141357421875</v>
      </c>
      <c r="N253" s="906">
        <v>21.870569229126001</v>
      </c>
      <c r="O253" s="906">
        <v>22.288406372070298</v>
      </c>
      <c r="P253" s="906">
        <v>22.606428146362301</v>
      </c>
      <c r="Q253" s="906">
        <v>22.643785476684599</v>
      </c>
      <c r="R253" s="906">
        <v>22.862098693847699</v>
      </c>
      <c r="S253" s="906">
        <v>23.111530303955099</v>
      </c>
      <c r="T253" s="906">
        <v>23.2818489074707</v>
      </c>
      <c r="U253" s="906">
        <v>23.1139316558838</v>
      </c>
      <c r="V253" s="906">
        <v>23.4434604644775</v>
      </c>
      <c r="W253" s="906">
        <v>23.529294967651399</v>
      </c>
      <c r="X253" s="906">
        <v>23.9437866210938</v>
      </c>
      <c r="Y253" s="906">
        <v>24.471529006958001</v>
      </c>
      <c r="Z253" s="906">
        <v>24.6476936340332</v>
      </c>
      <c r="AA253" s="306">
        <v>9.0512752532959002</v>
      </c>
      <c r="AB253" s="306">
        <v>9.1702537536621094</v>
      </c>
      <c r="AC253" s="306">
        <v>9.2454566955566406</v>
      </c>
      <c r="AD253" s="306">
        <v>9.3029346466064506</v>
      </c>
      <c r="AE253" s="283">
        <f>AD253+($AI$253-$AD$253)/5</f>
        <v>9.3577216364198588</v>
      </c>
      <c r="AF253" s="283">
        <f>AE253+($AI$253-$AD$253)/5</f>
        <v>9.4125086262332669</v>
      </c>
      <c r="AG253" s="283">
        <f>AF253+($AI$253-$AD$253)/5</f>
        <v>9.467295616046675</v>
      </c>
      <c r="AH253" s="283">
        <f>AG253+($AI$253-$AD$253)/5</f>
        <v>9.5220826058600831</v>
      </c>
      <c r="AI253" s="284">
        <f>T423*$E$742</f>
        <v>9.5768695956734877</v>
      </c>
      <c r="AJ253" s="283">
        <f>AI253+($AX$253-$AI$253)/15</f>
        <v>9.6852727225982509</v>
      </c>
      <c r="AK253" s="283">
        <f t="shared" ref="AK253:AW253" si="3">AJ253+($AX$253-$AI$253)/15</f>
        <v>9.7936758495230141</v>
      </c>
      <c r="AL253" s="283">
        <f t="shared" si="3"/>
        <v>9.9020789764477772</v>
      </c>
      <c r="AM253" s="283">
        <f t="shared" si="3"/>
        <v>10.01048210337254</v>
      </c>
      <c r="AN253" s="283">
        <f t="shared" si="3"/>
        <v>10.118885230297304</v>
      </c>
      <c r="AO253" s="283">
        <f t="shared" si="3"/>
        <v>10.227288357222067</v>
      </c>
      <c r="AP253" s="283">
        <f t="shared" si="3"/>
        <v>10.33569148414683</v>
      </c>
      <c r="AQ253" s="283">
        <f t="shared" si="3"/>
        <v>10.444094611071593</v>
      </c>
      <c r="AR253" s="283">
        <f t="shared" si="3"/>
        <v>10.552497737996356</v>
      </c>
      <c r="AS253" s="283">
        <f t="shared" si="3"/>
        <v>10.660900864921119</v>
      </c>
      <c r="AT253" s="283">
        <f t="shared" si="3"/>
        <v>10.769303991845883</v>
      </c>
      <c r="AU253" s="283">
        <f t="shared" si="3"/>
        <v>10.877707118770646</v>
      </c>
      <c r="AV253" s="283">
        <f t="shared" si="3"/>
        <v>10.986110245695409</v>
      </c>
      <c r="AW253" s="283">
        <f t="shared" si="3"/>
        <v>11.094513372620172</v>
      </c>
      <c r="AX253" s="284">
        <f>AI253*$B$742</f>
        <v>11.202916499544939</v>
      </c>
      <c r="AY253" s="283">
        <f>AX253+($BM$253-$AX$253)/15</f>
        <v>11.313845014700993</v>
      </c>
      <c r="AZ253" s="283">
        <f t="shared" ref="AZ253:BL253" si="4">AY253+($BM$253-$AX$253)/15</f>
        <v>11.424773529857047</v>
      </c>
      <c r="BA253" s="283">
        <f t="shared" si="4"/>
        <v>11.535702045013101</v>
      </c>
      <c r="BB253" s="283">
        <f t="shared" si="4"/>
        <v>11.646630560169156</v>
      </c>
      <c r="BC253" s="283">
        <f t="shared" si="4"/>
        <v>11.75755907532521</v>
      </c>
      <c r="BD253" s="283">
        <f t="shared" si="4"/>
        <v>11.868487590481264</v>
      </c>
      <c r="BE253" s="283">
        <f t="shared" si="4"/>
        <v>11.979416105637318</v>
      </c>
      <c r="BF253" s="283">
        <f t="shared" si="4"/>
        <v>12.090344620793372</v>
      </c>
      <c r="BG253" s="283">
        <f t="shared" si="4"/>
        <v>12.201273135949426</v>
      </c>
      <c r="BH253" s="283">
        <f t="shared" si="4"/>
        <v>12.312201651105481</v>
      </c>
      <c r="BI253" s="283">
        <f t="shared" si="4"/>
        <v>12.423130166261535</v>
      </c>
      <c r="BJ253" s="283">
        <f t="shared" si="4"/>
        <v>12.534058681417589</v>
      </c>
      <c r="BK253" s="283">
        <f t="shared" si="4"/>
        <v>12.644987196573643</v>
      </c>
      <c r="BL253" s="283">
        <f t="shared" si="4"/>
        <v>12.755915711729697</v>
      </c>
      <c r="BM253" s="284">
        <f>AX253*$C$742</f>
        <v>12.866844226885757</v>
      </c>
      <c r="BN253" s="283">
        <f>BM253+($BR$253-$BM$253)/5</f>
        <v>12.994248543867917</v>
      </c>
      <c r="BO253" s="283">
        <f>BN253+($BR$253-$BM$253)/5</f>
        <v>13.121652860850077</v>
      </c>
      <c r="BP253" s="283">
        <f>BO253+($BR$253-$BM$253)/5</f>
        <v>13.249057177832237</v>
      </c>
      <c r="BQ253" s="283">
        <f>BP253+($BR$253-$BM$253)/5</f>
        <v>13.376461494814397</v>
      </c>
      <c r="BR253" s="284">
        <f>BM253*$D$742</f>
        <v>13.503865811796555</v>
      </c>
    </row>
    <row r="254" spans="1:70" ht="13.8" thickBot="1" x14ac:dyDescent="0.3">
      <c r="A254" s="904" t="s">
        <v>723</v>
      </c>
      <c r="B254" s="906">
        <v>8.8815975189209002</v>
      </c>
      <c r="C254" s="906">
        <v>10.3074436187744</v>
      </c>
      <c r="D254" s="906">
        <v>13.411918640136699</v>
      </c>
      <c r="E254" s="906">
        <v>6.6991925239562997</v>
      </c>
      <c r="F254" s="906">
        <v>5.8016228675842303</v>
      </c>
      <c r="G254" s="906">
        <v>8.5975322723388707</v>
      </c>
      <c r="H254" s="906">
        <v>10.1285858154297</v>
      </c>
      <c r="I254" s="906">
        <v>11.654000282287599</v>
      </c>
      <c r="J254" s="906">
        <v>12.9474182128906</v>
      </c>
      <c r="K254" s="906">
        <v>14.400235176086399</v>
      </c>
      <c r="L254" s="906">
        <v>15.2041673660278</v>
      </c>
      <c r="M254" s="906">
        <v>15.658245086669901</v>
      </c>
      <c r="N254" s="906">
        <v>16.352220535278299</v>
      </c>
      <c r="O254" s="906">
        <v>16.605510711669901</v>
      </c>
      <c r="P254" s="906">
        <v>16.856744766235401</v>
      </c>
      <c r="Q254" s="906">
        <v>17.043632507324201</v>
      </c>
      <c r="R254" s="906">
        <v>17.1953125</v>
      </c>
      <c r="S254" s="906">
        <v>17.403110504150401</v>
      </c>
      <c r="T254" s="906">
        <v>17.4520969390869</v>
      </c>
      <c r="U254" s="906">
        <v>17.016120910644499</v>
      </c>
      <c r="V254" s="906">
        <v>17.163618087768601</v>
      </c>
      <c r="W254" s="906">
        <v>17.311967849731399</v>
      </c>
      <c r="X254" s="906">
        <v>17.516565322876001</v>
      </c>
      <c r="Y254" s="906">
        <v>17.704761505126999</v>
      </c>
      <c r="Z254" s="906">
        <v>17.873653411865199</v>
      </c>
      <c r="AA254" s="306">
        <v>24.1571254730225</v>
      </c>
      <c r="AB254" s="306">
        <v>24.207300186157202</v>
      </c>
      <c r="AC254" s="306">
        <v>24.2876873016357</v>
      </c>
      <c r="AD254" s="306">
        <v>24.267208099365199</v>
      </c>
      <c r="AE254" s="285">
        <f>AD254+($AI$254-$AD$254)/5</f>
        <v>24.075703794494256</v>
      </c>
      <c r="AF254" s="285">
        <f>AE254+($AI$254-$AD$254)/5</f>
        <v>23.884199489623313</v>
      </c>
      <c r="AG254" s="285">
        <f>AF254+($AI$254-$AD$254)/5</f>
        <v>23.69269518475237</v>
      </c>
      <c r="AH254" s="285">
        <f>AG254+($AI$254-$AD$254)/5</f>
        <v>23.501190879881428</v>
      </c>
      <c r="AI254" s="286">
        <f>T424*$E$745</f>
        <v>23.309686575010492</v>
      </c>
      <c r="AJ254" s="285">
        <f>AI254+($AX$254-$AI$254)/15</f>
        <v>23.300523054015734</v>
      </c>
      <c r="AK254" s="285">
        <f t="shared" ref="AK254:AW254" si="5">AJ254+($AX$254-$AI$254)/15</f>
        <v>23.291359533020977</v>
      </c>
      <c r="AL254" s="285">
        <f t="shared" si="5"/>
        <v>23.282196012026219</v>
      </c>
      <c r="AM254" s="285">
        <f t="shared" si="5"/>
        <v>23.273032491031461</v>
      </c>
      <c r="AN254" s="285">
        <f t="shared" si="5"/>
        <v>23.263868970036704</v>
      </c>
      <c r="AO254" s="285">
        <f t="shared" si="5"/>
        <v>23.254705449041946</v>
      </c>
      <c r="AP254" s="285">
        <f t="shared" si="5"/>
        <v>23.245541928047189</v>
      </c>
      <c r="AQ254" s="285">
        <f t="shared" si="5"/>
        <v>23.236378407052431</v>
      </c>
      <c r="AR254" s="285">
        <f t="shared" si="5"/>
        <v>23.227214886057673</v>
      </c>
      <c r="AS254" s="285">
        <f t="shared" si="5"/>
        <v>23.218051365062916</v>
      </c>
      <c r="AT254" s="285">
        <f t="shared" si="5"/>
        <v>23.208887844068158</v>
      </c>
      <c r="AU254" s="285">
        <f t="shared" si="5"/>
        <v>23.199724323073401</v>
      </c>
      <c r="AV254" s="285">
        <f t="shared" si="5"/>
        <v>23.190560802078643</v>
      </c>
      <c r="AW254" s="285">
        <f t="shared" si="5"/>
        <v>23.181397281083886</v>
      </c>
      <c r="AX254" s="286">
        <f>AI254*$B$745</f>
        <v>23.172233760089139</v>
      </c>
      <c r="AY254" s="285">
        <f>AX254+($BM$254-$AX$254)/15</f>
        <v>23.186953863011141</v>
      </c>
      <c r="AZ254" s="285">
        <f t="shared" ref="AZ254:BL254" si="6">AY254+($BM$254-$AX$254)/15</f>
        <v>23.201673965933143</v>
      </c>
      <c r="BA254" s="285">
        <f t="shared" si="6"/>
        <v>23.216394068855145</v>
      </c>
      <c r="BB254" s="285">
        <f t="shared" si="6"/>
        <v>23.231114171777147</v>
      </c>
      <c r="BC254" s="285">
        <f t="shared" si="6"/>
        <v>23.245834274699149</v>
      </c>
      <c r="BD254" s="285">
        <f t="shared" si="6"/>
        <v>23.260554377621151</v>
      </c>
      <c r="BE254" s="285">
        <f t="shared" si="6"/>
        <v>23.275274480543153</v>
      </c>
      <c r="BF254" s="285">
        <f t="shared" si="6"/>
        <v>23.289994583465155</v>
      </c>
      <c r="BG254" s="285">
        <f t="shared" si="6"/>
        <v>23.304714686387157</v>
      </c>
      <c r="BH254" s="285">
        <f t="shared" si="6"/>
        <v>23.31943478930916</v>
      </c>
      <c r="BI254" s="285">
        <f t="shared" si="6"/>
        <v>23.334154892231162</v>
      </c>
      <c r="BJ254" s="285">
        <f t="shared" si="6"/>
        <v>23.348874995153164</v>
      </c>
      <c r="BK254" s="285">
        <f t="shared" si="6"/>
        <v>23.363595098075166</v>
      </c>
      <c r="BL254" s="285">
        <f t="shared" si="6"/>
        <v>23.378315200997168</v>
      </c>
      <c r="BM254" s="286">
        <f>AX254*$C$745</f>
        <v>23.393035303919145</v>
      </c>
      <c r="BN254" s="285">
        <f>BM254+($BR$254-$BM$254)/5</f>
        <v>23.407895670463727</v>
      </c>
      <c r="BO254" s="285">
        <f>BN254+($BR$254-$BM$254)/5</f>
        <v>23.422756037008309</v>
      </c>
      <c r="BP254" s="285">
        <f>BO254+($BR$254-$BM$254)/5</f>
        <v>23.437616403552891</v>
      </c>
      <c r="BQ254" s="285">
        <f>BP254+($BR$254-$BM$254)/5</f>
        <v>23.452476770097473</v>
      </c>
      <c r="BR254" s="286">
        <f>BM254*$D$745</f>
        <v>23.467337136642058</v>
      </c>
    </row>
    <row r="255" spans="1:70" x14ac:dyDescent="0.25">
      <c r="A255" s="904" t="s">
        <v>510</v>
      </c>
      <c r="B255" s="906">
        <v>11.896094322204601</v>
      </c>
      <c r="C255" s="906">
        <v>10.9898433685303</v>
      </c>
      <c r="D255" s="906">
        <v>11.3387994766235</v>
      </c>
      <c r="E255" s="906">
        <v>8.9075946807861293</v>
      </c>
      <c r="F255" s="906">
        <v>9.4656057357788104</v>
      </c>
      <c r="G255" s="906">
        <v>9.7463216781616193</v>
      </c>
      <c r="H255" s="906">
        <v>9.7210922241210902</v>
      </c>
      <c r="I255" s="906">
        <v>9.6719341278076207</v>
      </c>
      <c r="J255" s="906">
        <v>9.7138872146606392</v>
      </c>
      <c r="K255" s="906">
        <v>9.8306560516357404</v>
      </c>
      <c r="L255" s="906">
        <v>10.038209915161101</v>
      </c>
      <c r="M255" s="906">
        <v>10.2545003890991</v>
      </c>
      <c r="N255" s="906">
        <v>10.476261138916</v>
      </c>
      <c r="O255" s="906">
        <v>10.746561050415</v>
      </c>
      <c r="P255" s="906">
        <v>11.0803880691528</v>
      </c>
      <c r="Q255" s="906">
        <v>11.314369201660201</v>
      </c>
      <c r="R255" s="906">
        <v>11.4017143249512</v>
      </c>
      <c r="S255" s="906">
        <v>11.212500572204601</v>
      </c>
      <c r="T255" s="906">
        <v>11.1975994110107</v>
      </c>
      <c r="U255" s="906">
        <v>11.159740447998001</v>
      </c>
      <c r="V255" s="906">
        <v>11.3503875732422</v>
      </c>
      <c r="W255" s="906">
        <v>11.640952110290501</v>
      </c>
      <c r="X255" s="906">
        <v>11.9785671234131</v>
      </c>
      <c r="Y255" s="906">
        <v>12.2332496643066</v>
      </c>
      <c r="Z255" s="906">
        <v>12.5188312530518</v>
      </c>
      <c r="AA255" s="306"/>
      <c r="AB255" s="306"/>
      <c r="AC255" s="306"/>
      <c r="AD255" s="306"/>
    </row>
    <row r="256" spans="1:70" x14ac:dyDescent="0.25">
      <c r="A256" s="904" t="s">
        <v>479</v>
      </c>
      <c r="B256" s="906">
        <v>28.3762531280518</v>
      </c>
      <c r="C256" s="906">
        <v>28.029735565185501</v>
      </c>
      <c r="D256" s="906">
        <v>29.057315826416001</v>
      </c>
      <c r="E256" s="906">
        <v>27.6067714691162</v>
      </c>
      <c r="F256" s="906">
        <v>24.835584640502901</v>
      </c>
      <c r="G256" s="906">
        <v>25.581251144409201</v>
      </c>
      <c r="H256" s="906">
        <v>25.4402256011963</v>
      </c>
      <c r="I256" s="906">
        <v>25.470129013061499</v>
      </c>
      <c r="J256" s="906">
        <v>25.672283172607401</v>
      </c>
      <c r="K256" s="906">
        <v>25.763282775878899</v>
      </c>
      <c r="L256" s="906">
        <v>26.100669860839801</v>
      </c>
      <c r="M256" s="906">
        <v>26.468044281005898</v>
      </c>
      <c r="N256" s="906">
        <v>26.885612487793001</v>
      </c>
      <c r="O256" s="906">
        <v>27.169450759887699</v>
      </c>
      <c r="P256" s="906">
        <v>27.620109558105501</v>
      </c>
      <c r="Q256" s="906">
        <v>28.002447128295898</v>
      </c>
      <c r="R256" s="906">
        <v>28.245407104492202</v>
      </c>
      <c r="S256" s="906">
        <v>28.186374664306602</v>
      </c>
      <c r="T256" s="906">
        <v>28.203248977661101</v>
      </c>
      <c r="U256" s="906">
        <v>28.139711380004901</v>
      </c>
      <c r="V256" s="906">
        <v>28.178466796875</v>
      </c>
      <c r="W256" s="906">
        <v>28.495182037353501</v>
      </c>
      <c r="X256" s="906">
        <v>28.915565490722699</v>
      </c>
      <c r="Y256" s="906">
        <v>29.289411544799801</v>
      </c>
      <c r="Z256" s="906">
        <v>29.651695251464801</v>
      </c>
      <c r="AA256" s="306">
        <v>16.318952560424801</v>
      </c>
      <c r="AB256" s="306">
        <v>16.4172878265381</v>
      </c>
      <c r="AC256" s="306">
        <v>16.5084934234619</v>
      </c>
      <c r="AD256" s="306">
        <v>16.549221038818398</v>
      </c>
    </row>
    <row r="257" spans="1:70" x14ac:dyDescent="0.25">
      <c r="AA257" s="306">
        <v>12.788073539733899</v>
      </c>
      <c r="AB257" s="306">
        <v>13.069622039794901</v>
      </c>
      <c r="AC257" s="306">
        <v>13.0597486495972</v>
      </c>
      <c r="AD257" s="306">
        <v>13.2463188171387</v>
      </c>
    </row>
    <row r="258" spans="1:70" ht="13.8" thickBot="1" x14ac:dyDescent="0.3">
      <c r="A258" s="904" t="s">
        <v>612</v>
      </c>
      <c r="AA258" s="306">
        <v>9.5039434432983398</v>
      </c>
      <c r="AB258" s="306">
        <v>9.4975557327270508</v>
      </c>
      <c r="AC258" s="306">
        <v>9.6068582534790004</v>
      </c>
      <c r="AD258" s="306">
        <v>9.5831336975097692</v>
      </c>
    </row>
    <row r="259" spans="1:70" ht="13.8" thickBot="1" x14ac:dyDescent="0.3">
      <c r="A259" s="904" t="s">
        <v>609</v>
      </c>
      <c r="B259" s="906">
        <v>21.041078567504901</v>
      </c>
      <c r="C259" s="906">
        <v>23.3795166015625</v>
      </c>
      <c r="D259" s="906">
        <v>26.646581649780298</v>
      </c>
      <c r="E259" s="906">
        <v>22.2440700531006</v>
      </c>
      <c r="F259" s="906">
        <v>16.6379299163818</v>
      </c>
      <c r="G259" s="906">
        <v>18.920274734497099</v>
      </c>
      <c r="H259" s="906">
        <v>20.8892612457275</v>
      </c>
      <c r="I259" s="906">
        <v>22.636520385742202</v>
      </c>
      <c r="J259" s="906">
        <v>24.1346244812012</v>
      </c>
      <c r="K259" s="906">
        <v>25.742292404174801</v>
      </c>
      <c r="L259" s="906">
        <v>26.783767700195298</v>
      </c>
      <c r="M259" s="906">
        <v>27.652248382568398</v>
      </c>
      <c r="N259" s="906">
        <v>28.520401000976602</v>
      </c>
      <c r="O259" s="906">
        <v>28.932659149169901</v>
      </c>
      <c r="P259" s="906">
        <v>29.169765472412099</v>
      </c>
      <c r="Q259" s="906">
        <v>29.4143581390381</v>
      </c>
      <c r="R259" s="906">
        <v>29.524629592895501</v>
      </c>
      <c r="S259" s="906">
        <v>29.853767395019499</v>
      </c>
      <c r="T259" s="906">
        <v>29.959171295166001</v>
      </c>
      <c r="U259" s="906">
        <v>29.528638839721701</v>
      </c>
      <c r="V259" s="906">
        <v>29.7813510894775</v>
      </c>
      <c r="W259" s="906">
        <v>30.054143905639599</v>
      </c>
      <c r="X259" s="906">
        <v>30.3852443695068</v>
      </c>
      <c r="Y259" s="906">
        <v>30.4649448394775</v>
      </c>
      <c r="Z259" s="906">
        <v>30.849096298217798</v>
      </c>
      <c r="AA259" s="306">
        <v>6.3330101966857901</v>
      </c>
      <c r="AB259" s="306">
        <v>6.4338274002075204</v>
      </c>
      <c r="AC259" s="306">
        <v>6.5134425163268999</v>
      </c>
      <c r="AD259" s="306">
        <v>6.5598897933959996</v>
      </c>
      <c r="AE259" s="283">
        <f>AD259+($AI$259-$AD$259)/5</f>
        <v>6.5507078532683796</v>
      </c>
      <c r="AF259" s="283">
        <f>AE259+($AI$259-$AD$259)/5</f>
        <v>6.5415259131407595</v>
      </c>
      <c r="AG259" s="283">
        <f>AF259+($AI$259-$AD$259)/5</f>
        <v>6.5323439730131394</v>
      </c>
      <c r="AH259" s="283">
        <f>AG259+($AI$259-$AD$259)/5</f>
        <v>6.5231620328855193</v>
      </c>
      <c r="AI259" s="284">
        <f>T429*$E$742</f>
        <v>6.5139800927579001</v>
      </c>
      <c r="AJ259" s="283">
        <f>AI259+($AX$259-$AI$259)/15</f>
        <v>6.5877135610615332</v>
      </c>
      <c r="AK259" s="283">
        <f t="shared" ref="AK259:AW259" si="7">AJ259+($AX$259-$AI$259)/15</f>
        <v>6.6614470293651662</v>
      </c>
      <c r="AL259" s="283">
        <f t="shared" si="7"/>
        <v>6.7351804976687992</v>
      </c>
      <c r="AM259" s="283">
        <f t="shared" si="7"/>
        <v>6.8089139659724323</v>
      </c>
      <c r="AN259" s="283">
        <f t="shared" si="7"/>
        <v>6.8826474342760653</v>
      </c>
      <c r="AO259" s="283">
        <f t="shared" si="7"/>
        <v>6.9563809025796983</v>
      </c>
      <c r="AP259" s="283">
        <f t="shared" si="7"/>
        <v>7.0301143708833314</v>
      </c>
      <c r="AQ259" s="283">
        <f t="shared" si="7"/>
        <v>7.1038478391869644</v>
      </c>
      <c r="AR259" s="283">
        <f t="shared" si="7"/>
        <v>7.1775813074905974</v>
      </c>
      <c r="AS259" s="283">
        <f t="shared" si="7"/>
        <v>7.2513147757942304</v>
      </c>
      <c r="AT259" s="283">
        <f t="shared" si="7"/>
        <v>7.3250482440978635</v>
      </c>
      <c r="AU259" s="283">
        <f t="shared" si="7"/>
        <v>7.3987817124014965</v>
      </c>
      <c r="AV259" s="283">
        <f t="shared" si="7"/>
        <v>7.4725151807051295</v>
      </c>
      <c r="AW259" s="283">
        <f t="shared" si="7"/>
        <v>7.5462486490087626</v>
      </c>
      <c r="AX259" s="284">
        <f>AI259*$B$742</f>
        <v>7.6199821173123929</v>
      </c>
      <c r="AY259" s="283">
        <f>AX259+($BM$259-$AX$259)/15</f>
        <v>7.6954333002095865</v>
      </c>
      <c r="AZ259" s="283">
        <f t="shared" ref="AZ259:BL259" si="8">AY259+($BM$259-$AX$259)/15</f>
        <v>7.77088448310678</v>
      </c>
      <c r="BA259" s="283">
        <f t="shared" si="8"/>
        <v>7.8463356660039736</v>
      </c>
      <c r="BB259" s="283">
        <f t="shared" si="8"/>
        <v>7.9217868489011671</v>
      </c>
      <c r="BC259" s="283">
        <f t="shared" si="8"/>
        <v>7.9972380317983607</v>
      </c>
      <c r="BD259" s="283">
        <f t="shared" si="8"/>
        <v>8.0726892146955542</v>
      </c>
      <c r="BE259" s="283">
        <f t="shared" si="8"/>
        <v>8.1481403975927478</v>
      </c>
      <c r="BF259" s="283">
        <f t="shared" si="8"/>
        <v>8.2235915804899413</v>
      </c>
      <c r="BG259" s="283">
        <f t="shared" si="8"/>
        <v>8.2990427633871349</v>
      </c>
      <c r="BH259" s="283">
        <f t="shared" si="8"/>
        <v>8.3744939462843284</v>
      </c>
      <c r="BI259" s="283">
        <f t="shared" si="8"/>
        <v>8.449945129181522</v>
      </c>
      <c r="BJ259" s="283">
        <f t="shared" si="8"/>
        <v>8.5253963120787155</v>
      </c>
      <c r="BK259" s="283">
        <f t="shared" si="8"/>
        <v>8.6008474949759091</v>
      </c>
      <c r="BL259" s="283">
        <f t="shared" si="8"/>
        <v>8.6762986778731026</v>
      </c>
      <c r="BM259" s="284">
        <f>AX259*$C$742</f>
        <v>8.7517498607702962</v>
      </c>
      <c r="BN259" s="283">
        <f>BM259+($BR$259-$BM$259)/5</f>
        <v>8.8384075286295438</v>
      </c>
      <c r="BO259" s="283">
        <f>BN259+($BR$259-$BM$259)/5</f>
        <v>8.9250651964887915</v>
      </c>
      <c r="BP259" s="283">
        <f>BO259+($BR$259-$BM$259)/5</f>
        <v>9.0117228643480392</v>
      </c>
      <c r="BQ259" s="283">
        <f>BP259+($BR$259-$BM$259)/5</f>
        <v>9.0983805322072868</v>
      </c>
      <c r="BR259" s="284">
        <f>BM259*$D$742</f>
        <v>9.1850382000665363</v>
      </c>
    </row>
    <row r="260" spans="1:70" x14ac:dyDescent="0.25">
      <c r="A260" s="904" t="s">
        <v>610</v>
      </c>
      <c r="B260" s="906">
        <v>15.7354278564453</v>
      </c>
      <c r="C260" s="906">
        <v>16.8219394683838</v>
      </c>
      <c r="D260" s="906">
        <v>21.937858581543001</v>
      </c>
      <c r="E260" s="906">
        <v>14.291754722595201</v>
      </c>
      <c r="F260" s="906">
        <v>10.6247463226318</v>
      </c>
      <c r="G260" s="906">
        <v>13.4027051925659</v>
      </c>
      <c r="H260" s="906">
        <v>15.2648477554321</v>
      </c>
      <c r="I260" s="906">
        <v>17.266075134277301</v>
      </c>
      <c r="J260" s="906">
        <v>18.658037185668899</v>
      </c>
      <c r="K260" s="906">
        <v>19.740333557128899</v>
      </c>
      <c r="L260" s="906">
        <v>20.622322082519499</v>
      </c>
      <c r="M260" s="906">
        <v>21.514814376831101</v>
      </c>
      <c r="N260" s="906">
        <v>22.261856079101602</v>
      </c>
      <c r="O260" s="906">
        <v>22.720048904418899</v>
      </c>
      <c r="P260" s="906">
        <v>23.0620517730713</v>
      </c>
      <c r="Q260" s="906">
        <v>23.029100418090799</v>
      </c>
      <c r="R260" s="906">
        <v>23.327865600585898</v>
      </c>
      <c r="S260" s="906">
        <v>23.5460414886475</v>
      </c>
      <c r="T260" s="906">
        <v>23.635374069213899</v>
      </c>
      <c r="U260" s="906">
        <v>23.588466644287099</v>
      </c>
      <c r="V260" s="906">
        <v>23.9423828125</v>
      </c>
      <c r="W260" s="906">
        <v>23.870851516723601</v>
      </c>
      <c r="X260" s="906">
        <v>24.336980819702099</v>
      </c>
      <c r="Y260" s="906">
        <v>25.037542343139599</v>
      </c>
      <c r="Z260" s="906">
        <v>25.073137283325199</v>
      </c>
      <c r="AA260" s="306">
        <v>2.7168338298797599</v>
      </c>
      <c r="AB260" s="306">
        <v>2.7307398319244398</v>
      </c>
      <c r="AC260" s="306">
        <v>2.7413196563720699</v>
      </c>
      <c r="AD260" s="306">
        <v>2.7546591758728001</v>
      </c>
    </row>
    <row r="261" spans="1:70" x14ac:dyDescent="0.25">
      <c r="A261" s="904" t="s">
        <v>611</v>
      </c>
      <c r="B261" s="906">
        <v>9.2125787734985405</v>
      </c>
      <c r="C261" s="906">
        <v>10.5954837799072</v>
      </c>
      <c r="D261" s="906">
        <v>13.7473258972168</v>
      </c>
      <c r="E261" s="906">
        <v>6.9127345085143999</v>
      </c>
      <c r="F261" s="906">
        <v>9.8444128036499006</v>
      </c>
      <c r="G261" s="906">
        <v>12.2499532699585</v>
      </c>
      <c r="H261" s="906">
        <v>13.9352369308472</v>
      </c>
      <c r="I261" s="906">
        <v>15.428977966308601</v>
      </c>
      <c r="J261" s="906">
        <v>16.646518707275401</v>
      </c>
      <c r="K261" s="906">
        <v>18.037969589233398</v>
      </c>
      <c r="L261" s="906">
        <v>18.8180332183838</v>
      </c>
      <c r="M261" s="906">
        <v>19.4296264648438</v>
      </c>
      <c r="N261" s="906">
        <v>20.112428665161101</v>
      </c>
      <c r="O261" s="906">
        <v>20.448431015014599</v>
      </c>
      <c r="P261" s="906">
        <v>20.727931976318398</v>
      </c>
      <c r="Q261" s="906">
        <v>20.973798751831101</v>
      </c>
      <c r="R261" s="906">
        <v>21.101537704467798</v>
      </c>
      <c r="S261" s="906">
        <v>21.306892395019499</v>
      </c>
      <c r="T261" s="906">
        <v>21.394767761230501</v>
      </c>
      <c r="U261" s="906">
        <v>21.017236709594702</v>
      </c>
      <c r="V261" s="906">
        <v>21.180326461791999</v>
      </c>
      <c r="W261" s="906">
        <v>21.338615417480501</v>
      </c>
      <c r="X261" s="906">
        <v>21.660650253295898</v>
      </c>
      <c r="Y261" s="906">
        <v>21.793584823608398</v>
      </c>
      <c r="Z261" s="906">
        <v>22.078443527221701</v>
      </c>
      <c r="AA261" s="306">
        <v>2.2517027854919398</v>
      </c>
      <c r="AB261" s="306">
        <v>2.2682161331176802</v>
      </c>
      <c r="AC261" s="306">
        <v>2.2745745182037398</v>
      </c>
      <c r="AD261" s="306">
        <v>2.2862651348114</v>
      </c>
    </row>
    <row r="262" spans="1:70" ht="13.8" thickBot="1" x14ac:dyDescent="0.3">
      <c r="A262" s="904" t="s">
        <v>613</v>
      </c>
      <c r="B262" s="906">
        <v>7.9540700912475604</v>
      </c>
      <c r="C262" s="906">
        <v>7.5152516365051296</v>
      </c>
      <c r="D262" s="906">
        <v>8.8012723922729492</v>
      </c>
      <c r="E262" s="906">
        <v>4.8485679626464799</v>
      </c>
      <c r="F262" s="906">
        <v>5.4989199638366699</v>
      </c>
      <c r="G262" s="906">
        <v>5.8261642456054696</v>
      </c>
      <c r="H262" s="906">
        <v>5.87778615951538</v>
      </c>
      <c r="I262" s="906">
        <v>5.9538393020629901</v>
      </c>
      <c r="J262" s="906">
        <v>6.1098570823669398</v>
      </c>
      <c r="K262" s="906">
        <v>6.3294844627380398</v>
      </c>
      <c r="L262" s="906">
        <v>6.5125813484191903</v>
      </c>
      <c r="M262" s="906">
        <v>6.7027301788330096</v>
      </c>
      <c r="N262" s="906">
        <v>6.8988709449768102</v>
      </c>
      <c r="O262" s="906">
        <v>7.1528282165527299</v>
      </c>
      <c r="P262" s="906">
        <v>7.4686021804809597</v>
      </c>
      <c r="Q262" s="906">
        <v>7.6786775588989302</v>
      </c>
      <c r="R262" s="906">
        <v>7.7538070678710902</v>
      </c>
      <c r="S262" s="906">
        <v>7.5584783554077104</v>
      </c>
      <c r="T262" s="906">
        <v>7.5461778640747097</v>
      </c>
      <c r="U262" s="906">
        <v>7.4592709541320801</v>
      </c>
      <c r="V262" s="906">
        <v>7.6002230644226101</v>
      </c>
      <c r="W262" s="906">
        <v>7.8596048355102504</v>
      </c>
      <c r="X262" s="906">
        <v>8.1941757202148402</v>
      </c>
      <c r="Y262" s="906">
        <v>8.4216127395629901</v>
      </c>
      <c r="Z262" s="906">
        <v>8.6935501098632795</v>
      </c>
      <c r="AA262" s="306">
        <v>1.2833950519561801</v>
      </c>
      <c r="AB262" s="306">
        <v>1.3286876678466799</v>
      </c>
      <c r="AC262" s="306">
        <v>1.33012855052948</v>
      </c>
      <c r="AD262" s="306">
        <v>1.33445107936859</v>
      </c>
    </row>
    <row r="263" spans="1:70" ht="13.8" thickBot="1" x14ac:dyDescent="0.3">
      <c r="A263" s="904" t="s">
        <v>614</v>
      </c>
      <c r="B263" s="906">
        <v>3.6353600025177002</v>
      </c>
      <c r="C263" s="906">
        <v>3.6099998950958301</v>
      </c>
      <c r="D263" s="906">
        <v>4.0558156967163104</v>
      </c>
      <c r="E263" s="906">
        <v>4.0487108230590803</v>
      </c>
      <c r="F263" s="906">
        <v>3.9977276325225799</v>
      </c>
      <c r="G263" s="906">
        <v>4.1121706962585396</v>
      </c>
      <c r="H263" s="906">
        <v>4.1809573173522896</v>
      </c>
      <c r="I263" s="906">
        <v>4.2343683242797896</v>
      </c>
      <c r="J263" s="906">
        <v>4.27162742614746</v>
      </c>
      <c r="K263" s="906">
        <v>4.2985162734985396</v>
      </c>
      <c r="L263" s="906">
        <v>4.3192996978759801</v>
      </c>
      <c r="M263" s="906">
        <v>4.3337044715881303</v>
      </c>
      <c r="N263" s="906">
        <v>4.3530845642089799</v>
      </c>
      <c r="O263" s="906">
        <v>4.3696141242981001</v>
      </c>
      <c r="P263" s="906">
        <v>4.3899216651916504</v>
      </c>
      <c r="Q263" s="906">
        <v>4.4470157623290998</v>
      </c>
      <c r="R263" s="906">
        <v>4.5093812942504901</v>
      </c>
      <c r="S263" s="906">
        <v>4.5352845191955602</v>
      </c>
      <c r="T263" s="906">
        <v>4.5618190765380904</v>
      </c>
      <c r="U263" s="906">
        <v>4.5643453598022496</v>
      </c>
      <c r="V263" s="906">
        <v>4.5493078231811497</v>
      </c>
      <c r="W263" s="906">
        <v>4.5490665435790998</v>
      </c>
      <c r="X263" s="906">
        <v>4.5331215858459499</v>
      </c>
      <c r="Y263" s="906">
        <v>4.4955492019653303</v>
      </c>
      <c r="Z263" s="906">
        <v>4.4319190979003897</v>
      </c>
      <c r="AA263" s="306">
        <v>17.3004150390625</v>
      </c>
      <c r="AB263" s="306">
        <v>17.331628799438501</v>
      </c>
      <c r="AC263" s="306">
        <v>17.425392150878899</v>
      </c>
      <c r="AD263" s="306">
        <v>17.430723190307599</v>
      </c>
      <c r="AE263" s="285">
        <f>AD263+($AI$263-$AD$263)/5</f>
        <v>17.267158349957999</v>
      </c>
      <c r="AF263" s="285">
        <f>AE263+($AI$263-$AD$263)/5</f>
        <v>17.103593509608398</v>
      </c>
      <c r="AG263" s="285">
        <f>AF263+($AI$263-$AD$263)/5</f>
        <v>16.940028669258798</v>
      </c>
      <c r="AH263" s="285">
        <f>AG263+($AI$263-$AD$263)/5</f>
        <v>16.776463828909197</v>
      </c>
      <c r="AI263" s="286">
        <f>T433*$E$745</f>
        <v>16.612898988559596</v>
      </c>
      <c r="AJ263" s="285">
        <f>AI263+($AX$263-$AI$263)/15</f>
        <v>16.606368113587273</v>
      </c>
      <c r="AK263" s="285">
        <f t="shared" ref="AK263:AW263" si="9">AJ263+($AX$263-$AI$263)/15</f>
        <v>16.599837238614949</v>
      </c>
      <c r="AL263" s="285">
        <f t="shared" si="9"/>
        <v>16.593306363642625</v>
      </c>
      <c r="AM263" s="285">
        <f t="shared" si="9"/>
        <v>16.586775488670302</v>
      </c>
      <c r="AN263" s="285">
        <f t="shared" si="9"/>
        <v>16.580244613697978</v>
      </c>
      <c r="AO263" s="285">
        <f t="shared" si="9"/>
        <v>16.573713738725655</v>
      </c>
      <c r="AP263" s="285">
        <f t="shared" si="9"/>
        <v>16.567182863753331</v>
      </c>
      <c r="AQ263" s="285">
        <f t="shared" si="9"/>
        <v>16.560651988781007</v>
      </c>
      <c r="AR263" s="285">
        <f t="shared" si="9"/>
        <v>16.554121113808684</v>
      </c>
      <c r="AS263" s="285">
        <f t="shared" si="9"/>
        <v>16.54759023883636</v>
      </c>
      <c r="AT263" s="285">
        <f t="shared" si="9"/>
        <v>16.541059363864036</v>
      </c>
      <c r="AU263" s="285">
        <f t="shared" si="9"/>
        <v>16.534528488891713</v>
      </c>
      <c r="AV263" s="285">
        <f t="shared" si="9"/>
        <v>16.527997613919389</v>
      </c>
      <c r="AW263" s="285">
        <f t="shared" si="9"/>
        <v>16.521466738947066</v>
      </c>
      <c r="AX263" s="286">
        <f>AI263*$B$745</f>
        <v>16.514935863974742</v>
      </c>
      <c r="AY263" s="285">
        <f>AX263+($BM$263-$AX$263)/15</f>
        <v>16.525426935236357</v>
      </c>
      <c r="AZ263" s="285">
        <f t="shared" ref="AZ263:BL263" si="10">AY263+($BM$263-$AX$263)/15</f>
        <v>16.535918006497972</v>
      </c>
      <c r="BA263" s="285">
        <f t="shared" si="10"/>
        <v>16.546409077759588</v>
      </c>
      <c r="BB263" s="285">
        <f t="shared" si="10"/>
        <v>16.556900149021203</v>
      </c>
      <c r="BC263" s="285">
        <f t="shared" si="10"/>
        <v>16.567391220282818</v>
      </c>
      <c r="BD263" s="285">
        <f t="shared" si="10"/>
        <v>16.577882291544434</v>
      </c>
      <c r="BE263" s="285">
        <f t="shared" si="10"/>
        <v>16.588373362806049</v>
      </c>
      <c r="BF263" s="285">
        <f t="shared" si="10"/>
        <v>16.598864434067664</v>
      </c>
      <c r="BG263" s="285">
        <f t="shared" si="10"/>
        <v>16.60935550532928</v>
      </c>
      <c r="BH263" s="285">
        <f t="shared" si="10"/>
        <v>16.619846576590895</v>
      </c>
      <c r="BI263" s="285">
        <f t="shared" si="10"/>
        <v>16.63033764785251</v>
      </c>
      <c r="BJ263" s="285">
        <f t="shared" si="10"/>
        <v>16.640828719114126</v>
      </c>
      <c r="BK263" s="285">
        <f t="shared" si="10"/>
        <v>16.651319790375741</v>
      </c>
      <c r="BL263" s="285">
        <f t="shared" si="10"/>
        <v>16.661810861637356</v>
      </c>
      <c r="BM263" s="286">
        <f>AX263*$C$745</f>
        <v>16.672301932898996</v>
      </c>
      <c r="BN263" s="285">
        <f>BM263+($BR$263-$BM$263)/5</f>
        <v>16.682892970558111</v>
      </c>
      <c r="BO263" s="285">
        <f>BN263+($BR$263-$BM$263)/5</f>
        <v>16.693484008217226</v>
      </c>
      <c r="BP263" s="285">
        <f>BO263+($BR$263-$BM$263)/5</f>
        <v>16.704075045876341</v>
      </c>
      <c r="BQ263" s="285">
        <f>BP263+($BR$263-$BM$263)/5</f>
        <v>16.714666083535455</v>
      </c>
      <c r="BR263" s="286">
        <f>BM263*$D$745</f>
        <v>16.725257121194577</v>
      </c>
    </row>
    <row r="264" spans="1:70" x14ac:dyDescent="0.25">
      <c r="A264" s="904" t="s">
        <v>615</v>
      </c>
      <c r="B264" s="906">
        <v>2.4029970169067401</v>
      </c>
      <c r="C264" s="906">
        <v>2.4299483299255402</v>
      </c>
      <c r="D264" s="906">
        <v>2.5420303344726598</v>
      </c>
      <c r="E264" s="906">
        <v>2.4490520954132098</v>
      </c>
      <c r="F264" s="906">
        <v>2.3906834125518799</v>
      </c>
      <c r="G264" s="906">
        <v>2.4765830039978001</v>
      </c>
      <c r="H264" s="906">
        <v>2.4936084747314502</v>
      </c>
      <c r="I264" s="906">
        <v>2.5247271060943599</v>
      </c>
      <c r="J264" s="906">
        <v>2.54471778869629</v>
      </c>
      <c r="K264" s="906">
        <v>2.53918480873108</v>
      </c>
      <c r="L264" s="906">
        <v>2.54552221298218</v>
      </c>
      <c r="M264" s="906">
        <v>2.5526983737945601</v>
      </c>
      <c r="N264" s="906">
        <v>2.5639333724975599</v>
      </c>
      <c r="O264" s="906">
        <v>2.5611753463745099</v>
      </c>
      <c r="P264" s="906">
        <v>2.56861472129822</v>
      </c>
      <c r="Q264" s="906">
        <v>2.5710935592651398</v>
      </c>
      <c r="R264" s="906">
        <v>2.57420825958252</v>
      </c>
      <c r="S264" s="906">
        <v>2.5741758346557599</v>
      </c>
      <c r="T264" s="906">
        <v>2.5788726806640598</v>
      </c>
      <c r="U264" s="906">
        <v>2.5789062976837198</v>
      </c>
      <c r="V264" s="906">
        <v>2.59378290176392</v>
      </c>
      <c r="W264" s="906">
        <v>2.6088099479675302</v>
      </c>
      <c r="X264" s="906">
        <v>2.6259028911590598</v>
      </c>
      <c r="Y264" s="906">
        <v>2.64452123641968</v>
      </c>
      <c r="Z264" s="906">
        <v>2.6644773483276398</v>
      </c>
      <c r="AA264" s="306"/>
      <c r="AB264" s="306"/>
      <c r="AC264" s="306"/>
      <c r="AD264" s="306"/>
    </row>
    <row r="265" spans="1:70" ht="13.8" thickBot="1" x14ac:dyDescent="0.3">
      <c r="A265" s="904" t="s">
        <v>616</v>
      </c>
      <c r="B265" s="906">
        <v>0</v>
      </c>
      <c r="C265" s="906">
        <v>0</v>
      </c>
      <c r="D265" s="906">
        <v>0</v>
      </c>
      <c r="E265" s="906">
        <v>0</v>
      </c>
      <c r="F265" s="906">
        <v>0</v>
      </c>
      <c r="G265" s="906">
        <v>1.5133428573608401</v>
      </c>
      <c r="H265" s="906">
        <v>1.3742095232009901</v>
      </c>
      <c r="I265" s="906">
        <v>1.19064140319824</v>
      </c>
      <c r="J265" s="906">
        <v>1.3664953708648699</v>
      </c>
      <c r="K265" s="906">
        <v>1.33487153053284</v>
      </c>
      <c r="L265" s="906">
        <v>1.31654036045074</v>
      </c>
      <c r="M265" s="906">
        <v>1.30223417282104</v>
      </c>
      <c r="N265" s="906">
        <v>1.30838906764984</v>
      </c>
      <c r="O265" s="906">
        <v>1.32146644592285</v>
      </c>
      <c r="P265" s="906">
        <v>1.3489345312118499</v>
      </c>
      <c r="Q265" s="906">
        <v>1.3524934053421001</v>
      </c>
      <c r="R265" s="906">
        <v>1.3570195436477701</v>
      </c>
      <c r="S265" s="906">
        <v>1.3626403808593801</v>
      </c>
      <c r="T265" s="906">
        <v>1.37119424343109</v>
      </c>
      <c r="U265" s="906">
        <v>1.3635557889938399</v>
      </c>
      <c r="V265" s="906">
        <v>1.3662919998168901</v>
      </c>
      <c r="W265" s="906">
        <v>1.37254309654236</v>
      </c>
      <c r="X265" s="906">
        <v>1.37609398365021</v>
      </c>
      <c r="Y265" s="906">
        <v>1.3784751892089799</v>
      </c>
      <c r="Z265" s="906">
        <v>1.3805129528045701</v>
      </c>
      <c r="AA265" s="306">
        <v>24.056577682495099</v>
      </c>
      <c r="AB265" s="306">
        <v>24.1739406585693</v>
      </c>
      <c r="AC265" s="306">
        <v>24.2586994171143</v>
      </c>
      <c r="AD265" s="306">
        <v>24.288969039916999</v>
      </c>
    </row>
    <row r="266" spans="1:70" ht="13.8" thickBot="1" x14ac:dyDescent="0.3">
      <c r="A266" s="904" t="s">
        <v>479</v>
      </c>
      <c r="B266" s="906">
        <v>18.400894165039102</v>
      </c>
      <c r="C266" s="906">
        <v>18.6226921081543</v>
      </c>
      <c r="D266" s="906">
        <v>20.334409713745099</v>
      </c>
      <c r="E266" s="906">
        <v>19.159486770629901</v>
      </c>
      <c r="F266" s="906">
        <v>16.828172683715799</v>
      </c>
      <c r="G266" s="906">
        <v>17.264308929443398</v>
      </c>
      <c r="H266" s="906">
        <v>17.156070709228501</v>
      </c>
      <c r="I266" s="906">
        <v>17.083604812622099</v>
      </c>
      <c r="J266" s="906">
        <v>17.1988334655762</v>
      </c>
      <c r="K266" s="906">
        <v>17.318143844604499</v>
      </c>
      <c r="L266" s="906">
        <v>17.615074157714801</v>
      </c>
      <c r="M266" s="906">
        <v>17.910154342651399</v>
      </c>
      <c r="N266" s="906">
        <v>18.210170745849599</v>
      </c>
      <c r="O266" s="906">
        <v>18.456880569458001</v>
      </c>
      <c r="P266" s="906">
        <v>18.803001403808601</v>
      </c>
      <c r="Q266" s="906">
        <v>19.085206985473601</v>
      </c>
      <c r="R266" s="906">
        <v>19.30615234375</v>
      </c>
      <c r="S266" s="906">
        <v>19.3043308258057</v>
      </c>
      <c r="T266" s="906">
        <v>19.3253479003906</v>
      </c>
      <c r="U266" s="906">
        <v>19.324813842773398</v>
      </c>
      <c r="V266" s="906">
        <v>19.354219436645501</v>
      </c>
      <c r="W266" s="906">
        <v>19.614883422851602</v>
      </c>
      <c r="X266" s="906">
        <v>19.97239112854</v>
      </c>
      <c r="Y266" s="906">
        <v>20.29469871521</v>
      </c>
      <c r="Z266" s="906">
        <v>20.560989379882798</v>
      </c>
      <c r="AA266" s="306">
        <v>21.3195495605469</v>
      </c>
      <c r="AB266" s="306">
        <v>21.43874168396</v>
      </c>
      <c r="AC266" s="306">
        <v>21.398374557495099</v>
      </c>
      <c r="AD266" s="306">
        <v>21.4992275238037</v>
      </c>
      <c r="AE266" s="289">
        <f>AD266+($AI$266-$AD$266)/5</f>
        <v>21.318281718011935</v>
      </c>
      <c r="AF266" s="289">
        <f>AE266+($AI$266-$AD$266)/5</f>
        <v>21.13733591222017</v>
      </c>
      <c r="AG266" s="289">
        <f>AF266+($AI$266-$AD$266)/5</f>
        <v>20.956390106428405</v>
      </c>
      <c r="AH266" s="289">
        <f>AG266+($AI$266-$AD$266)/5</f>
        <v>20.775444300636639</v>
      </c>
      <c r="AI266" s="290">
        <f>T436*$E$747</f>
        <v>20.594498494844878</v>
      </c>
      <c r="AJ266" s="289">
        <f>AI266+($AX$266-$AI$266)/15</f>
        <v>20.60819416894353</v>
      </c>
      <c r="AK266" s="289">
        <f t="shared" ref="AK266:AW266" si="11">AJ266+($AX$266-$AI$266)/15</f>
        <v>20.621889843042183</v>
      </c>
      <c r="AL266" s="289">
        <f t="shared" si="11"/>
        <v>20.635585517140836</v>
      </c>
      <c r="AM266" s="289">
        <f t="shared" si="11"/>
        <v>20.649281191239488</v>
      </c>
      <c r="AN266" s="289">
        <f t="shared" si="11"/>
        <v>20.662976865338141</v>
      </c>
      <c r="AO266" s="289">
        <f t="shared" si="11"/>
        <v>20.676672539436794</v>
      </c>
      <c r="AP266" s="289">
        <f t="shared" si="11"/>
        <v>20.690368213535447</v>
      </c>
      <c r="AQ266" s="289">
        <f t="shared" si="11"/>
        <v>20.704063887634099</v>
      </c>
      <c r="AR266" s="289">
        <f t="shared" si="11"/>
        <v>20.717759561732752</v>
      </c>
      <c r="AS266" s="289">
        <f t="shared" si="11"/>
        <v>20.731455235831405</v>
      </c>
      <c r="AT266" s="289">
        <f t="shared" si="11"/>
        <v>20.745150909930057</v>
      </c>
      <c r="AU266" s="289">
        <f t="shared" si="11"/>
        <v>20.75884658402871</v>
      </c>
      <c r="AV266" s="289">
        <f t="shared" si="11"/>
        <v>20.772542258127363</v>
      </c>
      <c r="AW266" s="289">
        <f t="shared" si="11"/>
        <v>20.786237932226015</v>
      </c>
      <c r="AX266" s="290">
        <f>AI266*$B$747</f>
        <v>20.799933606324664</v>
      </c>
      <c r="AY266" s="289">
        <f>AX266+($BM$266-$AX$266)/15</f>
        <v>20.807002050879195</v>
      </c>
      <c r="AZ266" s="289">
        <f t="shared" ref="AZ266:BL266" si="12">AY266+($BM$266-$AX$266)/15</f>
        <v>20.814070495433725</v>
      </c>
      <c r="BA266" s="289">
        <f t="shared" si="12"/>
        <v>20.821138939988256</v>
      </c>
      <c r="BB266" s="289">
        <f t="shared" si="12"/>
        <v>20.828207384542786</v>
      </c>
      <c r="BC266" s="289">
        <f t="shared" si="12"/>
        <v>20.835275829097316</v>
      </c>
      <c r="BD266" s="289">
        <f t="shared" si="12"/>
        <v>20.842344273651847</v>
      </c>
      <c r="BE266" s="289">
        <f t="shared" si="12"/>
        <v>20.849412718206377</v>
      </c>
      <c r="BF266" s="289">
        <f t="shared" si="12"/>
        <v>20.856481162760907</v>
      </c>
      <c r="BG266" s="289">
        <f t="shared" si="12"/>
        <v>20.863549607315438</v>
      </c>
      <c r="BH266" s="289">
        <f t="shared" si="12"/>
        <v>20.870618051869968</v>
      </c>
      <c r="BI266" s="289">
        <f t="shared" si="12"/>
        <v>20.877686496424499</v>
      </c>
      <c r="BJ266" s="289">
        <f t="shared" si="12"/>
        <v>20.884754940979029</v>
      </c>
      <c r="BK266" s="289">
        <f t="shared" si="12"/>
        <v>20.891823385533559</v>
      </c>
      <c r="BL266" s="289">
        <f t="shared" si="12"/>
        <v>20.89889183008809</v>
      </c>
      <c r="BM266" s="290">
        <f>AX266*$C$747</f>
        <v>20.905960274642634</v>
      </c>
      <c r="BN266" s="289">
        <f>BM266+($BR$266-$BM$266)/5</f>
        <v>20.913064750255749</v>
      </c>
      <c r="BO266" s="289">
        <f>BN266+($BR$266-$BM$266)/5</f>
        <v>20.920169225868865</v>
      </c>
      <c r="BP266" s="289">
        <f>BO266+($BR$266-$BM$266)/5</f>
        <v>20.92727370148198</v>
      </c>
      <c r="BQ266" s="289">
        <f>BP266+($BR$266-$BM$266)/5</f>
        <v>20.934378177095095</v>
      </c>
      <c r="BR266" s="290">
        <f>BM266*$D$747</f>
        <v>20.94148265270821</v>
      </c>
    </row>
    <row r="267" spans="1:70" ht="13.8" thickBot="1" x14ac:dyDescent="0.3">
      <c r="AA267" s="306">
        <v>17.292875289916999</v>
      </c>
      <c r="AB267" s="306">
        <v>17.531343460083001</v>
      </c>
      <c r="AC267" s="306">
        <v>17.526832580566399</v>
      </c>
      <c r="AD267" s="306">
        <v>17.756109237670898</v>
      </c>
      <c r="AE267" s="287">
        <f>AD267+($AI$267-$AD$267)/5</f>
        <v>18.740759573600641</v>
      </c>
      <c r="AF267" s="287">
        <f>AE267+($AI$267-$AD$267)/5</f>
        <v>19.725409909530384</v>
      </c>
      <c r="AG267" s="287">
        <f>AF267+($AI$267-$AD$267)/5</f>
        <v>20.710060245460127</v>
      </c>
      <c r="AH267" s="287">
        <f>AG267+($AI$267-$AD$267)/5</f>
        <v>21.69471058138987</v>
      </c>
      <c r="AI267" s="288">
        <f>T437*$E$744</f>
        <v>22.67936091731961</v>
      </c>
      <c r="AJ267" s="287">
        <f>AI267+($AX$267-$AI$267)/15</f>
        <v>22.91940642537169</v>
      </c>
      <c r="AK267" s="287">
        <f t="shared" ref="AK267:AW267" si="13">AJ267+($AX$267-$AI$267)/15</f>
        <v>23.159451933423771</v>
      </c>
      <c r="AL267" s="287">
        <f t="shared" si="13"/>
        <v>23.399497441475852</v>
      </c>
      <c r="AM267" s="287">
        <f t="shared" si="13"/>
        <v>23.639542949527932</v>
      </c>
      <c r="AN267" s="287">
        <f t="shared" si="13"/>
        <v>23.879588457580013</v>
      </c>
      <c r="AO267" s="287">
        <f t="shared" si="13"/>
        <v>24.119633965632094</v>
      </c>
      <c r="AP267" s="287">
        <f t="shared" si="13"/>
        <v>24.359679473684174</v>
      </c>
      <c r="AQ267" s="287">
        <f t="shared" si="13"/>
        <v>24.599724981736255</v>
      </c>
      <c r="AR267" s="287">
        <f t="shared" si="13"/>
        <v>24.839770489788336</v>
      </c>
      <c r="AS267" s="287">
        <f t="shared" si="13"/>
        <v>25.079815997840416</v>
      </c>
      <c r="AT267" s="287">
        <f t="shared" si="13"/>
        <v>25.319861505892497</v>
      </c>
      <c r="AU267" s="287">
        <f t="shared" si="13"/>
        <v>25.559907013944578</v>
      </c>
      <c r="AV267" s="287">
        <f t="shared" si="13"/>
        <v>25.799952521996659</v>
      </c>
      <c r="AW267" s="287">
        <f t="shared" si="13"/>
        <v>26.039998030048739</v>
      </c>
      <c r="AX267" s="288">
        <f>AI267*$B$744</f>
        <v>26.28004353810082</v>
      </c>
      <c r="AY267" s="287">
        <f>AX267+($BM$267-$AX$267)/15</f>
        <v>26.429681543018035</v>
      </c>
      <c r="AZ267" s="287">
        <f t="shared" ref="AZ267:BL267" si="14">AY267+($BM$267-$AX$267)/15</f>
        <v>26.579319547935249</v>
      </c>
      <c r="BA267" s="287">
        <f t="shared" si="14"/>
        <v>26.728957552852464</v>
      </c>
      <c r="BB267" s="287">
        <f t="shared" si="14"/>
        <v>26.878595557769678</v>
      </c>
      <c r="BC267" s="287">
        <f t="shared" si="14"/>
        <v>27.028233562686893</v>
      </c>
      <c r="BD267" s="287">
        <f t="shared" si="14"/>
        <v>27.177871567604107</v>
      </c>
      <c r="BE267" s="287">
        <f t="shared" si="14"/>
        <v>27.327509572521322</v>
      </c>
      <c r="BF267" s="287">
        <f t="shared" si="14"/>
        <v>27.477147577438537</v>
      </c>
      <c r="BG267" s="287">
        <f t="shared" si="14"/>
        <v>27.626785582355751</v>
      </c>
      <c r="BH267" s="287">
        <f t="shared" si="14"/>
        <v>27.776423587272966</v>
      </c>
      <c r="BI267" s="287">
        <f t="shared" si="14"/>
        <v>27.92606159219018</v>
      </c>
      <c r="BJ267" s="287">
        <f t="shared" si="14"/>
        <v>28.075699597107395</v>
      </c>
      <c r="BK267" s="287">
        <f t="shared" si="14"/>
        <v>28.225337602024609</v>
      </c>
      <c r="BL267" s="287">
        <f t="shared" si="14"/>
        <v>28.374975606941824</v>
      </c>
      <c r="BM267" s="288">
        <f>AX267*$C$744</f>
        <v>28.524613611859053</v>
      </c>
      <c r="BN267" s="287">
        <f>BM267+($BR$267-$BM$267)/5</f>
        <v>28.687032150691561</v>
      </c>
      <c r="BO267" s="287">
        <f>BN267+($BR$267-$BM$267)/5</f>
        <v>28.849450689524069</v>
      </c>
      <c r="BP267" s="287">
        <f>BO267+($BR$267-$BM$267)/5</f>
        <v>29.011869228356577</v>
      </c>
      <c r="BQ267" s="287">
        <f>BP267+($BR$267-$BM$267)/5</f>
        <v>29.174287767189085</v>
      </c>
      <c r="BR267" s="288">
        <f>BM267*$D$744</f>
        <v>29.336706306021593</v>
      </c>
    </row>
    <row r="268" spans="1:70" ht="13.8" thickBot="1" x14ac:dyDescent="0.3">
      <c r="A268" s="904" t="s">
        <v>487</v>
      </c>
      <c r="AA268" s="306">
        <v>11.227470397949199</v>
      </c>
      <c r="AB268" s="306">
        <v>11.517865180969199</v>
      </c>
      <c r="AC268" s="306">
        <v>11.5089683532715</v>
      </c>
      <c r="AD268" s="306">
        <v>11.7493782043457</v>
      </c>
    </row>
    <row r="269" spans="1:70" ht="13.8" thickBot="1" x14ac:dyDescent="0.3">
      <c r="A269" s="904" t="s">
        <v>617</v>
      </c>
      <c r="B269" s="906">
        <v>22.296371459960898</v>
      </c>
      <c r="C269" s="906">
        <v>25.0072345733643</v>
      </c>
      <c r="D269" s="906">
        <v>28.759458541870099</v>
      </c>
      <c r="E269" s="906">
        <v>21.685003280639599</v>
      </c>
      <c r="F269" s="906">
        <v>20.534326553344702</v>
      </c>
      <c r="G269" s="906">
        <v>22.796831130981399</v>
      </c>
      <c r="H269" s="906">
        <v>24.8035278320313</v>
      </c>
      <c r="I269" s="906">
        <v>26.570152282714801</v>
      </c>
      <c r="J269" s="906">
        <v>28.076972961425799</v>
      </c>
      <c r="K269" s="906">
        <v>29.693559646606399</v>
      </c>
      <c r="L269" s="906">
        <v>30.7330017089844</v>
      </c>
      <c r="M269" s="906">
        <v>31.595745086669901</v>
      </c>
      <c r="N269" s="906">
        <v>32.463813781738303</v>
      </c>
      <c r="O269" s="906">
        <v>32.853603363037102</v>
      </c>
      <c r="P269" s="906">
        <v>33.095050811767599</v>
      </c>
      <c r="Q269" s="906">
        <v>33.3141899108887</v>
      </c>
      <c r="R269" s="906">
        <v>33.425758361816399</v>
      </c>
      <c r="S269" s="906">
        <v>33.752655029296903</v>
      </c>
      <c r="T269" s="906">
        <v>33.878787994384801</v>
      </c>
      <c r="U269" s="906">
        <v>33.426109313964801</v>
      </c>
      <c r="V269" s="906">
        <v>33.692680358886697</v>
      </c>
      <c r="W269" s="906">
        <v>33.960933685302699</v>
      </c>
      <c r="X269" s="906">
        <v>34.291332244872997</v>
      </c>
      <c r="Y269" s="906">
        <v>34.467491149902301</v>
      </c>
      <c r="Z269" s="906">
        <v>34.819602966308601</v>
      </c>
      <c r="AA269" s="306">
        <v>16.025825500488299</v>
      </c>
      <c r="AB269" s="306">
        <v>16.333782196044901</v>
      </c>
      <c r="AC269" s="306">
        <v>16.2625331878662</v>
      </c>
      <c r="AD269" s="306">
        <v>16.470952987670898</v>
      </c>
      <c r="AE269" s="287">
        <f>AD269+($AI$269-$AD$269)/5</f>
        <v>17.380928094850553</v>
      </c>
      <c r="AF269" s="287">
        <f>AE269+($AI$269-$AD$269)/5</f>
        <v>18.290903202030208</v>
      </c>
      <c r="AG269" s="287">
        <f>AF269+($AI$269-$AD$269)/5</f>
        <v>19.200878309209862</v>
      </c>
      <c r="AH269" s="287">
        <f>AG269+($AI$269-$AD$269)/5</f>
        <v>20.110853416389517</v>
      </c>
      <c r="AI269" s="288">
        <f>T439*$E$744</f>
        <v>21.020828523569172</v>
      </c>
      <c r="AJ269" s="287">
        <f>AI269+($AX$269-$AI$269)/15</f>
        <v>21.243319601735415</v>
      </c>
      <c r="AK269" s="287">
        <f t="shared" ref="AK269:AW269" si="15">AJ269+($AX$269-$AI$269)/15</f>
        <v>21.465810679901658</v>
      </c>
      <c r="AL269" s="287">
        <f t="shared" si="15"/>
        <v>21.688301758067901</v>
      </c>
      <c r="AM269" s="287">
        <f t="shared" si="15"/>
        <v>21.910792836234144</v>
      </c>
      <c r="AN269" s="287">
        <f t="shared" si="15"/>
        <v>22.133283914400387</v>
      </c>
      <c r="AO269" s="287">
        <f t="shared" si="15"/>
        <v>22.35577499256663</v>
      </c>
      <c r="AP269" s="287">
        <f t="shared" si="15"/>
        <v>22.578266070732873</v>
      </c>
      <c r="AQ269" s="287">
        <f t="shared" si="15"/>
        <v>22.800757148899116</v>
      </c>
      <c r="AR269" s="287">
        <f t="shared" si="15"/>
        <v>23.023248227065359</v>
      </c>
      <c r="AS269" s="287">
        <f t="shared" si="15"/>
        <v>23.245739305231602</v>
      </c>
      <c r="AT269" s="287">
        <f t="shared" si="15"/>
        <v>23.468230383397845</v>
      </c>
      <c r="AU269" s="287">
        <f t="shared" si="15"/>
        <v>23.690721461564088</v>
      </c>
      <c r="AV269" s="287">
        <f t="shared" si="15"/>
        <v>23.913212539730331</v>
      </c>
      <c r="AW269" s="287">
        <f t="shared" si="15"/>
        <v>24.135703617896574</v>
      </c>
      <c r="AX269" s="288">
        <f>AI269*$B$744</f>
        <v>24.358194696062842</v>
      </c>
      <c r="AY269" s="287">
        <f>AX269+($BM$269-$AX$269)/15</f>
        <v>24.496889734844629</v>
      </c>
      <c r="AZ269" s="287">
        <f t="shared" ref="AZ269:BL269" si="16">AY269+($BM$269-$AX$269)/15</f>
        <v>24.635584773626416</v>
      </c>
      <c r="BA269" s="287">
        <f t="shared" si="16"/>
        <v>24.774279812408203</v>
      </c>
      <c r="BB269" s="287">
        <f t="shared" si="16"/>
        <v>24.91297485118999</v>
      </c>
      <c r="BC269" s="287">
        <f t="shared" si="16"/>
        <v>25.051669889971777</v>
      </c>
      <c r="BD269" s="287">
        <f t="shared" si="16"/>
        <v>25.190364928753564</v>
      </c>
      <c r="BE269" s="287">
        <f t="shared" si="16"/>
        <v>25.32905996753535</v>
      </c>
      <c r="BF269" s="287">
        <f t="shared" si="16"/>
        <v>25.467755006317137</v>
      </c>
      <c r="BG269" s="287">
        <f t="shared" si="16"/>
        <v>25.606450045098924</v>
      </c>
      <c r="BH269" s="287">
        <f t="shared" si="16"/>
        <v>25.745145083880711</v>
      </c>
      <c r="BI269" s="287">
        <f t="shared" si="16"/>
        <v>25.883840122662498</v>
      </c>
      <c r="BJ269" s="287">
        <f t="shared" si="16"/>
        <v>26.022535161444285</v>
      </c>
      <c r="BK269" s="287">
        <f t="shared" si="16"/>
        <v>26.161230200226072</v>
      </c>
      <c r="BL269" s="287">
        <f t="shared" si="16"/>
        <v>26.299925239007859</v>
      </c>
      <c r="BM269" s="288">
        <f>AX269*$C$744</f>
        <v>26.438620277789649</v>
      </c>
      <c r="BN269" s="287">
        <f>BM269+($BR$269-$BM$269)/5</f>
        <v>26.589161215265516</v>
      </c>
      <c r="BO269" s="287">
        <f>BN269+($BR$269-$BM$269)/5</f>
        <v>26.739702152741383</v>
      </c>
      <c r="BP269" s="287">
        <f>BO269+($BR$269-$BM$269)/5</f>
        <v>26.89024309021725</v>
      </c>
      <c r="BQ269" s="287">
        <f>BP269+($BR$269-$BM$269)/5</f>
        <v>27.040784027693118</v>
      </c>
      <c r="BR269" s="288">
        <f>BM269*$D$744</f>
        <v>27.191324965168981</v>
      </c>
    </row>
    <row r="270" spans="1:70" x14ac:dyDescent="0.25">
      <c r="A270" s="904" t="s">
        <v>618</v>
      </c>
      <c r="B270" s="906">
        <v>25.5142211914063</v>
      </c>
      <c r="C270" s="906">
        <v>26.818180084228501</v>
      </c>
      <c r="D270" s="906">
        <v>34.073703765869098</v>
      </c>
      <c r="E270" s="906">
        <v>20.3962516784668</v>
      </c>
      <c r="F270" s="906">
        <v>18.869060516357401</v>
      </c>
      <c r="G270" s="906">
        <v>22.499189376831101</v>
      </c>
      <c r="H270" s="906">
        <v>24.345371246337901</v>
      </c>
      <c r="I270" s="906">
        <v>25.8835773468018</v>
      </c>
      <c r="J270" s="906">
        <v>27.376197814941399</v>
      </c>
      <c r="K270" s="906">
        <v>25.5507621765137</v>
      </c>
      <c r="L270" s="906">
        <v>26.3307495117188</v>
      </c>
      <c r="M270" s="906">
        <v>27.042121887206999</v>
      </c>
      <c r="N270" s="906">
        <v>27.074653625488299</v>
      </c>
      <c r="O270" s="906">
        <v>28.861484527587901</v>
      </c>
      <c r="P270" s="906">
        <v>29.593324661254901</v>
      </c>
      <c r="Q270" s="906">
        <v>29.691083908081101</v>
      </c>
      <c r="R270" s="906">
        <v>29.8394565582275</v>
      </c>
      <c r="S270" s="906">
        <v>30.056737899780298</v>
      </c>
      <c r="T270" s="906">
        <v>30.123649597168001</v>
      </c>
      <c r="U270" s="906">
        <v>30.045396804809599</v>
      </c>
      <c r="V270" s="906">
        <v>30.335887908935501</v>
      </c>
      <c r="W270" s="906">
        <v>30.1821899414063</v>
      </c>
      <c r="X270" s="906">
        <v>30.567377090454102</v>
      </c>
      <c r="Y270" s="906">
        <v>31.227724075317401</v>
      </c>
      <c r="Z270" s="906">
        <v>30.935503005981399</v>
      </c>
      <c r="AA270" s="306">
        <v>8.1832656860351598</v>
      </c>
      <c r="AB270" s="306">
        <v>8.1197490692138707</v>
      </c>
      <c r="AC270" s="306">
        <v>8.3803300857543892</v>
      </c>
      <c r="AD270" s="306">
        <v>8.2735004425048793</v>
      </c>
    </row>
    <row r="271" spans="1:70" x14ac:dyDescent="0.25">
      <c r="A271" s="904" t="s">
        <v>619</v>
      </c>
      <c r="B271" s="906">
        <v>21.784559249877901</v>
      </c>
      <c r="C271" s="906">
        <v>22.982162475585898</v>
      </c>
      <c r="D271" s="906">
        <v>26.1744689941406</v>
      </c>
      <c r="E271" s="906">
        <v>15.6736001968384</v>
      </c>
      <c r="F271" s="906">
        <v>17.7131462097168</v>
      </c>
      <c r="G271" s="906">
        <v>20.6617527008057</v>
      </c>
      <c r="H271" s="906">
        <v>22.301433563232401</v>
      </c>
      <c r="I271" s="906">
        <v>23.517950057983398</v>
      </c>
      <c r="J271" s="906">
        <v>24.816135406494102</v>
      </c>
      <c r="K271" s="906">
        <v>26.137458801269499</v>
      </c>
      <c r="L271" s="906">
        <v>27.061580657958999</v>
      </c>
      <c r="M271" s="906">
        <v>27.993299484252901</v>
      </c>
      <c r="N271" s="906">
        <v>28.802474975585898</v>
      </c>
      <c r="O271" s="906">
        <v>29.411088943481399</v>
      </c>
      <c r="P271" s="906">
        <v>29.938217163085898</v>
      </c>
      <c r="Q271" s="906">
        <v>30.057752609252901</v>
      </c>
      <c r="R271" s="906">
        <v>30.3159790039063</v>
      </c>
      <c r="S271" s="906">
        <v>30.494945526123001</v>
      </c>
      <c r="T271" s="906">
        <v>30.528341293335</v>
      </c>
      <c r="U271" s="906">
        <v>30.4458103179932</v>
      </c>
      <c r="V271" s="906">
        <v>30.726751327514599</v>
      </c>
      <c r="W271" s="906">
        <v>30.704950332641602</v>
      </c>
      <c r="X271" s="906">
        <v>31.110511779785199</v>
      </c>
      <c r="Y271" s="906">
        <v>31.9617519378662</v>
      </c>
      <c r="Z271" s="906">
        <v>31.583656311035199</v>
      </c>
      <c r="AA271" s="306">
        <v>13.240598678588899</v>
      </c>
      <c r="AB271" s="306">
        <v>13.359972000122101</v>
      </c>
      <c r="AC271" s="306">
        <v>13.395259857177701</v>
      </c>
      <c r="AD271" s="306">
        <v>13.453570365905801</v>
      </c>
    </row>
    <row r="272" spans="1:70" x14ac:dyDescent="0.25">
      <c r="A272" s="904" t="s">
        <v>620</v>
      </c>
      <c r="B272" s="906">
        <v>15.2446508407593</v>
      </c>
      <c r="C272" s="906">
        <v>16.0964660644531</v>
      </c>
      <c r="D272" s="906">
        <v>22.1856594085693</v>
      </c>
      <c r="E272" s="906">
        <v>10.540905952453601</v>
      </c>
      <c r="F272" s="906">
        <v>10.4131317138672</v>
      </c>
      <c r="G272" s="906">
        <v>12.992267608642599</v>
      </c>
      <c r="H272" s="906">
        <v>14.8510446548462</v>
      </c>
      <c r="I272" s="906">
        <v>16.4927158355713</v>
      </c>
      <c r="J272" s="906">
        <v>17.888269424438501</v>
      </c>
      <c r="K272" s="906">
        <v>19.120731353759801</v>
      </c>
      <c r="L272" s="906">
        <v>20.025011062622099</v>
      </c>
      <c r="M272" s="906">
        <v>20.925888061523398</v>
      </c>
      <c r="N272" s="906">
        <v>21.650459289550799</v>
      </c>
      <c r="O272" s="906">
        <v>22.054113388061499</v>
      </c>
      <c r="P272" s="906">
        <v>22.358533859252901</v>
      </c>
      <c r="Q272" s="906">
        <v>22.535087585449201</v>
      </c>
      <c r="R272" s="906">
        <v>22.624557495117202</v>
      </c>
      <c r="S272" s="906">
        <v>22.875423431396499</v>
      </c>
      <c r="T272" s="906">
        <v>23.088819503784201</v>
      </c>
      <c r="U272" s="906">
        <v>22.878332138061499</v>
      </c>
      <c r="V272" s="906">
        <v>23.229129791259801</v>
      </c>
      <c r="W272" s="906">
        <v>23.440977096557599</v>
      </c>
      <c r="X272" s="906">
        <v>23.911849975585898</v>
      </c>
      <c r="Y272" s="906">
        <v>24.3618278503418</v>
      </c>
      <c r="Z272" s="906">
        <v>24.669164657592798</v>
      </c>
      <c r="AA272" s="306">
        <v>24.345100402831999</v>
      </c>
      <c r="AB272" s="306">
        <v>24.401657104492202</v>
      </c>
      <c r="AC272" s="306">
        <v>24.482112884521499</v>
      </c>
      <c r="AD272" s="306">
        <v>24.4609375</v>
      </c>
    </row>
    <row r="273" spans="1:70" x14ac:dyDescent="0.25">
      <c r="A273" s="904" t="s">
        <v>724</v>
      </c>
      <c r="B273" s="906">
        <v>20.2724208831787</v>
      </c>
      <c r="C273" s="906">
        <v>20.921422958373999</v>
      </c>
      <c r="D273" s="906">
        <v>27.066003799438501</v>
      </c>
      <c r="E273" s="906">
        <v>15.379162788391101</v>
      </c>
      <c r="F273" s="906">
        <v>14.6322994232178</v>
      </c>
      <c r="G273" s="906">
        <v>17.082887649536101</v>
      </c>
      <c r="H273" s="906">
        <v>18.906814575195298</v>
      </c>
      <c r="I273" s="906">
        <v>21.012025833129901</v>
      </c>
      <c r="J273" s="906">
        <v>22.391767501831101</v>
      </c>
      <c r="K273" s="906">
        <v>23.401908874511701</v>
      </c>
      <c r="L273" s="906">
        <v>24.249780654907202</v>
      </c>
      <c r="M273" s="906">
        <v>25.151100158691399</v>
      </c>
      <c r="N273" s="906">
        <v>25.830009460449201</v>
      </c>
      <c r="O273" s="906">
        <v>26.267305374145501</v>
      </c>
      <c r="P273" s="906">
        <v>26.5901203155518</v>
      </c>
      <c r="Q273" s="906">
        <v>26.487575531005898</v>
      </c>
      <c r="R273" s="906">
        <v>26.7318305969238</v>
      </c>
      <c r="S273" s="906">
        <v>26.979133605956999</v>
      </c>
      <c r="T273" s="906">
        <v>27.001283645629901</v>
      </c>
      <c r="U273" s="906">
        <v>26.997362136840799</v>
      </c>
      <c r="V273" s="906">
        <v>27.317785263061499</v>
      </c>
      <c r="W273" s="906">
        <v>27.182266235351602</v>
      </c>
      <c r="X273" s="906">
        <v>27.638069152831999</v>
      </c>
      <c r="Y273" s="906">
        <v>28.388862609863299</v>
      </c>
      <c r="Z273" s="906">
        <v>28.337171554565401</v>
      </c>
      <c r="AA273" s="306"/>
      <c r="AB273" s="306"/>
      <c r="AC273" s="306"/>
      <c r="AD273" s="306"/>
    </row>
    <row r="274" spans="1:70" x14ac:dyDescent="0.25">
      <c r="A274" s="904" t="s">
        <v>611</v>
      </c>
      <c r="B274" s="906">
        <v>8.20648097991943</v>
      </c>
      <c r="C274" s="906">
        <v>9.4357099533081108</v>
      </c>
      <c r="D274" s="906">
        <v>14.2847747802734</v>
      </c>
      <c r="E274" s="906">
        <v>6.3925981521606401</v>
      </c>
      <c r="F274" s="906">
        <v>6.5852246284484899</v>
      </c>
      <c r="G274" s="906">
        <v>8.6673641204834002</v>
      </c>
      <c r="H274" s="906">
        <v>10.3328533172607</v>
      </c>
      <c r="I274" s="906">
        <v>11.815202713012701</v>
      </c>
      <c r="J274" s="906">
        <v>13.023598670959499</v>
      </c>
      <c r="K274" s="906">
        <v>14.4141092300415</v>
      </c>
      <c r="L274" s="906">
        <v>15.219378471374499</v>
      </c>
      <c r="M274" s="906">
        <v>15.915946006774901</v>
      </c>
      <c r="N274" s="906">
        <v>16.592523574829102</v>
      </c>
      <c r="O274" s="906">
        <v>16.9536838531494</v>
      </c>
      <c r="P274" s="906">
        <v>17.162534713745099</v>
      </c>
      <c r="Q274" s="906">
        <v>17.429744720458999</v>
      </c>
      <c r="R274" s="906">
        <v>17.456914901733398</v>
      </c>
      <c r="S274" s="906">
        <v>17.5628662109375</v>
      </c>
      <c r="T274" s="906">
        <v>17.630765914916999</v>
      </c>
      <c r="U274" s="906">
        <v>17.410764694213899</v>
      </c>
      <c r="V274" s="906">
        <v>17.6028347015381</v>
      </c>
      <c r="W274" s="906">
        <v>17.926630020141602</v>
      </c>
      <c r="X274" s="906">
        <v>18.257143020629901</v>
      </c>
      <c r="Y274" s="906">
        <v>18.451654434204102</v>
      </c>
      <c r="Z274" s="906">
        <v>18.835027694702099</v>
      </c>
      <c r="AA274" s="306">
        <v>10.4858131408691</v>
      </c>
      <c r="AB274" s="306">
        <v>10.572740554809601</v>
      </c>
      <c r="AC274" s="306">
        <v>10.740042686462401</v>
      </c>
      <c r="AD274" s="306">
        <v>10.786236763000501</v>
      </c>
    </row>
    <row r="275" spans="1:70" ht="13.8" thickBot="1" x14ac:dyDescent="0.3">
      <c r="A275" s="904" t="s">
        <v>622</v>
      </c>
      <c r="B275" s="906">
        <v>15.5415086746216</v>
      </c>
      <c r="C275" s="906">
        <v>15.4958410263062</v>
      </c>
      <c r="D275" s="906">
        <v>16.8896675109863</v>
      </c>
      <c r="E275" s="906">
        <v>12.7877197265625</v>
      </c>
      <c r="F275" s="906">
        <v>13.502610206604</v>
      </c>
      <c r="G275" s="906">
        <v>13.8291311264038</v>
      </c>
      <c r="H275" s="906">
        <v>13.8390712738037</v>
      </c>
      <c r="I275" s="906">
        <v>13.843875885009799</v>
      </c>
      <c r="J275" s="906">
        <v>13.934069633483899</v>
      </c>
      <c r="K275" s="906">
        <v>14.0993509292603</v>
      </c>
      <c r="L275" s="906">
        <v>14.229956626892101</v>
      </c>
      <c r="M275" s="906">
        <v>14.3684740066528</v>
      </c>
      <c r="N275" s="906">
        <v>14.5119123458862</v>
      </c>
      <c r="O275" s="906">
        <v>14.701403617858899</v>
      </c>
      <c r="P275" s="906">
        <v>14.9462375640869</v>
      </c>
      <c r="Q275" s="906">
        <v>15.0934410095215</v>
      </c>
      <c r="R275" s="906">
        <v>15.092455863952599</v>
      </c>
      <c r="S275" s="906">
        <v>14.8220539093018</v>
      </c>
      <c r="T275" s="906">
        <v>14.7596139907837</v>
      </c>
      <c r="U275" s="906">
        <v>14.661186218261699</v>
      </c>
      <c r="V275" s="906">
        <v>14.786495208740201</v>
      </c>
      <c r="W275" s="906">
        <v>15.012266159057599</v>
      </c>
      <c r="X275" s="906">
        <v>15.2852840423584</v>
      </c>
      <c r="Y275" s="906">
        <v>15.4684591293335</v>
      </c>
      <c r="Z275" s="906">
        <v>15.6974124908447</v>
      </c>
      <c r="AA275" s="306">
        <v>6.7344188690185502</v>
      </c>
      <c r="AB275" s="306">
        <v>6.7479009628295898</v>
      </c>
      <c r="AC275" s="306">
        <v>6.8497943878173801</v>
      </c>
      <c r="AD275" s="306">
        <v>6.84698486328125</v>
      </c>
    </row>
    <row r="276" spans="1:70" ht="13.8" thickBot="1" x14ac:dyDescent="0.3">
      <c r="A276" s="904" t="s">
        <v>479</v>
      </c>
      <c r="B276" s="906">
        <v>30.349004745483398</v>
      </c>
      <c r="C276" s="906">
        <v>30.777971267700199</v>
      </c>
      <c r="D276" s="906">
        <v>33.734138488769503</v>
      </c>
      <c r="E276" s="906">
        <v>31.501590728759801</v>
      </c>
      <c r="F276" s="906">
        <v>27.327030181884801</v>
      </c>
      <c r="G276" s="906">
        <v>28.561843872070298</v>
      </c>
      <c r="H276" s="906">
        <v>28.965305328369102</v>
      </c>
      <c r="I276" s="906">
        <v>28.9159030914307</v>
      </c>
      <c r="J276" s="906">
        <v>28.7644939422607</v>
      </c>
      <c r="K276" s="906">
        <v>28.526710510253899</v>
      </c>
      <c r="L276" s="906">
        <v>28.644361495971701</v>
      </c>
      <c r="M276" s="906">
        <v>28.6527919769287</v>
      </c>
      <c r="N276" s="906">
        <v>28.819505691528299</v>
      </c>
      <c r="O276" s="906">
        <v>28.888120651245099</v>
      </c>
      <c r="P276" s="906">
        <v>29.142557144165</v>
      </c>
      <c r="Q276" s="906">
        <v>29.470201492309599</v>
      </c>
      <c r="R276" s="906">
        <v>29.764074325561499</v>
      </c>
      <c r="S276" s="906">
        <v>29.801677703857401</v>
      </c>
      <c r="T276" s="906">
        <v>29.921939849853501</v>
      </c>
      <c r="U276" s="906">
        <v>30.035243988037099</v>
      </c>
      <c r="V276" s="906">
        <v>30.304817199706999</v>
      </c>
      <c r="W276" s="906">
        <v>30.8045558929443</v>
      </c>
      <c r="X276" s="906">
        <v>31.450147628784201</v>
      </c>
      <c r="Y276" s="906">
        <v>31.910936355590799</v>
      </c>
      <c r="Z276" s="906">
        <v>32.484222412109403</v>
      </c>
      <c r="AA276" s="306">
        <v>6.1479806900024396</v>
      </c>
      <c r="AB276" s="306">
        <v>6.2516684532165501</v>
      </c>
      <c r="AC276" s="306">
        <v>6.3134694099426296</v>
      </c>
      <c r="AD276" s="306">
        <v>6.3304243087768599</v>
      </c>
      <c r="AE276" s="283">
        <f>AD276+($AI$276-$AD$276)/5</f>
        <v>6.3370805697154289</v>
      </c>
      <c r="AF276" s="283">
        <f>AE276+($AI$276-$AD$276)/5</f>
        <v>6.3437368306539978</v>
      </c>
      <c r="AG276" s="283">
        <f>AF276+($AI$276-$AD$276)/5</f>
        <v>6.3503930915925668</v>
      </c>
      <c r="AH276" s="283">
        <f>AG276+($AI$276-$AD$276)/5</f>
        <v>6.3570493525311358</v>
      </c>
      <c r="AI276" s="284">
        <f>T446*$E$742</f>
        <v>6.363705613469703</v>
      </c>
      <c r="AJ276" s="283">
        <f>AI276+($AX$276-$AI$276)/15</f>
        <v>6.4357380850865695</v>
      </c>
      <c r="AK276" s="283">
        <f t="shared" ref="AK276:AW276" si="17">AJ276+($AX$276-$AI$276)/15</f>
        <v>6.5077705567034361</v>
      </c>
      <c r="AL276" s="283">
        <f t="shared" si="17"/>
        <v>6.5798030283203026</v>
      </c>
      <c r="AM276" s="283">
        <f t="shared" si="17"/>
        <v>6.6518354999371692</v>
      </c>
      <c r="AN276" s="283">
        <f t="shared" si="17"/>
        <v>6.7238679715540357</v>
      </c>
      <c r="AO276" s="283">
        <f t="shared" si="17"/>
        <v>6.7959004431709022</v>
      </c>
      <c r="AP276" s="283">
        <f t="shared" si="17"/>
        <v>6.8679329147877688</v>
      </c>
      <c r="AQ276" s="283">
        <f t="shared" si="17"/>
        <v>6.9399653864046353</v>
      </c>
      <c r="AR276" s="283">
        <f t="shared" si="17"/>
        <v>7.0119978580215019</v>
      </c>
      <c r="AS276" s="283">
        <f t="shared" si="17"/>
        <v>7.0840303296383684</v>
      </c>
      <c r="AT276" s="283">
        <f t="shared" si="17"/>
        <v>7.156062801255235</v>
      </c>
      <c r="AU276" s="283">
        <f t="shared" si="17"/>
        <v>7.2280952728721015</v>
      </c>
      <c r="AV276" s="283">
        <f t="shared" si="17"/>
        <v>7.3001277444889681</v>
      </c>
      <c r="AW276" s="283">
        <f t="shared" si="17"/>
        <v>7.3721602161058346</v>
      </c>
      <c r="AX276" s="284">
        <f>AI276*$B$742</f>
        <v>7.4441926877227056</v>
      </c>
      <c r="AY276" s="283">
        <f>AX276+($BM$276-$AX$276)/15</f>
        <v>7.51790324705948</v>
      </c>
      <c r="AZ276" s="283">
        <f t="shared" ref="AZ276:BL276" si="18">AY276+($BM$276-$AX$276)/15</f>
        <v>7.5916138063962544</v>
      </c>
      <c r="BA276" s="283">
        <f t="shared" si="18"/>
        <v>7.6653243657330288</v>
      </c>
      <c r="BB276" s="283">
        <f t="shared" si="18"/>
        <v>7.7390349250698032</v>
      </c>
      <c r="BC276" s="283">
        <f t="shared" si="18"/>
        <v>7.8127454844065776</v>
      </c>
      <c r="BD276" s="283">
        <f t="shared" si="18"/>
        <v>7.886456043743352</v>
      </c>
      <c r="BE276" s="283">
        <f t="shared" si="18"/>
        <v>7.9601666030801264</v>
      </c>
      <c r="BF276" s="283">
        <f t="shared" si="18"/>
        <v>8.0338771624169016</v>
      </c>
      <c r="BG276" s="283">
        <f t="shared" si="18"/>
        <v>8.107587721753676</v>
      </c>
      <c r="BH276" s="283">
        <f t="shared" si="18"/>
        <v>8.1812982810904504</v>
      </c>
      <c r="BI276" s="283">
        <f t="shared" si="18"/>
        <v>8.2550088404272248</v>
      </c>
      <c r="BJ276" s="283">
        <f t="shared" si="18"/>
        <v>8.3287193997639992</v>
      </c>
      <c r="BK276" s="283">
        <f t="shared" si="18"/>
        <v>8.4024299591007736</v>
      </c>
      <c r="BL276" s="283">
        <f t="shared" si="18"/>
        <v>8.476140518437548</v>
      </c>
      <c r="BM276" s="284">
        <f>AX276*$C$742</f>
        <v>8.5498510777743242</v>
      </c>
      <c r="BN276" s="283">
        <f>BM276+($BR$276-$BM$276)/5</f>
        <v>8.6345095936975138</v>
      </c>
      <c r="BO276" s="283">
        <f>BN276+($BR$276-$BM$276)/5</f>
        <v>8.7191681096207034</v>
      </c>
      <c r="BP276" s="283">
        <f>BO276+($BR$276-$BM$276)/5</f>
        <v>8.8038266255438931</v>
      </c>
      <c r="BQ276" s="283">
        <f>BP276+($BR$276-$BM$276)/5</f>
        <v>8.8884851414670827</v>
      </c>
      <c r="BR276" s="284">
        <f>BM276*$D$742</f>
        <v>8.9731436573902759</v>
      </c>
    </row>
    <row r="277" spans="1:70" ht="13.8" thickBot="1" x14ac:dyDescent="0.3">
      <c r="AA277" s="306">
        <v>1.65011918544769</v>
      </c>
      <c r="AB277" s="306">
        <v>1.6656291484832799</v>
      </c>
      <c r="AC277" s="306">
        <v>1.67491066455841</v>
      </c>
      <c r="AD277" s="306">
        <v>1.68971908092499</v>
      </c>
      <c r="AE277" s="291">
        <f>AD277+($AI$277-$AD$277)/5</f>
        <v>1.6902380098146863</v>
      </c>
      <c r="AF277" s="291">
        <f>AE277+($AI$277-$AD$277)/5</f>
        <v>1.6907569387043826</v>
      </c>
      <c r="AG277" s="291">
        <f>AF277+($AI$277-$AD$277)/5</f>
        <v>1.6912758675940789</v>
      </c>
      <c r="AH277" s="291">
        <f>AG277+($AI$277-$AD$277)/5</f>
        <v>1.6917947964837752</v>
      </c>
      <c r="AI277" s="292">
        <f>T447*$E$740</f>
        <v>1.692313725373471</v>
      </c>
      <c r="AJ277" s="291">
        <f>AI277+($AX$277-$AI$277)/15</f>
        <v>1.6972753042285647</v>
      </c>
      <c r="AK277" s="291">
        <f t="shared" ref="AK277:AW277" si="19">AJ277+($AX$277-$AI$277)/15</f>
        <v>1.7022368830836583</v>
      </c>
      <c r="AL277" s="291">
        <f t="shared" si="19"/>
        <v>1.7071984619387519</v>
      </c>
      <c r="AM277" s="291">
        <f t="shared" si="19"/>
        <v>1.7121600407938455</v>
      </c>
      <c r="AN277" s="291">
        <f t="shared" si="19"/>
        <v>1.7171216196489392</v>
      </c>
      <c r="AO277" s="291">
        <f t="shared" si="19"/>
        <v>1.7220831985040328</v>
      </c>
      <c r="AP277" s="291">
        <f t="shared" si="19"/>
        <v>1.7270447773591264</v>
      </c>
      <c r="AQ277" s="291">
        <f t="shared" si="19"/>
        <v>1.7320063562142201</v>
      </c>
      <c r="AR277" s="291">
        <f t="shared" si="19"/>
        <v>1.7369679350693137</v>
      </c>
      <c r="AS277" s="291">
        <f t="shared" si="19"/>
        <v>1.7419295139244073</v>
      </c>
      <c r="AT277" s="291">
        <f t="shared" si="19"/>
        <v>1.7468910927795009</v>
      </c>
      <c r="AU277" s="291">
        <f t="shared" si="19"/>
        <v>1.7518526716345946</v>
      </c>
      <c r="AV277" s="291">
        <f t="shared" si="19"/>
        <v>1.7568142504896882</v>
      </c>
      <c r="AW277" s="291">
        <f t="shared" si="19"/>
        <v>1.7617758293447818</v>
      </c>
      <c r="AX277" s="292">
        <f>AI277*$B$740</f>
        <v>1.7667374081998766</v>
      </c>
      <c r="AY277" s="291">
        <f>AX277+($BM$277-$AX$277)/15</f>
        <v>1.7700881577207939</v>
      </c>
      <c r="AZ277" s="291">
        <f t="shared" ref="AZ277:BL277" si="20">AY277+($BM$277-$AX$277)/15</f>
        <v>1.7734389072417112</v>
      </c>
      <c r="BA277" s="291">
        <f t="shared" si="20"/>
        <v>1.7767896567626285</v>
      </c>
      <c r="BB277" s="291">
        <f t="shared" si="20"/>
        <v>1.7801404062835458</v>
      </c>
      <c r="BC277" s="291">
        <f t="shared" si="20"/>
        <v>1.783491155804463</v>
      </c>
      <c r="BD277" s="291">
        <f t="shared" si="20"/>
        <v>1.7868419053253803</v>
      </c>
      <c r="BE277" s="291">
        <f t="shared" si="20"/>
        <v>1.7901926548462976</v>
      </c>
      <c r="BF277" s="291">
        <f t="shared" si="20"/>
        <v>1.7935434043672149</v>
      </c>
      <c r="BG277" s="291">
        <f t="shared" si="20"/>
        <v>1.7968941538881322</v>
      </c>
      <c r="BH277" s="291">
        <f t="shared" si="20"/>
        <v>1.8002449034090495</v>
      </c>
      <c r="BI277" s="291">
        <f t="shared" si="20"/>
        <v>1.8035956529299668</v>
      </c>
      <c r="BJ277" s="291">
        <f t="shared" si="20"/>
        <v>1.8069464024508841</v>
      </c>
      <c r="BK277" s="291">
        <f t="shared" si="20"/>
        <v>1.8102971519718014</v>
      </c>
      <c r="BL277" s="291">
        <f t="shared" si="20"/>
        <v>1.8136479014927187</v>
      </c>
      <c r="BM277" s="292">
        <f>AX277*$C$740</f>
        <v>1.8169986510136373</v>
      </c>
      <c r="BN277" s="291">
        <f>BM277+($BR$277-$BM$277)/5</f>
        <v>1.8204447247375162</v>
      </c>
      <c r="BO277" s="291">
        <f>BN277+($BR$277-$BM$277)/5</f>
        <v>1.823890798461395</v>
      </c>
      <c r="BP277" s="291">
        <f>BO277+($BR$277-$BM$277)/5</f>
        <v>1.8273368721852739</v>
      </c>
      <c r="BQ277" s="291">
        <f>BP277+($BR$277-$BM$277)/5</f>
        <v>1.8307829459091527</v>
      </c>
      <c r="BR277" s="292">
        <f>BM277*$D$740</f>
        <v>1.8342290196330318</v>
      </c>
    </row>
    <row r="278" spans="1:70" x14ac:dyDescent="0.25">
      <c r="A278" s="904" t="s">
        <v>623</v>
      </c>
      <c r="AA278" s="306"/>
      <c r="AB278" s="306"/>
      <c r="AC278" s="306"/>
      <c r="AD278" s="306"/>
    </row>
    <row r="279" spans="1:70" x14ac:dyDescent="0.25">
      <c r="A279" s="904" t="s">
        <v>610</v>
      </c>
      <c r="B279" s="906">
        <v>13.773189544677701</v>
      </c>
      <c r="C279" s="906">
        <v>14.7725219726563</v>
      </c>
      <c r="D279" s="906">
        <v>19.176651000976602</v>
      </c>
      <c r="E279" s="906">
        <v>12.4995737075806</v>
      </c>
      <c r="F279" s="906">
        <v>9.7914295196533203</v>
      </c>
      <c r="G279" s="906">
        <v>12.0805196762085</v>
      </c>
      <c r="H279" s="906">
        <v>13.8671321868896</v>
      </c>
      <c r="I279" s="906">
        <v>15.216549873352101</v>
      </c>
      <c r="J279" s="906">
        <v>16.469785690307599</v>
      </c>
      <c r="K279" s="906">
        <v>17.9636936187744</v>
      </c>
      <c r="L279" s="906">
        <v>18.832237243652301</v>
      </c>
      <c r="M279" s="906">
        <v>19.641151428222699</v>
      </c>
      <c r="N279" s="906">
        <v>20.348432540893601</v>
      </c>
      <c r="O279" s="906">
        <v>20.710233688354499</v>
      </c>
      <c r="P279" s="906">
        <v>20.980741500854499</v>
      </c>
      <c r="Q279" s="906">
        <v>21.161005020141602</v>
      </c>
      <c r="R279" s="906">
        <v>21.2950553894043</v>
      </c>
      <c r="S279" s="906">
        <v>21.596014022827099</v>
      </c>
      <c r="T279" s="906">
        <v>21.884708404541001</v>
      </c>
      <c r="U279" s="906">
        <v>21.582948684692401</v>
      </c>
      <c r="V279" s="906">
        <v>21.8727416992188</v>
      </c>
      <c r="W279" s="906">
        <v>22.200710296630898</v>
      </c>
      <c r="X279" s="906">
        <v>22.548530578613299</v>
      </c>
      <c r="Y279" s="906">
        <v>22.812198638916001</v>
      </c>
      <c r="Z279" s="906">
        <v>23.2114353179932</v>
      </c>
      <c r="AA279" s="306">
        <v>18.0768718719482</v>
      </c>
      <c r="AB279" s="306">
        <v>18.184886932373001</v>
      </c>
      <c r="AC279" s="306">
        <v>18.263076782226602</v>
      </c>
      <c r="AD279" s="306">
        <v>18.304286956787099</v>
      </c>
    </row>
    <row r="280" spans="1:70" x14ac:dyDescent="0.25">
      <c r="A280" s="904" t="s">
        <v>611</v>
      </c>
      <c r="B280" s="906">
        <v>8.3781757354736293</v>
      </c>
      <c r="C280" s="906">
        <v>8.5664386749267596</v>
      </c>
      <c r="D280" s="906">
        <v>14.309384346008301</v>
      </c>
      <c r="E280" s="906">
        <v>6.51324510574341</v>
      </c>
      <c r="F280" s="906">
        <v>6.6763448715209996</v>
      </c>
      <c r="G280" s="906">
        <v>9.3123388290405291</v>
      </c>
      <c r="H280" s="906">
        <v>10.994701385498001</v>
      </c>
      <c r="I280" s="906">
        <v>12.5300750732422</v>
      </c>
      <c r="J280" s="906">
        <v>13.7526693344116</v>
      </c>
      <c r="K280" s="906">
        <v>15.155575752258301</v>
      </c>
      <c r="L280" s="906">
        <v>15.963142395019499</v>
      </c>
      <c r="M280" s="906">
        <v>16.617677688598601</v>
      </c>
      <c r="N280" s="906">
        <v>17.274333953857401</v>
      </c>
      <c r="O280" s="906">
        <v>17.322587966918899</v>
      </c>
      <c r="P280" s="906">
        <v>17.542411804199201</v>
      </c>
      <c r="Q280" s="906">
        <v>17.799869537353501</v>
      </c>
      <c r="R280" s="906">
        <v>17.916141510009801</v>
      </c>
      <c r="S280" s="906">
        <v>18.075910568237301</v>
      </c>
      <c r="T280" s="906">
        <v>18.1613368988037</v>
      </c>
      <c r="U280" s="906">
        <v>17.935956954956101</v>
      </c>
      <c r="V280" s="906">
        <v>18.128087997436499</v>
      </c>
      <c r="W280" s="906">
        <v>18.400978088378899</v>
      </c>
      <c r="X280" s="906">
        <v>18.7218933105469</v>
      </c>
      <c r="Y280" s="906">
        <v>18.9085083007813</v>
      </c>
      <c r="Z280" s="906">
        <v>19.247135162353501</v>
      </c>
      <c r="AA280" s="306">
        <v>21.3195495605469</v>
      </c>
      <c r="AB280" s="306">
        <v>21.43874168396</v>
      </c>
      <c r="AC280" s="306">
        <v>21.398374557495099</v>
      </c>
      <c r="AD280" s="306">
        <v>21.4992275238037</v>
      </c>
    </row>
    <row r="281" spans="1:70" x14ac:dyDescent="0.25">
      <c r="A281" s="904" t="s">
        <v>510</v>
      </c>
      <c r="B281" s="906">
        <v>7.0546379089355504</v>
      </c>
      <c r="C281" s="906">
        <v>7.0191597938537598</v>
      </c>
      <c r="D281" s="906">
        <v>8.8716125488281303</v>
      </c>
      <c r="E281" s="906">
        <v>4.5556221008300799</v>
      </c>
      <c r="F281" s="906">
        <v>5.1293134689331099</v>
      </c>
      <c r="G281" s="906">
        <v>5.4535460472106898</v>
      </c>
      <c r="H281" s="906">
        <v>5.5187635421752903</v>
      </c>
      <c r="I281" s="906">
        <v>5.53977298736572</v>
      </c>
      <c r="J281" s="906">
        <v>5.6835036277770996</v>
      </c>
      <c r="K281" s="906">
        <v>5.8920464515686</v>
      </c>
      <c r="L281" s="906">
        <v>6.0819325447082502</v>
      </c>
      <c r="M281" s="906">
        <v>6.2693996429443404</v>
      </c>
      <c r="N281" s="906">
        <v>6.4775133132934597</v>
      </c>
      <c r="O281" s="906">
        <v>6.7354197502136204</v>
      </c>
      <c r="P281" s="906">
        <v>7.0278439521789604</v>
      </c>
      <c r="Q281" s="906">
        <v>7.2539091110229501</v>
      </c>
      <c r="R281" s="906">
        <v>7.3283839225768999</v>
      </c>
      <c r="S281" s="906">
        <v>7.1506276130676296</v>
      </c>
      <c r="T281" s="906">
        <v>7.1924118995666504</v>
      </c>
      <c r="U281" s="906">
        <v>7.1398839950561497</v>
      </c>
      <c r="V281" s="906">
        <v>7.2806253433227504</v>
      </c>
      <c r="W281" s="906">
        <v>7.5354790687561</v>
      </c>
      <c r="X281" s="906">
        <v>7.8600792884826696</v>
      </c>
      <c r="Y281" s="906">
        <v>8.0742120742797905</v>
      </c>
      <c r="Z281" s="906">
        <v>8.3395175933837908</v>
      </c>
      <c r="AA281" s="306">
        <v>17.291141510009801</v>
      </c>
      <c r="AB281" s="306">
        <v>17.529483795166001</v>
      </c>
      <c r="AC281" s="306">
        <v>17.525184631347699</v>
      </c>
      <c r="AD281" s="306">
        <v>17.7543029785156</v>
      </c>
    </row>
    <row r="282" spans="1:70" x14ac:dyDescent="0.25">
      <c r="A282" s="904" t="s">
        <v>624</v>
      </c>
      <c r="B282" s="906">
        <v>1.7355252504348799</v>
      </c>
      <c r="C282" s="906">
        <v>1.7800002098083501</v>
      </c>
      <c r="D282" s="906">
        <v>1.9310736656189</v>
      </c>
      <c r="E282" s="906">
        <v>1.98230564594269</v>
      </c>
      <c r="F282" s="906">
        <v>1.86225914955139</v>
      </c>
      <c r="G282" s="906">
        <v>1.87335216999054</v>
      </c>
      <c r="H282" s="906">
        <v>1.85759365558624</v>
      </c>
      <c r="I282" s="906">
        <v>1.8817487955093399</v>
      </c>
      <c r="J282" s="906">
        <v>1.9043176174163801</v>
      </c>
      <c r="K282" s="906">
        <v>1.90719401836395</v>
      </c>
      <c r="L282" s="906">
        <v>1.9170492887496899</v>
      </c>
      <c r="M282" s="906">
        <v>1.9259506464004501</v>
      </c>
      <c r="N282" s="906">
        <v>1.94080138206482</v>
      </c>
      <c r="O282" s="906">
        <v>1.94636797904968</v>
      </c>
      <c r="P282" s="906">
        <v>1.9562891721725499</v>
      </c>
      <c r="Q282" s="906">
        <v>1.9622501134872401</v>
      </c>
      <c r="R282" s="906">
        <v>1.9753552675247199</v>
      </c>
      <c r="S282" s="906">
        <v>1.9811542034149201</v>
      </c>
      <c r="T282" s="906">
        <v>1.98549652099609</v>
      </c>
      <c r="U282" s="906">
        <v>1.9898830652236901</v>
      </c>
      <c r="V282" s="906">
        <v>1.99634909629822</v>
      </c>
      <c r="W282" s="906">
        <v>2.00744533538818</v>
      </c>
      <c r="X282" s="906">
        <v>2.0202190876007098</v>
      </c>
      <c r="Y282" s="906">
        <v>2.0336120128631601</v>
      </c>
      <c r="Z282" s="906">
        <v>2.0445194244384801</v>
      </c>
      <c r="AA282" s="306">
        <v>11.227470397949199</v>
      </c>
      <c r="AB282" s="306">
        <v>11.517865180969199</v>
      </c>
      <c r="AC282" s="306">
        <v>11.5089683532715</v>
      </c>
      <c r="AD282" s="306">
        <v>11.7493782043457</v>
      </c>
    </row>
    <row r="283" spans="1:70" x14ac:dyDescent="0.25">
      <c r="AA283" s="306">
        <v>15.2353620529175</v>
      </c>
      <c r="AB283" s="306">
        <v>15.5302953720093</v>
      </c>
      <c r="AC283" s="306">
        <v>15.500846862793001</v>
      </c>
      <c r="AD283" s="306">
        <v>15.7047281265259</v>
      </c>
    </row>
    <row r="284" spans="1:70" x14ac:dyDescent="0.25">
      <c r="A284" s="904" t="s">
        <v>625</v>
      </c>
      <c r="AA284" s="306">
        <v>7.7013258934020996</v>
      </c>
      <c r="AB284" s="306">
        <v>7.6767330169677699</v>
      </c>
      <c r="AC284" s="306">
        <v>7.8322434425354004</v>
      </c>
      <c r="AD284" s="306">
        <v>7.7872447967529297</v>
      </c>
    </row>
    <row r="285" spans="1:70" x14ac:dyDescent="0.25">
      <c r="A285" s="904" t="s">
        <v>609</v>
      </c>
      <c r="B285" s="906">
        <v>15.657142639160201</v>
      </c>
      <c r="C285" s="906">
        <v>18.5313529968262</v>
      </c>
      <c r="D285" s="906">
        <v>19.701341629028299</v>
      </c>
      <c r="E285" s="906">
        <v>16.4090671539307</v>
      </c>
      <c r="F285" s="906">
        <v>16.297544479370099</v>
      </c>
      <c r="G285" s="906">
        <v>18.4262371063232</v>
      </c>
      <c r="H285" s="906">
        <v>20.2184352874756</v>
      </c>
      <c r="I285" s="906">
        <v>21.813219070434599</v>
      </c>
      <c r="J285" s="906">
        <v>23.252103805541999</v>
      </c>
      <c r="K285" s="906">
        <v>24.811630249023398</v>
      </c>
      <c r="L285" s="906">
        <v>25.812454223632798</v>
      </c>
      <c r="M285" s="906">
        <v>26.627546310424801</v>
      </c>
      <c r="N285" s="906">
        <v>27.460300445556602</v>
      </c>
      <c r="O285" s="906">
        <v>27.8579425811768</v>
      </c>
      <c r="P285" s="906">
        <v>28.113265991210898</v>
      </c>
      <c r="Q285" s="906">
        <v>28.325565338134801</v>
      </c>
      <c r="R285" s="906">
        <v>28.4571437835693</v>
      </c>
      <c r="S285" s="906">
        <v>28.7732944488525</v>
      </c>
      <c r="T285" s="906">
        <v>28.920036315918001</v>
      </c>
      <c r="U285" s="906">
        <v>28.525373458862301</v>
      </c>
      <c r="V285" s="906">
        <v>28.814060211181602</v>
      </c>
      <c r="W285" s="906">
        <v>29.1242790222168</v>
      </c>
      <c r="X285" s="906">
        <v>29.486963272094702</v>
      </c>
      <c r="Y285" s="906">
        <v>29.629682540893601</v>
      </c>
      <c r="Z285" s="906">
        <v>30.0484523773193</v>
      </c>
      <c r="AA285" s="306">
        <v>7.8213167190551802</v>
      </c>
      <c r="AB285" s="306">
        <v>7.9383788108825701</v>
      </c>
      <c r="AC285" s="306">
        <v>8.0273618698120099</v>
      </c>
      <c r="AD285" s="306">
        <v>8.0851049423217791</v>
      </c>
    </row>
    <row r="286" spans="1:70" x14ac:dyDescent="0.25">
      <c r="A286" s="904" t="s">
        <v>618</v>
      </c>
      <c r="B286" s="906">
        <v>25.5142211914063</v>
      </c>
      <c r="C286" s="906">
        <v>26.818180084228501</v>
      </c>
      <c r="D286" s="906">
        <v>34.073703765869098</v>
      </c>
      <c r="E286" s="906">
        <v>20.3962516784668</v>
      </c>
      <c r="F286" s="906">
        <v>18.869060516357401</v>
      </c>
      <c r="G286" s="906">
        <v>22.499189376831101</v>
      </c>
      <c r="H286" s="906">
        <v>24.345371246337901</v>
      </c>
      <c r="I286" s="906">
        <v>25.8835773468018</v>
      </c>
      <c r="J286" s="906">
        <v>27.376197814941399</v>
      </c>
      <c r="K286" s="906">
        <v>25.5507621765137</v>
      </c>
      <c r="L286" s="906">
        <v>26.3307495117188</v>
      </c>
      <c r="M286" s="906">
        <v>27.042121887206999</v>
      </c>
      <c r="N286" s="906">
        <v>27.074653625488299</v>
      </c>
      <c r="O286" s="906">
        <v>28.861484527587901</v>
      </c>
      <c r="P286" s="906">
        <v>29.593324661254901</v>
      </c>
      <c r="Q286" s="906">
        <v>29.691083908081101</v>
      </c>
      <c r="R286" s="906">
        <v>29.8394565582275</v>
      </c>
      <c r="S286" s="906">
        <v>30.056737899780298</v>
      </c>
      <c r="T286" s="906">
        <v>30.123649597168001</v>
      </c>
      <c r="U286" s="906">
        <v>30.045396804809599</v>
      </c>
      <c r="V286" s="906">
        <v>30.335887908935501</v>
      </c>
      <c r="W286" s="906">
        <v>30.1821899414063</v>
      </c>
      <c r="X286" s="906">
        <v>30.567377090454102</v>
      </c>
      <c r="Y286" s="906">
        <v>31.227724075317401</v>
      </c>
      <c r="Z286" s="906">
        <v>30.935503005981399</v>
      </c>
      <c r="AA286" s="306">
        <v>2.7168338298797599</v>
      </c>
      <c r="AB286" s="306">
        <v>2.7307398319244398</v>
      </c>
      <c r="AC286" s="306">
        <v>2.7413196563720699</v>
      </c>
      <c r="AD286" s="306">
        <v>2.7546591758728001</v>
      </c>
    </row>
    <row r="287" spans="1:70" x14ac:dyDescent="0.25">
      <c r="A287" s="904" t="s">
        <v>619</v>
      </c>
      <c r="B287" s="906">
        <v>21.649000167846701</v>
      </c>
      <c r="C287" s="906">
        <v>22.8191947937012</v>
      </c>
      <c r="D287" s="906">
        <v>26.0107421875</v>
      </c>
      <c r="E287" s="906">
        <v>15.8019914627075</v>
      </c>
      <c r="F287" s="906">
        <v>17.711067199706999</v>
      </c>
      <c r="G287" s="906">
        <v>20.6589241027832</v>
      </c>
      <c r="H287" s="906">
        <v>22.298402786254901</v>
      </c>
      <c r="I287" s="906">
        <v>23.5152263641357</v>
      </c>
      <c r="J287" s="906">
        <v>24.813198089599599</v>
      </c>
      <c r="K287" s="906">
        <v>26.134485244751001</v>
      </c>
      <c r="L287" s="906">
        <v>27.0586547851563</v>
      </c>
      <c r="M287" s="906">
        <v>27.9900207519531</v>
      </c>
      <c r="N287" s="906">
        <v>28.799554824829102</v>
      </c>
      <c r="O287" s="906">
        <v>29.408401489257798</v>
      </c>
      <c r="P287" s="906">
        <v>29.935087203979499</v>
      </c>
      <c r="Q287" s="906">
        <v>30.054672241210898</v>
      </c>
      <c r="R287" s="906">
        <v>30.314332962036101</v>
      </c>
      <c r="S287" s="906">
        <v>30.492042541503899</v>
      </c>
      <c r="T287" s="906">
        <v>30.525100708007798</v>
      </c>
      <c r="U287" s="906">
        <v>30.442491531372099</v>
      </c>
      <c r="V287" s="906">
        <v>30.723676681518601</v>
      </c>
      <c r="W287" s="906">
        <v>30.701581954956101</v>
      </c>
      <c r="X287" s="906">
        <v>31.107343673706101</v>
      </c>
      <c r="Y287" s="906">
        <v>31.957983016967798</v>
      </c>
      <c r="Z287" s="906">
        <v>31.580909729003899</v>
      </c>
      <c r="AA287" s="306">
        <v>1.67883205413818</v>
      </c>
      <c r="AB287" s="306">
        <v>1.6938681602478001</v>
      </c>
      <c r="AC287" s="306">
        <v>1.7024568319320701</v>
      </c>
      <c r="AD287" s="306">
        <v>1.71655297279358</v>
      </c>
    </row>
    <row r="288" spans="1:70" x14ac:dyDescent="0.25">
      <c r="A288" s="904" t="s">
        <v>626</v>
      </c>
      <c r="B288" s="906">
        <v>15.2446508407593</v>
      </c>
      <c r="C288" s="906">
        <v>16.0964660644531</v>
      </c>
      <c r="D288" s="906">
        <v>22.1856594085693</v>
      </c>
      <c r="E288" s="906">
        <v>10.540905952453601</v>
      </c>
      <c r="F288" s="906">
        <v>10.4131317138672</v>
      </c>
      <c r="G288" s="906">
        <v>12.992267608642599</v>
      </c>
      <c r="H288" s="906">
        <v>14.8510446548462</v>
      </c>
      <c r="I288" s="906">
        <v>16.4927158355713</v>
      </c>
      <c r="J288" s="906">
        <v>17.888269424438501</v>
      </c>
      <c r="K288" s="906">
        <v>19.120731353759801</v>
      </c>
      <c r="L288" s="906">
        <v>20.025011062622099</v>
      </c>
      <c r="M288" s="906">
        <v>20.925888061523398</v>
      </c>
      <c r="N288" s="906">
        <v>21.650459289550799</v>
      </c>
      <c r="O288" s="906">
        <v>22.054113388061499</v>
      </c>
      <c r="P288" s="906">
        <v>22.358533859252901</v>
      </c>
      <c r="Q288" s="906">
        <v>22.535087585449201</v>
      </c>
      <c r="R288" s="906">
        <v>22.624557495117202</v>
      </c>
      <c r="S288" s="906">
        <v>22.875423431396499</v>
      </c>
      <c r="T288" s="906">
        <v>23.088819503784201</v>
      </c>
      <c r="U288" s="906">
        <v>22.878332138061499</v>
      </c>
      <c r="V288" s="906">
        <v>23.229129791259801</v>
      </c>
      <c r="W288" s="906">
        <v>23.440977096557599</v>
      </c>
      <c r="X288" s="906">
        <v>23.911849975585898</v>
      </c>
      <c r="Y288" s="906">
        <v>24.3618278503418</v>
      </c>
      <c r="Z288" s="906">
        <v>24.669164657592798</v>
      </c>
      <c r="AA288" s="306">
        <v>1.2833950519561801</v>
      </c>
      <c r="AB288" s="306">
        <v>1.3286876678466799</v>
      </c>
      <c r="AC288" s="306">
        <v>1.33012855052948</v>
      </c>
      <c r="AD288" s="306">
        <v>1.33445107936859</v>
      </c>
    </row>
    <row r="289" spans="1:30" x14ac:dyDescent="0.25">
      <c r="A289" s="904" t="s">
        <v>610</v>
      </c>
      <c r="B289" s="906">
        <v>19.171348571777301</v>
      </c>
      <c r="C289" s="906">
        <v>19.9431552886963</v>
      </c>
      <c r="D289" s="906">
        <v>25.721439361572301</v>
      </c>
      <c r="E289" s="906">
        <v>15.1513471603394</v>
      </c>
      <c r="F289" s="906">
        <v>13.5963325500488</v>
      </c>
      <c r="G289" s="906">
        <v>16.098552703857401</v>
      </c>
      <c r="H289" s="906">
        <v>18.014595031738299</v>
      </c>
      <c r="I289" s="906">
        <v>20.0945529937744</v>
      </c>
      <c r="J289" s="906">
        <v>21.487236022949201</v>
      </c>
      <c r="K289" s="906">
        <v>22.551927566528299</v>
      </c>
      <c r="L289" s="906">
        <v>23.4185886383057</v>
      </c>
      <c r="M289" s="906">
        <v>24.295482635498001</v>
      </c>
      <c r="N289" s="906">
        <v>25.028078079223601</v>
      </c>
      <c r="O289" s="906">
        <v>25.4735622406006</v>
      </c>
      <c r="P289" s="906">
        <v>25.7968635559082</v>
      </c>
      <c r="Q289" s="906">
        <v>25.744600296020501</v>
      </c>
      <c r="R289" s="906">
        <v>26.0401725769043</v>
      </c>
      <c r="S289" s="906">
        <v>26.245742797851602</v>
      </c>
      <c r="T289" s="906">
        <v>26.316581726074201</v>
      </c>
      <c r="U289" s="906">
        <v>26.282798767089801</v>
      </c>
      <c r="V289" s="906">
        <v>26.623888015747099</v>
      </c>
      <c r="W289" s="906">
        <v>26.532428741455099</v>
      </c>
      <c r="X289" s="906">
        <v>26.9911499023438</v>
      </c>
      <c r="Y289" s="906">
        <v>27.692060470581101</v>
      </c>
      <c r="Z289" s="906">
        <v>27.7130451202393</v>
      </c>
      <c r="AA289" s="306">
        <v>23.429731369018601</v>
      </c>
      <c r="AB289" s="306">
        <v>23.480413436889599</v>
      </c>
      <c r="AC289" s="306">
        <v>23.589033126831101</v>
      </c>
      <c r="AD289" s="306">
        <v>23.596023559570298</v>
      </c>
    </row>
    <row r="290" spans="1:30" x14ac:dyDescent="0.25">
      <c r="A290" s="904" t="s">
        <v>611</v>
      </c>
      <c r="B290" s="906">
        <v>8.4246683120727504</v>
      </c>
      <c r="C290" s="906">
        <v>9.3672227859497106</v>
      </c>
      <c r="D290" s="906">
        <v>14.1781015396118</v>
      </c>
      <c r="E290" s="906">
        <v>6.5043296813964799</v>
      </c>
      <c r="F290" s="906">
        <v>6.9149212837219203</v>
      </c>
      <c r="G290" s="906">
        <v>9.2013835906982404</v>
      </c>
      <c r="H290" s="906">
        <v>10.8588418960571</v>
      </c>
      <c r="I290" s="906">
        <v>12.3554439544678</v>
      </c>
      <c r="J290" s="906">
        <v>13.5696716308594</v>
      </c>
      <c r="K290" s="906">
        <v>14.9571332931519</v>
      </c>
      <c r="L290" s="906">
        <v>15.7562828063965</v>
      </c>
      <c r="M290" s="906">
        <v>16.419845581054702</v>
      </c>
      <c r="N290" s="906">
        <v>17.090215682983398</v>
      </c>
      <c r="O290" s="906">
        <v>17.3671054840088</v>
      </c>
      <c r="P290" s="906">
        <v>17.589653015136701</v>
      </c>
      <c r="Q290" s="906">
        <v>17.8480415344238</v>
      </c>
      <c r="R290" s="906">
        <v>17.911899566650401</v>
      </c>
      <c r="S290" s="906">
        <v>18.041828155517599</v>
      </c>
      <c r="T290" s="906">
        <v>18.112939834594702</v>
      </c>
      <c r="U290" s="906">
        <v>17.862413406372099</v>
      </c>
      <c r="V290" s="906">
        <v>18.047613143920898</v>
      </c>
      <c r="W290" s="906">
        <v>18.333000183105501</v>
      </c>
      <c r="X290" s="906">
        <v>18.6528930664063</v>
      </c>
      <c r="Y290" s="906">
        <v>18.8375339508057</v>
      </c>
      <c r="Z290" s="906">
        <v>19.187860488891602</v>
      </c>
      <c r="AA290" s="306"/>
      <c r="AB290" s="306"/>
      <c r="AC290" s="306"/>
      <c r="AD290" s="306"/>
    </row>
    <row r="291" spans="1:30" x14ac:dyDescent="0.25">
      <c r="A291" s="904" t="s">
        <v>510</v>
      </c>
      <c r="B291" s="906">
        <v>9.5015735626220703</v>
      </c>
      <c r="C291" s="906">
        <v>9.0060253143310494</v>
      </c>
      <c r="D291" s="906">
        <v>10.1816816329956</v>
      </c>
      <c r="E291" s="906">
        <v>6.76324558258057</v>
      </c>
      <c r="F291" s="906">
        <v>7.4289712905883798</v>
      </c>
      <c r="G291" s="906">
        <v>7.7374553680419904</v>
      </c>
      <c r="H291" s="906">
        <v>7.7907910346984899</v>
      </c>
      <c r="I291" s="906">
        <v>7.79954290390015</v>
      </c>
      <c r="J291" s="906">
        <v>7.91036033630371</v>
      </c>
      <c r="K291" s="906">
        <v>8.0721502304077095</v>
      </c>
      <c r="L291" s="906">
        <v>8.2674913406372106</v>
      </c>
      <c r="M291" s="906">
        <v>8.4630060195922905</v>
      </c>
      <c r="N291" s="906">
        <v>8.6615943908691406</v>
      </c>
      <c r="O291" s="906">
        <v>8.9140930175781303</v>
      </c>
      <c r="P291" s="906">
        <v>9.2212562561035192</v>
      </c>
      <c r="Q291" s="906">
        <v>9.4307956695556605</v>
      </c>
      <c r="R291" s="906">
        <v>9.4883728027343803</v>
      </c>
      <c r="S291" s="906">
        <v>9.2674760818481392</v>
      </c>
      <c r="T291" s="906">
        <v>9.2395153045654297</v>
      </c>
      <c r="U291" s="906">
        <v>9.1623344421386701</v>
      </c>
      <c r="V291" s="906">
        <v>9.3142642974853498</v>
      </c>
      <c r="W291" s="906">
        <v>9.5711297988891602</v>
      </c>
      <c r="X291" s="906">
        <v>9.9057645797729492</v>
      </c>
      <c r="Y291" s="906">
        <v>10.151716232299799</v>
      </c>
      <c r="Z291" s="906">
        <v>10.4206848144531</v>
      </c>
      <c r="AA291" s="306"/>
      <c r="AB291" s="306"/>
      <c r="AC291" s="306"/>
      <c r="AD291" s="306"/>
    </row>
    <row r="292" spans="1:30" x14ac:dyDescent="0.25">
      <c r="A292" s="904" t="s">
        <v>614</v>
      </c>
      <c r="B292" s="906">
        <v>3.6353600025177002</v>
      </c>
      <c r="C292" s="906">
        <v>3.6099998950958301</v>
      </c>
      <c r="D292" s="906">
        <v>4.0558156967163104</v>
      </c>
      <c r="E292" s="906">
        <v>4.0487108230590803</v>
      </c>
      <c r="F292" s="906">
        <v>3.9977276325225799</v>
      </c>
      <c r="G292" s="906">
        <v>4.1121706962585396</v>
      </c>
      <c r="H292" s="906">
        <v>4.1809573173522896</v>
      </c>
      <c r="I292" s="906">
        <v>4.2343683242797896</v>
      </c>
      <c r="J292" s="906">
        <v>4.27162742614746</v>
      </c>
      <c r="K292" s="906">
        <v>4.2985162734985396</v>
      </c>
      <c r="L292" s="906">
        <v>4.3192996978759801</v>
      </c>
      <c r="M292" s="906">
        <v>4.3337044715881303</v>
      </c>
      <c r="N292" s="906">
        <v>4.3530845642089799</v>
      </c>
      <c r="O292" s="906">
        <v>4.3696141242981001</v>
      </c>
      <c r="P292" s="906">
        <v>4.3899216651916504</v>
      </c>
      <c r="Q292" s="906">
        <v>4.4470157623290998</v>
      </c>
      <c r="R292" s="906">
        <v>4.5093812942504901</v>
      </c>
      <c r="S292" s="906">
        <v>4.5352845191955602</v>
      </c>
      <c r="T292" s="906">
        <v>4.5618190765380904</v>
      </c>
      <c r="U292" s="906">
        <v>4.5643453598022496</v>
      </c>
      <c r="V292" s="906">
        <v>4.5493078231811497</v>
      </c>
      <c r="W292" s="906">
        <v>4.5490665435790998</v>
      </c>
      <c r="X292" s="906">
        <v>4.5331215858459499</v>
      </c>
      <c r="Y292" s="906">
        <v>4.4955492019653303</v>
      </c>
      <c r="Z292" s="906">
        <v>4.4319190979003897</v>
      </c>
      <c r="AA292" s="306">
        <v>253.732666015625</v>
      </c>
      <c r="AB292" s="306">
        <v>257.28918457031301</v>
      </c>
      <c r="AC292" s="306">
        <v>259.96432495117199</v>
      </c>
      <c r="AD292" s="306">
        <v>262.21316528320301</v>
      </c>
    </row>
    <row r="293" spans="1:30" x14ac:dyDescent="0.25">
      <c r="A293" s="904" t="s">
        <v>627</v>
      </c>
      <c r="B293" s="906">
        <v>1.7776364088058501</v>
      </c>
      <c r="C293" s="906">
        <v>1.81885313987732</v>
      </c>
      <c r="D293" s="906">
        <v>1.9676311016082799</v>
      </c>
      <c r="E293" s="906">
        <v>2.0067975521087602</v>
      </c>
      <c r="F293" s="906">
        <v>1.88941025733948</v>
      </c>
      <c r="G293" s="906">
        <v>1.9042230844497701</v>
      </c>
      <c r="H293" s="906">
        <v>1.89033174514771</v>
      </c>
      <c r="I293" s="906">
        <v>1.9154095649719201</v>
      </c>
      <c r="J293" s="906">
        <v>1.93832087516785</v>
      </c>
      <c r="K293" s="906">
        <v>1.94072294235229</v>
      </c>
      <c r="L293" s="906">
        <v>1.9500694274902299</v>
      </c>
      <c r="M293" s="906">
        <v>1.9586881399154701</v>
      </c>
      <c r="N293" s="906">
        <v>1.9732190370559699</v>
      </c>
      <c r="O293" s="906">
        <v>1.9783339500427199</v>
      </c>
      <c r="P293" s="906">
        <v>1.98810267448425</v>
      </c>
      <c r="Q293" s="906">
        <v>1.9938982725143399</v>
      </c>
      <c r="R293" s="906">
        <v>2.0064799785614</v>
      </c>
      <c r="S293" s="906">
        <v>2.0119984149932901</v>
      </c>
      <c r="T293" s="906">
        <v>2.0163278579711901</v>
      </c>
      <c r="U293" s="906">
        <v>2.0205180644989</v>
      </c>
      <c r="V293" s="906">
        <v>2.0271856784820601</v>
      </c>
      <c r="W293" s="906">
        <v>2.0382561683654798</v>
      </c>
      <c r="X293" s="906">
        <v>2.0508835315704301</v>
      </c>
      <c r="Y293" s="906">
        <v>2.0641281604766801</v>
      </c>
      <c r="Z293" s="906">
        <v>2.0750961303710902</v>
      </c>
      <c r="AA293" s="306">
        <v>208.50216674804699</v>
      </c>
      <c r="AB293" s="306">
        <v>213.246017456055</v>
      </c>
      <c r="AC293" s="306">
        <v>217.97378540039099</v>
      </c>
      <c r="AD293" s="306">
        <v>222.08200073242199</v>
      </c>
    </row>
    <row r="294" spans="1:30" x14ac:dyDescent="0.25">
      <c r="A294" s="904" t="s">
        <v>616</v>
      </c>
      <c r="B294" s="906">
        <v>0</v>
      </c>
      <c r="C294" s="906">
        <v>0</v>
      </c>
      <c r="D294" s="906">
        <v>0</v>
      </c>
      <c r="E294" s="906">
        <v>0</v>
      </c>
      <c r="F294" s="906">
        <v>0</v>
      </c>
      <c r="G294" s="906">
        <v>1.5133428573608401</v>
      </c>
      <c r="H294" s="906">
        <v>1.3742095232009901</v>
      </c>
      <c r="I294" s="906">
        <v>1.19064140319824</v>
      </c>
      <c r="J294" s="906">
        <v>1.3664953708648699</v>
      </c>
      <c r="K294" s="906">
        <v>1.33487153053284</v>
      </c>
      <c r="L294" s="906">
        <v>1.31654036045074</v>
      </c>
      <c r="M294" s="906">
        <v>1.30223417282104</v>
      </c>
      <c r="N294" s="906">
        <v>1.30838906764984</v>
      </c>
      <c r="O294" s="906">
        <v>1.32146644592285</v>
      </c>
      <c r="P294" s="906">
        <v>1.3489345312118499</v>
      </c>
      <c r="Q294" s="906">
        <v>1.3524934053421001</v>
      </c>
      <c r="R294" s="906">
        <v>1.3570195436477701</v>
      </c>
      <c r="S294" s="906">
        <v>1.3626403808593801</v>
      </c>
      <c r="T294" s="906">
        <v>1.37119424343109</v>
      </c>
      <c r="U294" s="906">
        <v>1.3635557889938399</v>
      </c>
      <c r="V294" s="906">
        <v>1.3662919998168901</v>
      </c>
      <c r="W294" s="906">
        <v>1.37254309654236</v>
      </c>
      <c r="X294" s="906">
        <v>1.37609398365021</v>
      </c>
      <c r="Y294" s="906">
        <v>1.3784751892089799</v>
      </c>
      <c r="Z294" s="906">
        <v>1.3805129528045701</v>
      </c>
      <c r="AA294" s="306">
        <v>212.89649963378901</v>
      </c>
      <c r="AB294" s="306">
        <v>216.30204772949199</v>
      </c>
      <c r="AC294" s="306">
        <v>219.267822265625</v>
      </c>
      <c r="AD294" s="306">
        <v>222.079177856445</v>
      </c>
    </row>
    <row r="295" spans="1:30" x14ac:dyDescent="0.25">
      <c r="A295" s="904" t="s">
        <v>479</v>
      </c>
      <c r="B295" s="906">
        <v>26.672916412353501</v>
      </c>
      <c r="C295" s="906">
        <v>26.680915832519499</v>
      </c>
      <c r="D295" s="906">
        <v>27.799331665039102</v>
      </c>
      <c r="E295" s="906">
        <v>26.6892414093018</v>
      </c>
      <c r="F295" s="906">
        <v>24.2756156921387</v>
      </c>
      <c r="G295" s="906">
        <v>25.0947151184082</v>
      </c>
      <c r="H295" s="906">
        <v>25.0493679046631</v>
      </c>
      <c r="I295" s="906">
        <v>25.093559265136701</v>
      </c>
      <c r="J295" s="906">
        <v>25.339256286621101</v>
      </c>
      <c r="K295" s="906">
        <v>25.454051971435501</v>
      </c>
      <c r="L295" s="906">
        <v>25.7708930969238</v>
      </c>
      <c r="M295" s="906">
        <v>26.1124782562256</v>
      </c>
      <c r="N295" s="906">
        <v>26.474697113037099</v>
      </c>
      <c r="O295" s="906">
        <v>26.7419338226318</v>
      </c>
      <c r="P295" s="906">
        <v>27.1641750335693</v>
      </c>
      <c r="Q295" s="906">
        <v>27.529588699340799</v>
      </c>
      <c r="R295" s="906">
        <v>27.7828693389893</v>
      </c>
      <c r="S295" s="906">
        <v>27.754991531372099</v>
      </c>
      <c r="T295" s="906">
        <v>27.792310714721701</v>
      </c>
      <c r="U295" s="906">
        <v>27.7856330871582</v>
      </c>
      <c r="V295" s="906">
        <v>27.867961883544901</v>
      </c>
      <c r="W295" s="906">
        <v>28.2280673980713</v>
      </c>
      <c r="X295" s="906">
        <v>28.6754856109619</v>
      </c>
      <c r="Y295" s="906">
        <v>29.0858860015869</v>
      </c>
      <c r="Z295" s="906">
        <v>29.4564533233643</v>
      </c>
      <c r="AA295" s="306">
        <v>588.97521972656295</v>
      </c>
      <c r="AB295" s="306">
        <v>607.12139892578102</v>
      </c>
      <c r="AC295" s="306">
        <v>615.45501708984398</v>
      </c>
      <c r="AD295" s="306">
        <v>632.78991699218795</v>
      </c>
    </row>
    <row r="296" spans="1:30" x14ac:dyDescent="0.25">
      <c r="AA296" s="306">
        <v>1264.10656738281</v>
      </c>
      <c r="AB296" s="306">
        <v>1293.95861816406</v>
      </c>
      <c r="AC296" s="306">
        <v>1312.66088867188</v>
      </c>
      <c r="AD296" s="306">
        <v>1339.16430664063</v>
      </c>
    </row>
    <row r="297" spans="1:30" x14ac:dyDescent="0.25">
      <c r="A297" s="904" t="s">
        <v>513</v>
      </c>
      <c r="AA297" s="306">
        <v>0.38684526085853599</v>
      </c>
      <c r="AB297" s="306">
        <v>0.443235874176025</v>
      </c>
      <c r="AC297" s="306">
        <v>0.46923574805259699</v>
      </c>
      <c r="AD297" s="306">
        <v>0.51463860273361195</v>
      </c>
    </row>
    <row r="298" spans="1:30" x14ac:dyDescent="0.25">
      <c r="A298" s="904" t="s">
        <v>725</v>
      </c>
      <c r="AA298" s="306">
        <v>1264.49340820313</v>
      </c>
      <c r="AB298" s="306">
        <v>1294.40185546875</v>
      </c>
      <c r="AC298" s="306">
        <v>1313.13012695313</v>
      </c>
      <c r="AD298" s="306">
        <v>1339.67895507813</v>
      </c>
    </row>
    <row r="299" spans="1:30" x14ac:dyDescent="0.25">
      <c r="A299" s="904" t="s">
        <v>473</v>
      </c>
      <c r="B299" s="906">
        <v>231.10064697265599</v>
      </c>
      <c r="C299" s="906">
        <v>238.40081787109401</v>
      </c>
      <c r="D299" s="906">
        <v>250.00378417968801</v>
      </c>
      <c r="E299" s="906">
        <v>223.81915283203099</v>
      </c>
      <c r="F299" s="906">
        <v>215.29118347168</v>
      </c>
      <c r="G299" s="906">
        <v>224.09677124023401</v>
      </c>
      <c r="H299" s="906">
        <v>227.34310913085901</v>
      </c>
      <c r="I299" s="906">
        <v>227.85260009765599</v>
      </c>
      <c r="J299" s="906">
        <v>231.24415588378901</v>
      </c>
      <c r="K299" s="906">
        <v>234.18721008300801</v>
      </c>
      <c r="L299" s="906">
        <v>238.75100708007801</v>
      </c>
      <c r="M299" s="906">
        <v>243.18489074707</v>
      </c>
      <c r="N299" s="906">
        <v>248.169021606445</v>
      </c>
      <c r="O299" s="906">
        <v>252.72660827636699</v>
      </c>
      <c r="P299" s="906">
        <v>258.44952392578102</v>
      </c>
      <c r="Q299" s="906">
        <v>262.50808715820301</v>
      </c>
      <c r="R299" s="906">
        <v>265.94851684570301</v>
      </c>
      <c r="S299" s="906">
        <v>267.30322265625</v>
      </c>
      <c r="T299" s="906">
        <v>270.58847045898398</v>
      </c>
      <c r="U299" s="906">
        <v>272.04168701171898</v>
      </c>
      <c r="V299" s="906">
        <v>276.25186157226602</v>
      </c>
      <c r="W299" s="906">
        <v>282.20260620117199</v>
      </c>
      <c r="X299" s="906">
        <v>288.93267822265602</v>
      </c>
      <c r="Y299" s="906">
        <v>293.60751342773398</v>
      </c>
      <c r="Z299" s="906">
        <v>298.90402221679699</v>
      </c>
      <c r="AA299" s="306"/>
      <c r="AB299" s="306"/>
      <c r="AC299" s="306"/>
      <c r="AD299" s="306"/>
    </row>
    <row r="300" spans="1:30" x14ac:dyDescent="0.25">
      <c r="A300" s="904" t="s">
        <v>480</v>
      </c>
      <c r="B300" s="906">
        <v>170.28274536132801</v>
      </c>
      <c r="C300" s="906">
        <v>172.89260864257801</v>
      </c>
      <c r="D300" s="906">
        <v>183.352294921875</v>
      </c>
      <c r="E300" s="906">
        <v>163.89425659179699</v>
      </c>
      <c r="F300" s="906">
        <v>157.14476013183599</v>
      </c>
      <c r="G300" s="906">
        <v>164.69047546386699</v>
      </c>
      <c r="H300" s="906">
        <v>166.42567443847699</v>
      </c>
      <c r="I300" s="906">
        <v>169.00093078613301</v>
      </c>
      <c r="J300" s="906">
        <v>173.04789733886699</v>
      </c>
      <c r="K300" s="906">
        <v>176.93461608886699</v>
      </c>
      <c r="L300" s="906">
        <v>182.04042053222699</v>
      </c>
      <c r="M300" s="906">
        <v>187.24485778808599</v>
      </c>
      <c r="N300" s="906">
        <v>192.69107055664099</v>
      </c>
      <c r="O300" s="906">
        <v>197.508544921875</v>
      </c>
      <c r="P300" s="906">
        <v>203.26272583007801</v>
      </c>
      <c r="Q300" s="906">
        <v>208.31881713867199</v>
      </c>
      <c r="R300" s="906">
        <v>212.33370971679699</v>
      </c>
      <c r="S300" s="906">
        <v>214.22947692871099</v>
      </c>
      <c r="T300" s="906">
        <v>217.23475646972699</v>
      </c>
      <c r="U300" s="906">
        <v>219.65505981445301</v>
      </c>
      <c r="V300" s="906">
        <v>223.61666870117199</v>
      </c>
      <c r="W300" s="906">
        <v>229.31947326660199</v>
      </c>
      <c r="X300" s="906">
        <v>235.82908630371099</v>
      </c>
      <c r="Y300" s="906">
        <v>241.79779052734401</v>
      </c>
      <c r="Z300" s="906">
        <v>247.76422119140599</v>
      </c>
      <c r="AA300" s="306"/>
      <c r="AB300" s="306"/>
      <c r="AC300" s="306"/>
      <c r="AD300" s="306"/>
    </row>
    <row r="301" spans="1:30" x14ac:dyDescent="0.25">
      <c r="A301" s="904" t="s">
        <v>515</v>
      </c>
      <c r="B301" s="906">
        <v>216.08058166503901</v>
      </c>
      <c r="C301" s="906">
        <v>226.88609313964801</v>
      </c>
      <c r="D301" s="906">
        <v>248.66896057128901</v>
      </c>
      <c r="E301" s="906">
        <v>181.39601135253901</v>
      </c>
      <c r="F301" s="906">
        <v>151.70443725585901</v>
      </c>
      <c r="G301" s="906">
        <v>172.23597717285199</v>
      </c>
      <c r="H301" s="906">
        <v>186.63681030273401</v>
      </c>
      <c r="I301" s="906">
        <v>200.19924926757801</v>
      </c>
      <c r="J301" s="906">
        <v>207.03741455078099</v>
      </c>
      <c r="K301" s="906">
        <v>213.45352172851599</v>
      </c>
      <c r="L301" s="906">
        <v>218.62767028808599</v>
      </c>
      <c r="M301" s="906">
        <v>224.29528808593801</v>
      </c>
      <c r="N301" s="906">
        <v>229.96401977539099</v>
      </c>
      <c r="O301" s="906">
        <v>233.76069641113301</v>
      </c>
      <c r="P301" s="906">
        <v>239.065841674805</v>
      </c>
      <c r="Q301" s="906">
        <v>241.45851135253901</v>
      </c>
      <c r="R301" s="906">
        <v>242.383544921875</v>
      </c>
      <c r="S301" s="906">
        <v>242.41815185546901</v>
      </c>
      <c r="T301" s="906">
        <v>242.89247131347699</v>
      </c>
      <c r="U301" s="906">
        <v>240.916915893555</v>
      </c>
      <c r="V301" s="906">
        <v>241.41357421875</v>
      </c>
      <c r="W301" s="906">
        <v>242.50785827636699</v>
      </c>
      <c r="X301" s="906">
        <v>244.85752868652301</v>
      </c>
      <c r="Y301" s="906">
        <v>245.86729431152301</v>
      </c>
      <c r="Z301" s="906">
        <v>245.87216186523401</v>
      </c>
      <c r="AA301" s="306"/>
      <c r="AB301" s="306"/>
      <c r="AC301" s="306"/>
      <c r="AD301" s="306"/>
    </row>
    <row r="302" spans="1:30" x14ac:dyDescent="0.25">
      <c r="A302" s="904" t="s">
        <v>487</v>
      </c>
      <c r="B302" s="906">
        <v>564.62982177734398</v>
      </c>
      <c r="C302" s="906">
        <v>596.84759521484398</v>
      </c>
      <c r="D302" s="906">
        <v>693.65460205078102</v>
      </c>
      <c r="E302" s="906">
        <v>393.76574707031301</v>
      </c>
      <c r="F302" s="906">
        <v>430.90808105468801</v>
      </c>
      <c r="G302" s="906">
        <v>516.84307861328102</v>
      </c>
      <c r="H302" s="906">
        <v>568.141357421875</v>
      </c>
      <c r="I302" s="906">
        <v>610.89111328125</v>
      </c>
      <c r="J302" s="906">
        <v>646.41064453125</v>
      </c>
      <c r="K302" s="906">
        <v>676.39013671875</v>
      </c>
      <c r="L302" s="906">
        <v>696.72686767578102</v>
      </c>
      <c r="M302" s="906">
        <v>719.33160400390602</v>
      </c>
      <c r="N302" s="906">
        <v>737.13671875</v>
      </c>
      <c r="O302" s="906">
        <v>750.27301025390602</v>
      </c>
      <c r="P302" s="906">
        <v>759.33123779296898</v>
      </c>
      <c r="Q302" s="906">
        <v>760.33734130859398</v>
      </c>
      <c r="R302" s="906">
        <v>761.04602050781295</v>
      </c>
      <c r="S302" s="906">
        <v>771.55059814453102</v>
      </c>
      <c r="T302" s="906">
        <v>780.57421875</v>
      </c>
      <c r="U302" s="906">
        <v>783.147216796875</v>
      </c>
      <c r="V302" s="906">
        <v>796.70227050781295</v>
      </c>
      <c r="W302" s="906">
        <v>794.56842041015602</v>
      </c>
      <c r="X302" s="906">
        <v>811.39251708984398</v>
      </c>
      <c r="Y302" s="906">
        <v>832.07995605468795</v>
      </c>
      <c r="Z302" s="906">
        <v>835.36431884765602</v>
      </c>
      <c r="AA302" s="306"/>
      <c r="AB302" s="306"/>
      <c r="AC302" s="306"/>
      <c r="AD302" s="306"/>
    </row>
    <row r="303" spans="1:30" x14ac:dyDescent="0.25">
      <c r="A303" s="904" t="s">
        <v>516</v>
      </c>
      <c r="B303" s="906">
        <v>1182.09375</v>
      </c>
      <c r="C303" s="906">
        <v>1235.02709960938</v>
      </c>
      <c r="D303" s="906">
        <v>1375.6796875</v>
      </c>
      <c r="E303" s="906">
        <v>962.87518310546898</v>
      </c>
      <c r="F303" s="906">
        <v>955.04846191406295</v>
      </c>
      <c r="G303" s="906">
        <v>1077.86633300781</v>
      </c>
      <c r="H303" s="906">
        <v>1148.54699707031</v>
      </c>
      <c r="I303" s="906">
        <v>1207.94384765625</v>
      </c>
      <c r="J303" s="906">
        <v>1257.74011230469</v>
      </c>
      <c r="K303" s="906">
        <v>1300.96545410156</v>
      </c>
      <c r="L303" s="906">
        <v>1336.14599609375</v>
      </c>
      <c r="M303" s="906">
        <v>1374.056640625</v>
      </c>
      <c r="N303" s="906">
        <v>1407.96081542969</v>
      </c>
      <c r="O303" s="906">
        <v>1434.26879882813</v>
      </c>
      <c r="P303" s="906">
        <v>1460.109375</v>
      </c>
      <c r="Q303" s="906">
        <v>1472.62280273438</v>
      </c>
      <c r="R303" s="906">
        <v>1481.71179199219</v>
      </c>
      <c r="S303" s="906">
        <v>1495.50146484375</v>
      </c>
      <c r="T303" s="906">
        <v>1511.28991699219</v>
      </c>
      <c r="U303" s="906">
        <v>1515.76086425781</v>
      </c>
      <c r="V303" s="906">
        <v>1537.984375</v>
      </c>
      <c r="W303" s="906">
        <v>1548.59838867188</v>
      </c>
      <c r="X303" s="906">
        <v>1581.01184082031</v>
      </c>
      <c r="Y303" s="906">
        <v>1613.3525390625</v>
      </c>
      <c r="Z303" s="906">
        <v>1627.90478515625</v>
      </c>
      <c r="AA303" s="306"/>
      <c r="AB303" s="306"/>
      <c r="AC303" s="306"/>
      <c r="AD303" s="306"/>
    </row>
    <row r="304" spans="1:30" x14ac:dyDescent="0.25">
      <c r="A304" s="904" t="s">
        <v>629</v>
      </c>
      <c r="B304" s="906">
        <v>3.2131362706422799E-2</v>
      </c>
      <c r="C304" s="906">
        <v>4.0145620703697198E-2</v>
      </c>
      <c r="D304" s="906">
        <v>3.7687420845031697E-2</v>
      </c>
      <c r="E304" s="906">
        <v>2.54867300391197E-2</v>
      </c>
      <c r="F304" s="906">
        <v>5.4010055959224701E-2</v>
      </c>
      <c r="G304" s="906">
        <v>6.77362531423569E-2</v>
      </c>
      <c r="H304" s="906">
        <v>8.3178348839283003E-2</v>
      </c>
      <c r="I304" s="906">
        <v>9.4869345426559407E-2</v>
      </c>
      <c r="J304" s="906">
        <v>0.113030456006527</v>
      </c>
      <c r="K304" s="906">
        <v>1.97330021858215</v>
      </c>
      <c r="L304" s="906">
        <v>4.8567194938659703</v>
      </c>
      <c r="M304" s="906">
        <v>6.7303171157836896</v>
      </c>
      <c r="N304" s="906">
        <v>10.514961242675801</v>
      </c>
      <c r="O304" s="906">
        <v>15.7356252670288</v>
      </c>
      <c r="P304" s="906">
        <v>22.100711822509801</v>
      </c>
      <c r="Q304" s="906">
        <v>25.9892463684082</v>
      </c>
      <c r="R304" s="906">
        <v>35.539012908935497</v>
      </c>
      <c r="S304" s="906">
        <v>35.597633361816399</v>
      </c>
      <c r="T304" s="906">
        <v>34.1677055358887</v>
      </c>
      <c r="U304" s="906">
        <v>35.613494873046903</v>
      </c>
      <c r="V304" s="906">
        <v>37.140151977539098</v>
      </c>
      <c r="W304" s="906">
        <v>45.276290893554702</v>
      </c>
      <c r="X304" s="906">
        <v>47.974498748779297</v>
      </c>
      <c r="Y304" s="906">
        <v>53.190200805664098</v>
      </c>
      <c r="Z304" s="906">
        <v>54.179977416992202</v>
      </c>
      <c r="AA304" s="306"/>
      <c r="AB304" s="306"/>
      <c r="AC304" s="306"/>
      <c r="AD304" s="306"/>
    </row>
    <row r="305" spans="1:30" x14ac:dyDescent="0.25">
      <c r="A305" s="904" t="s">
        <v>518</v>
      </c>
      <c r="B305" s="906">
        <v>1182.12585449219</v>
      </c>
      <c r="C305" s="906">
        <v>1235.06726074219</v>
      </c>
      <c r="D305" s="906">
        <v>1375.71740722656</v>
      </c>
      <c r="E305" s="906">
        <v>962.90069580078102</v>
      </c>
      <c r="F305" s="906">
        <v>955.10247802734398</v>
      </c>
      <c r="G305" s="906">
        <v>1077.93408203125</v>
      </c>
      <c r="H305" s="906">
        <v>1148.63012695313</v>
      </c>
      <c r="I305" s="906">
        <v>1208.03869628906</v>
      </c>
      <c r="J305" s="906">
        <v>1257.85314941406</v>
      </c>
      <c r="K305" s="906">
        <v>1302.93872070313</v>
      </c>
      <c r="L305" s="906">
        <v>1341.00268554688</v>
      </c>
      <c r="M305" s="906">
        <v>1380.78698730469</v>
      </c>
      <c r="N305" s="906">
        <v>1418.47583007813</v>
      </c>
      <c r="O305" s="906">
        <v>1450.00439453125</v>
      </c>
      <c r="P305" s="906">
        <v>1482.21008300781</v>
      </c>
      <c r="Q305" s="906">
        <v>1498.61206054688</v>
      </c>
      <c r="R305" s="906">
        <v>1517.25085449219</v>
      </c>
      <c r="S305" s="906">
        <v>1531.09912109375</v>
      </c>
      <c r="T305" s="906">
        <v>1545.45764160156</v>
      </c>
      <c r="U305" s="906">
        <v>1551.37438964844</v>
      </c>
      <c r="V305" s="906">
        <v>1575.12451171875</v>
      </c>
      <c r="W305" s="906">
        <v>1593.87463378906</v>
      </c>
      <c r="X305" s="906">
        <v>1628.986328125</v>
      </c>
      <c r="Y305" s="906">
        <v>1666.54272460938</v>
      </c>
      <c r="Z305" s="906">
        <v>1682.08471679688</v>
      </c>
      <c r="AA305" s="306"/>
      <c r="AB305" s="306"/>
      <c r="AC305" s="306"/>
      <c r="AD305" s="306"/>
    </row>
    <row r="306" spans="1:30" x14ac:dyDescent="0.25">
      <c r="AA306" s="306"/>
      <c r="AB306" s="306"/>
      <c r="AC306" s="306"/>
      <c r="AD306" s="306"/>
    </row>
    <row r="307" spans="1:30" x14ac:dyDescent="0.25">
      <c r="AA307" s="306"/>
      <c r="AB307" s="306"/>
      <c r="AC307" s="306"/>
      <c r="AD307" s="306"/>
    </row>
    <row r="308" spans="1:30" x14ac:dyDescent="0.25">
      <c r="A308" s="904" t="s">
        <v>726</v>
      </c>
      <c r="AA308" s="306"/>
      <c r="AB308" s="306"/>
      <c r="AC308" s="306"/>
      <c r="AD308" s="306"/>
    </row>
    <row r="309" spans="1:30" x14ac:dyDescent="0.25">
      <c r="A309" s="904" t="s">
        <v>473</v>
      </c>
      <c r="AA309" s="306"/>
      <c r="AB309" s="306"/>
      <c r="AC309" s="306"/>
      <c r="AD309" s="306"/>
    </row>
    <row r="310" spans="1:30" x14ac:dyDescent="0.25">
      <c r="A310" s="904" t="s">
        <v>609</v>
      </c>
      <c r="B310" s="906">
        <v>23.2563285827637</v>
      </c>
      <c r="C310" s="906">
        <v>24.973464965820298</v>
      </c>
      <c r="D310" s="906">
        <v>29.096658706665</v>
      </c>
      <c r="E310" s="906">
        <v>22.194786071777301</v>
      </c>
      <c r="F310" s="906">
        <v>21.477947235107401</v>
      </c>
      <c r="G310" s="906">
        <v>24.1509113311768</v>
      </c>
      <c r="H310" s="906">
        <v>26.557428359985401</v>
      </c>
      <c r="I310" s="906">
        <v>28.936630249023398</v>
      </c>
      <c r="J310" s="906">
        <v>31.2247924804688</v>
      </c>
      <c r="K310" s="906">
        <v>33.758499145507798</v>
      </c>
      <c r="L310" s="906">
        <v>35.743316650390597</v>
      </c>
      <c r="M310" s="906">
        <v>37.599853515625</v>
      </c>
      <c r="N310" s="906">
        <v>39.552177429199197</v>
      </c>
      <c r="O310" s="906">
        <v>40.9905815124512</v>
      </c>
      <c r="P310" s="906">
        <v>42.334590911865199</v>
      </c>
      <c r="Q310" s="906">
        <v>43.7123832702637</v>
      </c>
      <c r="R310" s="906">
        <v>44.985881805419901</v>
      </c>
      <c r="S310" s="906">
        <v>46.523696899414098</v>
      </c>
      <c r="T310" s="906">
        <v>47.765018463134801</v>
      </c>
      <c r="U310" s="906">
        <v>48.143123626708999</v>
      </c>
      <c r="V310" s="906">
        <v>49.548942565917997</v>
      </c>
      <c r="W310" s="906">
        <v>50.986961364746101</v>
      </c>
      <c r="X310" s="906">
        <v>52.580905914306598</v>
      </c>
      <c r="Y310" s="906">
        <v>53.965934753417997</v>
      </c>
      <c r="Z310" s="906">
        <v>55.648300170898402</v>
      </c>
      <c r="AA310" s="306"/>
      <c r="AB310" s="306"/>
      <c r="AC310" s="306"/>
      <c r="AD310" s="306"/>
    </row>
    <row r="311" spans="1:30" x14ac:dyDescent="0.25">
      <c r="A311" s="904" t="s">
        <v>610</v>
      </c>
      <c r="B311" s="906">
        <v>17.979913711547901</v>
      </c>
      <c r="C311" s="906">
        <v>19.664405822753899</v>
      </c>
      <c r="D311" s="906">
        <v>24.466548919677699</v>
      </c>
      <c r="E311" s="906">
        <v>16.188474655151399</v>
      </c>
      <c r="F311" s="906">
        <v>13.8549404144287</v>
      </c>
      <c r="G311" s="906">
        <v>16.4927158355713</v>
      </c>
      <c r="H311" s="906">
        <v>18.5955104827881</v>
      </c>
      <c r="I311" s="906">
        <v>20.348911285400401</v>
      </c>
      <c r="J311" s="906">
        <v>22.1809597015381</v>
      </c>
      <c r="K311" s="906">
        <v>24.3712253570557</v>
      </c>
      <c r="L311" s="906">
        <v>25.9372863769531</v>
      </c>
      <c r="M311" s="906">
        <v>27.5034885406494</v>
      </c>
      <c r="N311" s="906">
        <v>29.0146675109863</v>
      </c>
      <c r="O311" s="906">
        <v>30.168525695800799</v>
      </c>
      <c r="P311" s="906">
        <v>31.2883205413818</v>
      </c>
      <c r="Q311" s="906">
        <v>32.275276184082003</v>
      </c>
      <c r="R311" s="906">
        <v>33.246475219726598</v>
      </c>
      <c r="S311" s="906">
        <v>34.4459838867188</v>
      </c>
      <c r="T311" s="906">
        <v>35.640113830566399</v>
      </c>
      <c r="U311" s="906">
        <v>35.882171630859403</v>
      </c>
      <c r="V311" s="906">
        <v>37.065284729003899</v>
      </c>
      <c r="W311" s="906">
        <v>38.310382843017599</v>
      </c>
      <c r="X311" s="906">
        <v>39.641868591308601</v>
      </c>
      <c r="Y311" s="906">
        <v>40.905982971191399</v>
      </c>
      <c r="Z311" s="906">
        <v>42.365245819091797</v>
      </c>
      <c r="AA311" s="306"/>
      <c r="AB311" s="306"/>
      <c r="AC311" s="306"/>
      <c r="AD311" s="306"/>
    </row>
    <row r="312" spans="1:30" x14ac:dyDescent="0.25">
      <c r="A312" s="904" t="s">
        <v>510</v>
      </c>
      <c r="B312" s="906">
        <v>13.3406887054443</v>
      </c>
      <c r="C312" s="906">
        <v>12.691158294677701</v>
      </c>
      <c r="D312" s="906">
        <v>13.2631158828735</v>
      </c>
      <c r="E312" s="906">
        <v>11.061133384704601</v>
      </c>
      <c r="F312" s="906">
        <v>11.614992141723601</v>
      </c>
      <c r="G312" s="906">
        <v>12.061012268066399</v>
      </c>
      <c r="H312" s="906">
        <v>12.1186227798462</v>
      </c>
      <c r="I312" s="906">
        <v>12.236530303955099</v>
      </c>
      <c r="J312" s="906">
        <v>12.476335525512701</v>
      </c>
      <c r="K312" s="906">
        <v>12.8177757263184</v>
      </c>
      <c r="L312" s="906">
        <v>13.333586692810099</v>
      </c>
      <c r="M312" s="906">
        <v>13.900782585144</v>
      </c>
      <c r="N312" s="906">
        <v>14.492022514343301</v>
      </c>
      <c r="O312" s="906">
        <v>15.1641521453857</v>
      </c>
      <c r="P312" s="906">
        <v>15.945101737976101</v>
      </c>
      <c r="Q312" s="906">
        <v>16.661958694458001</v>
      </c>
      <c r="R312" s="906">
        <v>17.186347961425799</v>
      </c>
      <c r="S312" s="906">
        <v>17.308622360229499</v>
      </c>
      <c r="T312" s="906">
        <v>17.6488857269287</v>
      </c>
      <c r="U312" s="906">
        <v>17.9868679046631</v>
      </c>
      <c r="V312" s="906">
        <v>18.635103225708001</v>
      </c>
      <c r="W312" s="906">
        <v>19.4500408172607</v>
      </c>
      <c r="X312" s="906">
        <v>20.3657627105713</v>
      </c>
      <c r="Y312" s="906">
        <v>21.1996364593506</v>
      </c>
      <c r="Z312" s="906">
        <v>22.095756530761701</v>
      </c>
      <c r="AA312" s="306"/>
      <c r="AB312" s="306"/>
      <c r="AC312" s="306"/>
      <c r="AD312" s="306"/>
    </row>
    <row r="313" spans="1:30" x14ac:dyDescent="0.25">
      <c r="A313" s="904" t="s">
        <v>479</v>
      </c>
      <c r="B313" s="906">
        <v>30.388185501098601</v>
      </c>
      <c r="C313" s="906">
        <v>31.181957244873001</v>
      </c>
      <c r="D313" s="906">
        <v>32.471218109130902</v>
      </c>
      <c r="E313" s="906">
        <v>31.722009658813501</v>
      </c>
      <c r="F313" s="906">
        <v>29.6958332061768</v>
      </c>
      <c r="G313" s="906">
        <v>31.365653991699201</v>
      </c>
      <c r="H313" s="906">
        <v>32.001548767089801</v>
      </c>
      <c r="I313" s="906">
        <v>32.924289703369098</v>
      </c>
      <c r="J313" s="906">
        <v>34.030689239502003</v>
      </c>
      <c r="K313" s="906">
        <v>34.890899658203097</v>
      </c>
      <c r="L313" s="906">
        <v>35.995761871337898</v>
      </c>
      <c r="M313" s="906">
        <v>37.227577209472699</v>
      </c>
      <c r="N313" s="906">
        <v>38.5026245117188</v>
      </c>
      <c r="O313" s="906">
        <v>39.672031402587898</v>
      </c>
      <c r="P313" s="906">
        <v>41.180412292480497</v>
      </c>
      <c r="Q313" s="906">
        <v>42.698352813720703</v>
      </c>
      <c r="R313" s="906">
        <v>44.053905487060497</v>
      </c>
      <c r="S313" s="906">
        <v>45.011627197265597</v>
      </c>
      <c r="T313" s="906">
        <v>46.023651123046903</v>
      </c>
      <c r="U313" s="906">
        <v>46.971866607666001</v>
      </c>
      <c r="V313" s="906">
        <v>48.032154083252003</v>
      </c>
      <c r="W313" s="906">
        <v>49.565544128417997</v>
      </c>
      <c r="X313" s="906">
        <v>51.240451812744098</v>
      </c>
      <c r="Y313" s="906">
        <v>52.949665069580099</v>
      </c>
      <c r="Z313" s="906">
        <v>54.583251953125</v>
      </c>
      <c r="AA313" s="306"/>
      <c r="AB313" s="306"/>
      <c r="AC313" s="306"/>
      <c r="AD313" s="306"/>
    </row>
    <row r="314" spans="1:30" x14ac:dyDescent="0.25">
      <c r="AA314" s="306"/>
      <c r="AB314" s="306"/>
      <c r="AC314" s="306"/>
      <c r="AD314" s="306"/>
    </row>
    <row r="315" spans="1:30" x14ac:dyDescent="0.25">
      <c r="A315" s="904" t="s">
        <v>480</v>
      </c>
      <c r="AA315" s="306"/>
      <c r="AB315" s="306"/>
      <c r="AC315" s="306"/>
      <c r="AD315" s="306"/>
    </row>
    <row r="316" spans="1:30" x14ac:dyDescent="0.25">
      <c r="A316" s="904" t="s">
        <v>609</v>
      </c>
      <c r="B316" s="906">
        <v>20.6414604187012</v>
      </c>
      <c r="C316" s="906">
        <v>23.041419982910199</v>
      </c>
      <c r="D316" s="906">
        <v>24.0578727722168</v>
      </c>
      <c r="E316" s="906">
        <v>21.6475944519043</v>
      </c>
      <c r="F316" s="906">
        <v>18.202018737793001</v>
      </c>
      <c r="G316" s="906">
        <v>20.8180141448975</v>
      </c>
      <c r="H316" s="906">
        <v>23.171899795532202</v>
      </c>
      <c r="I316" s="906">
        <v>25.4778232574463</v>
      </c>
      <c r="J316" s="906">
        <v>27.6801948547363</v>
      </c>
      <c r="K316" s="906">
        <v>30.122516632080099</v>
      </c>
      <c r="L316" s="906">
        <v>32.012001037597699</v>
      </c>
      <c r="M316" s="906">
        <v>33.770454406738303</v>
      </c>
      <c r="N316" s="906">
        <v>35.6212158203125</v>
      </c>
      <c r="O316" s="906">
        <v>36.9546508789063</v>
      </c>
      <c r="P316" s="906">
        <v>38.187240600585902</v>
      </c>
      <c r="Q316" s="906">
        <v>39.449775695800803</v>
      </c>
      <c r="R316" s="906">
        <v>40.605808258056598</v>
      </c>
      <c r="S316" s="906">
        <v>42.0293998718262</v>
      </c>
      <c r="T316" s="906">
        <v>43.160079956054702</v>
      </c>
      <c r="U316" s="906">
        <v>43.432140350341797</v>
      </c>
      <c r="V316" s="906">
        <v>44.7312202453613</v>
      </c>
      <c r="W316" s="906">
        <v>46.061283111572301</v>
      </c>
      <c r="X316" s="906">
        <v>47.542713165283203</v>
      </c>
      <c r="Y316" s="906">
        <v>48.814918518066399</v>
      </c>
      <c r="Z316" s="906">
        <v>50.382663726806598</v>
      </c>
      <c r="AA316" s="306"/>
      <c r="AB316" s="306"/>
      <c r="AC316" s="306"/>
      <c r="AD316" s="306"/>
    </row>
    <row r="317" spans="1:30" x14ac:dyDescent="0.25">
      <c r="A317" s="904" t="s">
        <v>610</v>
      </c>
      <c r="B317" s="906">
        <v>14.625953674316399</v>
      </c>
      <c r="C317" s="906">
        <v>16.054100036621101</v>
      </c>
      <c r="D317" s="906">
        <v>21.4175109863281</v>
      </c>
      <c r="E317" s="906">
        <v>14.1806936264038</v>
      </c>
      <c r="F317" s="906">
        <v>11.1656141281128</v>
      </c>
      <c r="G317" s="906">
        <v>13.940697669982899</v>
      </c>
      <c r="H317" s="906">
        <v>16.055301666259801</v>
      </c>
      <c r="I317" s="906">
        <v>18.2004089355469</v>
      </c>
      <c r="J317" s="906">
        <v>20.072311401367202</v>
      </c>
      <c r="K317" s="906">
        <v>21.922914505004901</v>
      </c>
      <c r="L317" s="906">
        <v>23.436100006103501</v>
      </c>
      <c r="M317" s="906">
        <v>24.993484497070298</v>
      </c>
      <c r="N317" s="906">
        <v>26.4673175811768</v>
      </c>
      <c r="O317" s="906">
        <v>27.614213943481399</v>
      </c>
      <c r="P317" s="906">
        <v>28.7058811187744</v>
      </c>
      <c r="Q317" s="906">
        <v>29.4854850769043</v>
      </c>
      <c r="R317" s="906">
        <v>30.5256862640381</v>
      </c>
      <c r="S317" s="906">
        <v>31.597146987915</v>
      </c>
      <c r="T317" s="906">
        <v>32.548923492431598</v>
      </c>
      <c r="U317" s="906">
        <v>32.997859954833999</v>
      </c>
      <c r="V317" s="906">
        <v>34.165657043457003</v>
      </c>
      <c r="W317" s="906">
        <v>35.000114440917997</v>
      </c>
      <c r="X317" s="906">
        <v>36.3691596984863</v>
      </c>
      <c r="Y317" s="906">
        <v>37.943679809570298</v>
      </c>
      <c r="Z317" s="906">
        <v>39.006439208984403</v>
      </c>
      <c r="AA317" s="306"/>
      <c r="AB317" s="306"/>
      <c r="AC317" s="306"/>
      <c r="AD317" s="306"/>
    </row>
    <row r="318" spans="1:30" x14ac:dyDescent="0.25">
      <c r="A318" s="904" t="s">
        <v>723</v>
      </c>
      <c r="B318" s="906">
        <v>8.64862155914307</v>
      </c>
      <c r="C318" s="906">
        <v>10.3074436187744</v>
      </c>
      <c r="D318" s="906">
        <v>13.7067270278931</v>
      </c>
      <c r="E318" s="906">
        <v>6.9139137268066397</v>
      </c>
      <c r="F318" s="906">
        <v>6.0204734802246103</v>
      </c>
      <c r="G318" s="906">
        <v>9.0269355773925799</v>
      </c>
      <c r="H318" s="906">
        <v>10.767860412597701</v>
      </c>
      <c r="I318" s="906">
        <v>12.611166954040501</v>
      </c>
      <c r="J318" s="906">
        <v>14.3083610534668</v>
      </c>
      <c r="K318" s="906">
        <v>16.269037246704102</v>
      </c>
      <c r="L318" s="906">
        <v>17.569841384887699</v>
      </c>
      <c r="M318" s="906">
        <v>18.511304855346701</v>
      </c>
      <c r="N318" s="906">
        <v>19.7891235351563</v>
      </c>
      <c r="O318" s="906">
        <v>20.573390960693398</v>
      </c>
      <c r="P318" s="906">
        <v>21.404872894287099</v>
      </c>
      <c r="Q318" s="906">
        <v>22.193275451660199</v>
      </c>
      <c r="R318" s="906">
        <v>22.9593410491943</v>
      </c>
      <c r="S318" s="906">
        <v>23.7928276062012</v>
      </c>
      <c r="T318" s="906">
        <v>24.398706436157202</v>
      </c>
      <c r="U318" s="906">
        <v>24.292516708373999</v>
      </c>
      <c r="V318" s="906">
        <v>25.0136394500732</v>
      </c>
      <c r="W318" s="906">
        <v>25.751762390136701</v>
      </c>
      <c r="X318" s="906">
        <v>26.606601715087901</v>
      </c>
      <c r="Y318" s="906">
        <v>27.4516487121582</v>
      </c>
      <c r="Z318" s="906">
        <v>28.286119461059599</v>
      </c>
      <c r="AA318" s="306"/>
      <c r="AB318" s="306"/>
      <c r="AC318" s="306"/>
      <c r="AD318" s="306"/>
    </row>
    <row r="319" spans="1:30" x14ac:dyDescent="0.25">
      <c r="A319" s="904" t="s">
        <v>510</v>
      </c>
      <c r="B319" s="906">
        <v>11.5840444564819</v>
      </c>
      <c r="C319" s="906">
        <v>10.9898433685303</v>
      </c>
      <c r="D319" s="906">
        <v>11.588038444519</v>
      </c>
      <c r="E319" s="906">
        <v>9.1930990219116193</v>
      </c>
      <c r="F319" s="906">
        <v>9.8226709365844709</v>
      </c>
      <c r="G319" s="906">
        <v>10.233100891113301</v>
      </c>
      <c r="H319" s="906">
        <v>10.334647178649901</v>
      </c>
      <c r="I319" s="906">
        <v>10.4663095474243</v>
      </c>
      <c r="J319" s="906">
        <v>10.734943389892599</v>
      </c>
      <c r="K319" s="906">
        <v>11.106437683105501</v>
      </c>
      <c r="L319" s="906">
        <v>11.600093841552701</v>
      </c>
      <c r="M319" s="906">
        <v>12.1229543685913</v>
      </c>
      <c r="N319" s="906">
        <v>12.6781578063965</v>
      </c>
      <c r="O319" s="906">
        <v>13.3144483566284</v>
      </c>
      <c r="P319" s="906">
        <v>14.069993019104</v>
      </c>
      <c r="Q319" s="906">
        <v>14.7329454421997</v>
      </c>
      <c r="R319" s="906">
        <v>15.223674774169901</v>
      </c>
      <c r="S319" s="906">
        <v>15.329276084899901</v>
      </c>
      <c r="T319" s="906">
        <v>15.6546773910522</v>
      </c>
      <c r="U319" s="906">
        <v>15.9318437576294</v>
      </c>
      <c r="V319" s="906">
        <v>16.5416469573975</v>
      </c>
      <c r="W319" s="906">
        <v>17.316057205200199</v>
      </c>
      <c r="X319" s="906">
        <v>18.194717407226602</v>
      </c>
      <c r="Y319" s="906">
        <v>18.967941284179702</v>
      </c>
      <c r="Z319" s="906">
        <v>19.811794281005898</v>
      </c>
      <c r="AA319" s="306"/>
      <c r="AB319" s="306"/>
      <c r="AC319" s="306"/>
      <c r="AD319" s="306"/>
    </row>
    <row r="320" spans="1:30" x14ac:dyDescent="0.25">
      <c r="A320" s="904" t="s">
        <v>479</v>
      </c>
      <c r="B320" s="906">
        <v>27.631908416748001</v>
      </c>
      <c r="C320" s="906">
        <v>28.029735565185501</v>
      </c>
      <c r="D320" s="906">
        <v>29.6960258483887</v>
      </c>
      <c r="E320" s="906">
        <v>28.491619110107401</v>
      </c>
      <c r="F320" s="906">
        <v>25.7724418640137</v>
      </c>
      <c r="G320" s="906">
        <v>26.858903884887699</v>
      </c>
      <c r="H320" s="906">
        <v>27.045906066894499</v>
      </c>
      <c r="I320" s="906">
        <v>27.5620422363281</v>
      </c>
      <c r="J320" s="906">
        <v>28.370775222778299</v>
      </c>
      <c r="K320" s="906">
        <v>29.106733322143601</v>
      </c>
      <c r="L320" s="906">
        <v>30.1617736816406</v>
      </c>
      <c r="M320" s="906">
        <v>31.290737152099599</v>
      </c>
      <c r="N320" s="906">
        <v>32.536418914794901</v>
      </c>
      <c r="O320" s="906">
        <v>33.661582946777301</v>
      </c>
      <c r="P320" s="906">
        <v>35.072307586669901</v>
      </c>
      <c r="Q320" s="906">
        <v>36.4632377624512</v>
      </c>
      <c r="R320" s="906">
        <v>37.713531494140597</v>
      </c>
      <c r="S320" s="906">
        <v>38.535266876220703</v>
      </c>
      <c r="T320" s="906">
        <v>39.429233551025398</v>
      </c>
      <c r="U320" s="906">
        <v>40.172752380371101</v>
      </c>
      <c r="V320" s="906">
        <v>41.0662841796875</v>
      </c>
      <c r="W320" s="906">
        <v>42.386928558349602</v>
      </c>
      <c r="X320" s="906">
        <v>43.920989990234403</v>
      </c>
      <c r="Y320" s="906">
        <v>45.4139213562012</v>
      </c>
      <c r="Z320" s="906">
        <v>46.925571441650398</v>
      </c>
      <c r="AA320" s="306"/>
      <c r="AB320" s="306"/>
      <c r="AC320" s="306"/>
      <c r="AD320" s="306"/>
    </row>
    <row r="321" spans="1:30" x14ac:dyDescent="0.25">
      <c r="AA321" s="306"/>
      <c r="AB321" s="306"/>
      <c r="AC321" s="306"/>
      <c r="AD321" s="306"/>
    </row>
    <row r="322" spans="1:30" x14ac:dyDescent="0.25">
      <c r="A322" s="904" t="s">
        <v>612</v>
      </c>
      <c r="AA322" s="306"/>
      <c r="AB322" s="306"/>
      <c r="AC322" s="306"/>
      <c r="AD322" s="306"/>
    </row>
    <row r="323" spans="1:30" x14ac:dyDescent="0.25">
      <c r="A323" s="904" t="s">
        <v>609</v>
      </c>
      <c r="B323" s="906">
        <v>20.489143371581999</v>
      </c>
      <c r="C323" s="906">
        <v>23.3795166015625</v>
      </c>
      <c r="D323" s="906">
        <v>27.232301712036101</v>
      </c>
      <c r="E323" s="906">
        <v>22.957033157348601</v>
      </c>
      <c r="F323" s="906">
        <v>17.265552520751999</v>
      </c>
      <c r="G323" s="906">
        <v>19.8652458190918</v>
      </c>
      <c r="H323" s="906">
        <v>22.207704544067401</v>
      </c>
      <c r="I323" s="906">
        <v>24.495702743530298</v>
      </c>
      <c r="J323" s="906">
        <v>26.6714878082275</v>
      </c>
      <c r="K323" s="906">
        <v>29.0830192565918</v>
      </c>
      <c r="L323" s="906">
        <v>30.951156616210898</v>
      </c>
      <c r="M323" s="906">
        <v>32.690711975097699</v>
      </c>
      <c r="N323" s="906">
        <v>34.514808654785199</v>
      </c>
      <c r="O323" s="906">
        <v>35.846107482910199</v>
      </c>
      <c r="P323" s="906">
        <v>37.040077209472699</v>
      </c>
      <c r="Q323" s="906">
        <v>38.301750183105497</v>
      </c>
      <c r="R323" s="906">
        <v>39.421558380127003</v>
      </c>
      <c r="S323" s="906">
        <v>40.814861297607401</v>
      </c>
      <c r="T323" s="906">
        <v>41.884078979492202</v>
      </c>
      <c r="U323" s="906">
        <v>42.155609130859403</v>
      </c>
      <c r="V323" s="906">
        <v>43.402267456054702</v>
      </c>
      <c r="W323" s="906">
        <v>44.705905914306598</v>
      </c>
      <c r="X323" s="906">
        <v>46.153343200683601</v>
      </c>
      <c r="Y323" s="906">
        <v>47.236614227294901</v>
      </c>
      <c r="Z323" s="906">
        <v>48.820529937744098</v>
      </c>
      <c r="AA323" s="306"/>
      <c r="AB323" s="306"/>
      <c r="AC323" s="306"/>
      <c r="AD323" s="306"/>
    </row>
    <row r="324" spans="1:30" x14ac:dyDescent="0.25">
      <c r="A324" s="904" t="s">
        <v>610</v>
      </c>
      <c r="B324" s="906">
        <v>15.3226671218872</v>
      </c>
      <c r="C324" s="906">
        <v>16.8219394683838</v>
      </c>
      <c r="D324" s="906">
        <v>22.4200763702393</v>
      </c>
      <c r="E324" s="906">
        <v>14.749831199646</v>
      </c>
      <c r="F324" s="906">
        <v>11.025536537170399</v>
      </c>
      <c r="G324" s="906">
        <v>14.0721025466919</v>
      </c>
      <c r="H324" s="906">
        <v>16.2283020019531</v>
      </c>
      <c r="I324" s="906">
        <v>18.6841716766357</v>
      </c>
      <c r="J324" s="906">
        <v>20.619239807128899</v>
      </c>
      <c r="K324" s="906">
        <v>22.302150726318398</v>
      </c>
      <c r="L324" s="906">
        <v>23.831027984619102</v>
      </c>
      <c r="M324" s="906">
        <v>25.434989929199201</v>
      </c>
      <c r="N324" s="906">
        <v>26.940843582153299</v>
      </c>
      <c r="O324" s="906">
        <v>28.1489963531494</v>
      </c>
      <c r="P324" s="906">
        <v>29.2844352722168</v>
      </c>
      <c r="Q324" s="906">
        <v>29.987220764160199</v>
      </c>
      <c r="R324" s="906">
        <v>31.1475830078125</v>
      </c>
      <c r="S324" s="906">
        <v>32.191192626953097</v>
      </c>
      <c r="T324" s="906">
        <v>33.043167114257798</v>
      </c>
      <c r="U324" s="906">
        <v>33.6753120422363</v>
      </c>
      <c r="V324" s="906">
        <v>34.892765045166001</v>
      </c>
      <c r="W324" s="906">
        <v>35.508182525634801</v>
      </c>
      <c r="X324" s="906">
        <v>36.966400146484403</v>
      </c>
      <c r="Y324" s="906">
        <v>38.821296691894503</v>
      </c>
      <c r="Z324" s="906">
        <v>39.679729461669901</v>
      </c>
      <c r="AA324" s="306"/>
      <c r="AB324" s="306"/>
      <c r="AC324" s="306"/>
      <c r="AD324" s="306"/>
    </row>
    <row r="325" spans="1:30" x14ac:dyDescent="0.25">
      <c r="A325" s="904" t="s">
        <v>611</v>
      </c>
      <c r="B325" s="906">
        <v>8.9709205627441406</v>
      </c>
      <c r="C325" s="906">
        <v>10.5954837799072</v>
      </c>
      <c r="D325" s="906">
        <v>14.049506187439</v>
      </c>
      <c r="E325" s="906">
        <v>7.1343002319335902</v>
      </c>
      <c r="F325" s="906">
        <v>10.215766906738301</v>
      </c>
      <c r="G325" s="906">
        <v>12.8617763519287</v>
      </c>
      <c r="H325" s="906">
        <v>14.814771652221699</v>
      </c>
      <c r="I325" s="906">
        <v>16.696189880371101</v>
      </c>
      <c r="J325" s="906">
        <v>18.396284103393601</v>
      </c>
      <c r="K325" s="906">
        <v>20.378862380981399</v>
      </c>
      <c r="L325" s="906">
        <v>21.7460041046143</v>
      </c>
      <c r="M325" s="906">
        <v>22.969861984252901</v>
      </c>
      <c r="N325" s="906">
        <v>24.3396511077881</v>
      </c>
      <c r="O325" s="906">
        <v>25.3345756530762</v>
      </c>
      <c r="P325" s="906">
        <v>26.3205471038818</v>
      </c>
      <c r="Q325" s="906">
        <v>27.310920715331999</v>
      </c>
      <c r="R325" s="906">
        <v>28.174968719482401</v>
      </c>
      <c r="S325" s="906">
        <v>29.129919052123999</v>
      </c>
      <c r="T325" s="906">
        <v>29.910713195800799</v>
      </c>
      <c r="U325" s="906">
        <v>30.004579544067401</v>
      </c>
      <c r="V325" s="906">
        <v>30.867444992065401</v>
      </c>
      <c r="W325" s="906">
        <v>31.741449356079102</v>
      </c>
      <c r="X325" s="906">
        <v>32.901214599609403</v>
      </c>
      <c r="Y325" s="906">
        <v>33.791465759277301</v>
      </c>
      <c r="Z325" s="906">
        <v>34.9404487609863</v>
      </c>
      <c r="AA325" s="306"/>
      <c r="AB325" s="306"/>
      <c r="AC325" s="306"/>
      <c r="AD325" s="306"/>
    </row>
    <row r="326" spans="1:30" x14ac:dyDescent="0.25">
      <c r="A326" s="904" t="s">
        <v>613</v>
      </c>
      <c r="B326" s="906">
        <v>7.7454247474670401</v>
      </c>
      <c r="C326" s="906">
        <v>7.5152516365051296</v>
      </c>
      <c r="D326" s="906">
        <v>8.9947338104247994</v>
      </c>
      <c r="E326" s="906">
        <v>5.0039734840393102</v>
      </c>
      <c r="F326" s="906">
        <v>5.7063522338867196</v>
      </c>
      <c r="G326" s="906">
        <v>6.1171517372131303</v>
      </c>
      <c r="H326" s="906">
        <v>6.2487673759460396</v>
      </c>
      <c r="I326" s="906">
        <v>6.4428400993347203</v>
      </c>
      <c r="J326" s="906">
        <v>6.7520828247070304</v>
      </c>
      <c r="K326" s="906">
        <v>7.1508984565734899</v>
      </c>
      <c r="L326" s="906">
        <v>7.5258989334106401</v>
      </c>
      <c r="M326" s="906">
        <v>7.9240221977233896</v>
      </c>
      <c r="N326" s="906">
        <v>8.3488731384277308</v>
      </c>
      <c r="O326" s="906">
        <v>8.8619937896728498</v>
      </c>
      <c r="P326" s="906">
        <v>9.4837093353271502</v>
      </c>
      <c r="Q326" s="906">
        <v>9.9987487792968803</v>
      </c>
      <c r="R326" s="906">
        <v>10.352954864501999</v>
      </c>
      <c r="S326" s="906">
        <v>10.3336448669434</v>
      </c>
      <c r="T326" s="906">
        <v>10.549848556518601</v>
      </c>
      <c r="U326" s="906">
        <v>10.6489877700806</v>
      </c>
      <c r="V326" s="906">
        <v>11.076291084289601</v>
      </c>
      <c r="W326" s="906">
        <v>11.6912574768066</v>
      </c>
      <c r="X326" s="906">
        <v>12.4464559555054</v>
      </c>
      <c r="Y326" s="906">
        <v>13.0579080581665</v>
      </c>
      <c r="Z326" s="906">
        <v>13.758059501647899</v>
      </c>
      <c r="AA326" s="306"/>
      <c r="AB326" s="306"/>
      <c r="AC326" s="306"/>
      <c r="AD326" s="306"/>
    </row>
    <row r="327" spans="1:30" x14ac:dyDescent="0.25">
      <c r="A327" s="904" t="s">
        <v>614</v>
      </c>
      <c r="B327" s="906">
        <v>3.53999996185303</v>
      </c>
      <c r="C327" s="906">
        <v>3.6099998950958301</v>
      </c>
      <c r="D327" s="906">
        <v>4.1449666023254403</v>
      </c>
      <c r="E327" s="906">
        <v>4.1784791946411097</v>
      </c>
      <c r="F327" s="906">
        <v>4.1485314369201696</v>
      </c>
      <c r="G327" s="906">
        <v>4.3175525665283203</v>
      </c>
      <c r="H327" s="906">
        <v>4.44484186172485</v>
      </c>
      <c r="I327" s="906">
        <v>4.5821456909179696</v>
      </c>
      <c r="J327" s="906">
        <v>4.7206311225891104</v>
      </c>
      <c r="K327" s="906">
        <v>4.8563599586486799</v>
      </c>
      <c r="L327" s="906">
        <v>4.9913563728332502</v>
      </c>
      <c r="M327" s="906">
        <v>5.1233406066894496</v>
      </c>
      <c r="N327" s="906">
        <v>5.2680139541626003</v>
      </c>
      <c r="O327" s="906">
        <v>5.4137320518493697</v>
      </c>
      <c r="P327" s="906">
        <v>5.5743689537048304</v>
      </c>
      <c r="Q327" s="906">
        <v>5.7906579971313503</v>
      </c>
      <c r="R327" s="906">
        <v>6.0209679603576696</v>
      </c>
      <c r="S327" s="906">
        <v>6.20045709609985</v>
      </c>
      <c r="T327" s="906">
        <v>6.3775997161865199</v>
      </c>
      <c r="U327" s="906">
        <v>6.5161404609680202</v>
      </c>
      <c r="V327" s="906">
        <v>6.6299972534179696</v>
      </c>
      <c r="W327" s="906">
        <v>6.7667918205261204</v>
      </c>
      <c r="X327" s="906">
        <v>6.88553714752197</v>
      </c>
      <c r="Y327" s="906">
        <v>6.9704546928405797</v>
      </c>
      <c r="Z327" s="906">
        <v>7.0137753486633301</v>
      </c>
    </row>
    <row r="328" spans="1:30" x14ac:dyDescent="0.25">
      <c r="A328" s="904" t="s">
        <v>615</v>
      </c>
      <c r="B328" s="906">
        <v>2.3399634361267099</v>
      </c>
      <c r="C328" s="906">
        <v>2.4299483299255402</v>
      </c>
      <c r="D328" s="906">
        <v>2.5979068279266402</v>
      </c>
      <c r="E328" s="906">
        <v>2.52754878997803</v>
      </c>
      <c r="F328" s="906">
        <v>2.4808654785156299</v>
      </c>
      <c r="G328" s="906">
        <v>2.6002757549285902</v>
      </c>
      <c r="H328" s="906">
        <v>2.6509947776794398</v>
      </c>
      <c r="I328" s="906">
        <v>2.73208808898926</v>
      </c>
      <c r="J328" s="906">
        <v>2.8122007846832302</v>
      </c>
      <c r="K328" s="906">
        <v>2.8687095642089799</v>
      </c>
      <c r="L328" s="906">
        <v>2.94158983230591</v>
      </c>
      <c r="M328" s="906">
        <v>3.0178208351135298</v>
      </c>
      <c r="N328" s="906">
        <v>3.1028199195861799</v>
      </c>
      <c r="O328" s="906">
        <v>3.17316722869873</v>
      </c>
      <c r="P328" s="906">
        <v>3.2616541385650599</v>
      </c>
      <c r="Q328" s="906">
        <v>3.3479356765747101</v>
      </c>
      <c r="R328" s="906">
        <v>3.4371068477630602</v>
      </c>
      <c r="S328" s="906">
        <v>3.5193088054657</v>
      </c>
      <c r="T328" s="906">
        <v>3.6053638458252002</v>
      </c>
      <c r="U328" s="906">
        <v>3.6816923618316699</v>
      </c>
      <c r="V328" s="906">
        <v>3.7800858020782502</v>
      </c>
      <c r="W328" s="906">
        <v>3.88063645362854</v>
      </c>
      <c r="X328" s="906">
        <v>3.98858737945557</v>
      </c>
      <c r="Y328" s="906">
        <v>4.1003923416137704</v>
      </c>
      <c r="Z328" s="906">
        <v>4.2166938781738299</v>
      </c>
    </row>
    <row r="329" spans="1:30" x14ac:dyDescent="0.25">
      <c r="A329" s="904" t="s">
        <v>616</v>
      </c>
      <c r="B329" s="906">
        <v>0</v>
      </c>
      <c r="C329" s="906">
        <v>0</v>
      </c>
      <c r="D329" s="906">
        <v>0</v>
      </c>
      <c r="E329" s="906">
        <v>0</v>
      </c>
      <c r="F329" s="906">
        <v>0</v>
      </c>
      <c r="G329" s="906">
        <v>1.5889266729354901</v>
      </c>
      <c r="H329" s="906">
        <v>1.46094393730164</v>
      </c>
      <c r="I329" s="906">
        <v>1.28843116760254</v>
      </c>
      <c r="J329" s="906">
        <v>1.5101318359375</v>
      </c>
      <c r="K329" s="906">
        <v>1.50810551643372</v>
      </c>
      <c r="L329" s="906">
        <v>1.5213859081268299</v>
      </c>
      <c r="M329" s="906">
        <v>1.53951179981232</v>
      </c>
      <c r="N329" s="906">
        <v>1.58338570594788</v>
      </c>
      <c r="O329" s="906">
        <v>1.63723039627075</v>
      </c>
      <c r="P329" s="906">
        <v>1.71289122104645</v>
      </c>
      <c r="Q329" s="906">
        <v>1.76114201545715</v>
      </c>
      <c r="R329" s="906">
        <v>1.8119050264358501</v>
      </c>
      <c r="S329" s="906">
        <v>1.8629466295242301</v>
      </c>
      <c r="T329" s="906">
        <v>1.9169825315475499</v>
      </c>
      <c r="U329" s="906">
        <v>1.9466364383697501</v>
      </c>
      <c r="V329" s="906">
        <v>1.9911848306655899</v>
      </c>
      <c r="W329" s="906">
        <v>2.0416746139526398</v>
      </c>
      <c r="X329" s="906">
        <v>2.09020328521729</v>
      </c>
      <c r="Y329" s="906">
        <v>2.1373581886291499</v>
      </c>
      <c r="Z329" s="906">
        <v>2.1847438812255899</v>
      </c>
    </row>
    <row r="330" spans="1:30" x14ac:dyDescent="0.25">
      <c r="A330" s="904" t="s">
        <v>479</v>
      </c>
      <c r="B330" s="906">
        <v>17.918214797973601</v>
      </c>
      <c r="C330" s="906">
        <v>18.6226921081543</v>
      </c>
      <c r="D330" s="906">
        <v>20.7813816070557</v>
      </c>
      <c r="E330" s="906">
        <v>19.773582458496101</v>
      </c>
      <c r="F330" s="906">
        <v>17.462970733642599</v>
      </c>
      <c r="G330" s="906">
        <v>18.126573562622099</v>
      </c>
      <c r="H330" s="906">
        <v>18.238889694213899</v>
      </c>
      <c r="I330" s="906">
        <v>18.4867153167725</v>
      </c>
      <c r="J330" s="906">
        <v>19.006654739379901</v>
      </c>
      <c r="K330" s="906">
        <v>19.565620422363299</v>
      </c>
      <c r="L330" s="906">
        <v>20.355871200561499</v>
      </c>
      <c r="M330" s="906">
        <v>21.173530578613299</v>
      </c>
      <c r="N330" s="906">
        <v>22.037576675415</v>
      </c>
      <c r="O330" s="906">
        <v>22.867145538330099</v>
      </c>
      <c r="P330" s="906">
        <v>23.876249313354499</v>
      </c>
      <c r="Q330" s="906">
        <v>24.851699829101602</v>
      </c>
      <c r="R330" s="906">
        <v>25.777753829956101</v>
      </c>
      <c r="S330" s="906">
        <v>26.392097473144499</v>
      </c>
      <c r="T330" s="906">
        <v>27.017583847045898</v>
      </c>
      <c r="U330" s="906">
        <v>27.588447570800799</v>
      </c>
      <c r="V330" s="906">
        <v>28.206142425537099</v>
      </c>
      <c r="W330" s="906">
        <v>29.1773777008057</v>
      </c>
      <c r="X330" s="906">
        <v>30.336851119995099</v>
      </c>
      <c r="Y330" s="906">
        <v>31.4674072265625</v>
      </c>
      <c r="Z330" s="906">
        <v>32.538986206054702</v>
      </c>
    </row>
    <row r="332" spans="1:30" x14ac:dyDescent="0.25">
      <c r="A332" s="904" t="s">
        <v>487</v>
      </c>
    </row>
    <row r="333" spans="1:30" x14ac:dyDescent="0.25">
      <c r="A333" s="904" t="s">
        <v>617</v>
      </c>
      <c r="B333" s="906">
        <v>21.711509704589801</v>
      </c>
      <c r="C333" s="906">
        <v>25.0072345733643</v>
      </c>
      <c r="D333" s="906">
        <v>29.391622543335</v>
      </c>
      <c r="E333" s="906">
        <v>22.380046844482401</v>
      </c>
      <c r="F333" s="906">
        <v>21.3089294433594</v>
      </c>
      <c r="G333" s="906">
        <v>23.935417175293001</v>
      </c>
      <c r="H333" s="906">
        <v>26.369024276733398</v>
      </c>
      <c r="I333" s="906">
        <v>28.752412796020501</v>
      </c>
      <c r="J333" s="906">
        <v>31.0282287597656</v>
      </c>
      <c r="K333" s="906">
        <v>33.547065734863303</v>
      </c>
      <c r="L333" s="906">
        <v>35.514869689941399</v>
      </c>
      <c r="M333" s="906">
        <v>37.352748870849602</v>
      </c>
      <c r="N333" s="906">
        <v>39.287044525146499</v>
      </c>
      <c r="O333" s="906">
        <v>40.7039604187012</v>
      </c>
      <c r="P333" s="906">
        <v>42.024444580078097</v>
      </c>
      <c r="Q333" s="906">
        <v>43.379894256591797</v>
      </c>
      <c r="R333" s="906">
        <v>44.630382537841797</v>
      </c>
      <c r="S333" s="906">
        <v>46.145259857177699</v>
      </c>
      <c r="T333" s="906">
        <v>47.363857269287102</v>
      </c>
      <c r="U333" s="906">
        <v>47.7197074890137</v>
      </c>
      <c r="V333" s="906">
        <v>49.102500915527301</v>
      </c>
      <c r="W333" s="906">
        <v>50.517303466796903</v>
      </c>
      <c r="X333" s="906">
        <v>52.086456298828097</v>
      </c>
      <c r="Y333" s="906">
        <v>53.442653656005902</v>
      </c>
      <c r="Z333" s="906">
        <v>55.104091644287102</v>
      </c>
    </row>
    <row r="334" spans="1:30" x14ac:dyDescent="0.25">
      <c r="A334" s="904" t="s">
        <v>618</v>
      </c>
      <c r="B334" s="906">
        <v>24.84494972229</v>
      </c>
      <c r="C334" s="906">
        <v>26.818180084228501</v>
      </c>
      <c r="D334" s="906">
        <v>34.822681427002003</v>
      </c>
      <c r="E334" s="906">
        <v>21.049989700317401</v>
      </c>
      <c r="F334" s="906">
        <v>19.580844879150401</v>
      </c>
      <c r="G334" s="906">
        <v>23.622909545898398</v>
      </c>
      <c r="H334" s="906">
        <v>25.881950378418001</v>
      </c>
      <c r="I334" s="906">
        <v>28.009447097778299</v>
      </c>
      <c r="J334" s="906">
        <v>30.2537937164307</v>
      </c>
      <c r="K334" s="906">
        <v>28.866632461547901</v>
      </c>
      <c r="L334" s="906">
        <v>30.4276523590088</v>
      </c>
      <c r="M334" s="906">
        <v>31.969417572021499</v>
      </c>
      <c r="N334" s="906">
        <v>32.765193939208999</v>
      </c>
      <c r="O334" s="906">
        <v>35.757926940917997</v>
      </c>
      <c r="P334" s="906">
        <v>37.577915191650398</v>
      </c>
      <c r="Q334" s="906">
        <v>38.662086486816399</v>
      </c>
      <c r="R334" s="906">
        <v>39.8419189453125</v>
      </c>
      <c r="S334" s="906">
        <v>41.092353820800803</v>
      </c>
      <c r="T334" s="906">
        <v>42.114028930664098</v>
      </c>
      <c r="U334" s="906">
        <v>42.893341064453097</v>
      </c>
      <c r="V334" s="906">
        <v>44.2104301452637</v>
      </c>
      <c r="W334" s="906">
        <v>44.896373748779297</v>
      </c>
      <c r="X334" s="906">
        <v>46.4299926757813</v>
      </c>
      <c r="Y334" s="906">
        <v>48.419319152832003</v>
      </c>
      <c r="Z334" s="906">
        <v>48.957271575927699</v>
      </c>
    </row>
    <row r="335" spans="1:30" x14ac:dyDescent="0.25">
      <c r="A335" s="904" t="s">
        <v>619</v>
      </c>
      <c r="B335" s="906">
        <v>21.213121414184599</v>
      </c>
      <c r="C335" s="906">
        <v>22.982162475585898</v>
      </c>
      <c r="D335" s="906">
        <v>26.749811172485401</v>
      </c>
      <c r="E335" s="906">
        <v>16.175968170166001</v>
      </c>
      <c r="F335" s="906">
        <v>18.381326675415</v>
      </c>
      <c r="G335" s="906">
        <v>21.693702697753899</v>
      </c>
      <c r="H335" s="906">
        <v>23.709007263183601</v>
      </c>
      <c r="I335" s="906">
        <v>25.449525833129901</v>
      </c>
      <c r="J335" s="906">
        <v>27.424634933471701</v>
      </c>
      <c r="K335" s="906">
        <v>29.529468536376999</v>
      </c>
      <c r="L335" s="906">
        <v>31.27219581604</v>
      </c>
      <c r="M335" s="906">
        <v>33.093906402587898</v>
      </c>
      <c r="N335" s="906">
        <v>34.856166839599602</v>
      </c>
      <c r="O335" s="906">
        <v>36.438858032226598</v>
      </c>
      <c r="P335" s="906">
        <v>38.015861511230497</v>
      </c>
      <c r="Q335" s="906">
        <v>39.139541625976598</v>
      </c>
      <c r="R335" s="906">
        <v>40.478176116943402</v>
      </c>
      <c r="S335" s="906">
        <v>41.691452026367202</v>
      </c>
      <c r="T335" s="906">
        <v>42.679801940917997</v>
      </c>
      <c r="U335" s="906">
        <v>43.464977264404297</v>
      </c>
      <c r="V335" s="906">
        <v>44.780059814453097</v>
      </c>
      <c r="W335" s="906">
        <v>45.673988342285199</v>
      </c>
      <c r="X335" s="906">
        <v>47.254981994628899</v>
      </c>
      <c r="Y335" s="906">
        <v>49.557445526122997</v>
      </c>
      <c r="Z335" s="906">
        <v>49.9830131530762</v>
      </c>
    </row>
    <row r="336" spans="1:30" x14ac:dyDescent="0.25">
      <c r="A336" s="904" t="s">
        <v>620</v>
      </c>
      <c r="B336" s="906">
        <v>14.844763755798301</v>
      </c>
      <c r="C336" s="906">
        <v>16.0964660644531</v>
      </c>
      <c r="D336" s="906">
        <v>22.673322677612301</v>
      </c>
      <c r="E336" s="906">
        <v>10.878761291503899</v>
      </c>
      <c r="F336" s="906">
        <v>10.805939674377401</v>
      </c>
      <c r="G336" s="906">
        <v>13.641165733337401</v>
      </c>
      <c r="H336" s="906">
        <v>15.7883806228638</v>
      </c>
      <c r="I336" s="906">
        <v>17.847295761108398</v>
      </c>
      <c r="J336" s="906">
        <v>19.768560409545898</v>
      </c>
      <c r="K336" s="906">
        <v>21.6021404266357</v>
      </c>
      <c r="L336" s="906">
        <v>23.1407794952393</v>
      </c>
      <c r="M336" s="906">
        <v>24.738756179809599</v>
      </c>
      <c r="N336" s="906">
        <v>26.200944900512699</v>
      </c>
      <c r="O336" s="906">
        <v>27.323936462402301</v>
      </c>
      <c r="P336" s="906">
        <v>28.3911018371582</v>
      </c>
      <c r="Q336" s="906">
        <v>29.343944549560501</v>
      </c>
      <c r="R336" s="906">
        <v>30.208518981933601</v>
      </c>
      <c r="S336" s="906">
        <v>31.274351119995099</v>
      </c>
      <c r="T336" s="906">
        <v>32.279064178466797</v>
      </c>
      <c r="U336" s="906">
        <v>32.661514282226598</v>
      </c>
      <c r="V336" s="906">
        <v>33.853298187255902</v>
      </c>
      <c r="W336" s="906">
        <v>34.868740081787102</v>
      </c>
      <c r="X336" s="906">
        <v>36.320652008056598</v>
      </c>
      <c r="Y336" s="906">
        <v>37.773586273193402</v>
      </c>
      <c r="Z336" s="906">
        <v>39.040420532226598</v>
      </c>
    </row>
    <row r="337" spans="1:70" x14ac:dyDescent="0.25">
      <c r="A337" s="904" t="s">
        <v>724</v>
      </c>
      <c r="B337" s="906">
        <v>19.740650177001999</v>
      </c>
      <c r="C337" s="906">
        <v>20.921422958373999</v>
      </c>
      <c r="D337" s="906">
        <v>27.660943984985401</v>
      </c>
      <c r="E337" s="906">
        <v>15.872093200683601</v>
      </c>
      <c r="F337" s="906">
        <v>15.1842641830444</v>
      </c>
      <c r="G337" s="906">
        <v>17.936090469360401</v>
      </c>
      <c r="H337" s="906">
        <v>20.100133895873999</v>
      </c>
      <c r="I337" s="906">
        <v>22.737785339355501</v>
      </c>
      <c r="J337" s="906">
        <v>24.745433807373001</v>
      </c>
      <c r="K337" s="906">
        <v>26.438911437988299</v>
      </c>
      <c r="L337" s="906">
        <v>28.0228977203369</v>
      </c>
      <c r="M337" s="906">
        <v>29.7338352203369</v>
      </c>
      <c r="N337" s="906">
        <v>31.2589511871338</v>
      </c>
      <c r="O337" s="906">
        <v>32.543869018554702</v>
      </c>
      <c r="P337" s="906">
        <v>33.764415740966797</v>
      </c>
      <c r="Q337" s="906">
        <v>34.490653991699197</v>
      </c>
      <c r="R337" s="906">
        <v>35.692588806152301</v>
      </c>
      <c r="S337" s="906">
        <v>36.884777069091797</v>
      </c>
      <c r="T337" s="906">
        <v>37.7488403320313</v>
      </c>
      <c r="U337" s="906">
        <v>38.541912078857401</v>
      </c>
      <c r="V337" s="906">
        <v>39.811958312988303</v>
      </c>
      <c r="W337" s="906">
        <v>40.433952331542997</v>
      </c>
      <c r="X337" s="906">
        <v>41.980552673339801</v>
      </c>
      <c r="Y337" s="906">
        <v>44.0175971984863</v>
      </c>
      <c r="Z337" s="906">
        <v>44.845256805419901</v>
      </c>
    </row>
    <row r="338" spans="1:70" x14ac:dyDescent="0.25">
      <c r="A338" s="904" t="s">
        <v>611</v>
      </c>
      <c r="B338" s="906">
        <v>7.9912142753601101</v>
      </c>
      <c r="C338" s="906">
        <v>9.4357099533081108</v>
      </c>
      <c r="D338" s="906">
        <v>14.5987691879272</v>
      </c>
      <c r="E338" s="906">
        <v>6.5974926948547399</v>
      </c>
      <c r="F338" s="906">
        <v>6.8336348533630398</v>
      </c>
      <c r="G338" s="906">
        <v>9.1002550125122106</v>
      </c>
      <c r="H338" s="906">
        <v>10.9850196838379</v>
      </c>
      <c r="I338" s="906">
        <v>12.7856092453003</v>
      </c>
      <c r="J338" s="906">
        <v>14.3925485610962</v>
      </c>
      <c r="K338" s="906">
        <v>16.284711837768601</v>
      </c>
      <c r="L338" s="906">
        <v>17.587419509887699</v>
      </c>
      <c r="M338" s="906">
        <v>18.815961837768601</v>
      </c>
      <c r="N338" s="906">
        <v>20.079933166503899</v>
      </c>
      <c r="O338" s="906">
        <v>21.0047607421875</v>
      </c>
      <c r="P338" s="906">
        <v>21.793167114257798</v>
      </c>
      <c r="Q338" s="906">
        <v>22.696048736572301</v>
      </c>
      <c r="R338" s="906">
        <v>23.3086338043213</v>
      </c>
      <c r="S338" s="906">
        <v>24.011238098144499</v>
      </c>
      <c r="T338" s="906">
        <v>24.648492813110401</v>
      </c>
      <c r="U338" s="906">
        <v>24.8559169769287</v>
      </c>
      <c r="V338" s="906">
        <v>25.6537380218506</v>
      </c>
      <c r="W338" s="906">
        <v>26.666080474853501</v>
      </c>
      <c r="X338" s="906">
        <v>27.731492996215799</v>
      </c>
      <c r="Y338" s="906">
        <v>28.609724044799801</v>
      </c>
      <c r="Z338" s="906">
        <v>29.807550430297901</v>
      </c>
    </row>
    <row r="339" spans="1:70" x14ac:dyDescent="0.25">
      <c r="A339" s="904" t="s">
        <v>622</v>
      </c>
      <c r="B339" s="906">
        <v>15.1338348388672</v>
      </c>
      <c r="C339" s="906">
        <v>15.4958410263062</v>
      </c>
      <c r="D339" s="906">
        <v>17.260919570922901</v>
      </c>
      <c r="E339" s="906">
        <v>13.197589874267599</v>
      </c>
      <c r="F339" s="906">
        <v>14.011960029602101</v>
      </c>
      <c r="G339" s="906">
        <v>14.5198259353638</v>
      </c>
      <c r="H339" s="906">
        <v>14.7125358581543</v>
      </c>
      <c r="I339" s="906">
        <v>14.9809007644653</v>
      </c>
      <c r="J339" s="906">
        <v>15.3987216949463</v>
      </c>
      <c r="K339" s="906">
        <v>15.929105758666999</v>
      </c>
      <c r="L339" s="906">
        <v>16.444049835205099</v>
      </c>
      <c r="M339" s="906">
        <v>16.986526489257798</v>
      </c>
      <c r="N339" s="906">
        <v>17.562019348144499</v>
      </c>
      <c r="O339" s="906">
        <v>18.214298248291001</v>
      </c>
      <c r="P339" s="906">
        <v>18.978889465331999</v>
      </c>
      <c r="Q339" s="906">
        <v>19.653842926025401</v>
      </c>
      <c r="R339" s="906">
        <v>20.151586532592798</v>
      </c>
      <c r="S339" s="906">
        <v>20.264110565185501</v>
      </c>
      <c r="T339" s="906">
        <v>20.6345119476318</v>
      </c>
      <c r="U339" s="906">
        <v>20.930568695068398</v>
      </c>
      <c r="V339" s="906">
        <v>21.5493049621582</v>
      </c>
      <c r="W339" s="906">
        <v>22.330928802490199</v>
      </c>
      <c r="X339" s="906">
        <v>23.217420578002901</v>
      </c>
      <c r="Y339" s="906">
        <v>23.984209060668899</v>
      </c>
      <c r="Z339" s="906">
        <v>24.842088699340799</v>
      </c>
    </row>
    <row r="340" spans="1:70" x14ac:dyDescent="0.25">
      <c r="A340" s="904" t="s">
        <v>479</v>
      </c>
      <c r="B340" s="906">
        <v>29.552911758422901</v>
      </c>
      <c r="C340" s="906">
        <v>30.777971267700199</v>
      </c>
      <c r="D340" s="906">
        <v>34.475650787353501</v>
      </c>
      <c r="E340" s="906">
        <v>32.511272430419901</v>
      </c>
      <c r="F340" s="906">
        <v>28.3578701019287</v>
      </c>
      <c r="G340" s="906">
        <v>29.9883632659912</v>
      </c>
      <c r="H340" s="906">
        <v>30.793474197387699</v>
      </c>
      <c r="I340" s="906">
        <v>31.290824890136701</v>
      </c>
      <c r="J340" s="906">
        <v>31.788017272949201</v>
      </c>
      <c r="K340" s="906">
        <v>32.228786468505902</v>
      </c>
      <c r="L340" s="906">
        <v>33.101249694824197</v>
      </c>
      <c r="M340" s="906">
        <v>33.873565673828097</v>
      </c>
      <c r="N340" s="906">
        <v>34.876777648925803</v>
      </c>
      <c r="O340" s="906">
        <v>35.790927886962898</v>
      </c>
      <c r="P340" s="906">
        <v>37.005527496337898</v>
      </c>
      <c r="Q340" s="906">
        <v>38.374465942382798</v>
      </c>
      <c r="R340" s="906">
        <v>39.741268157958999</v>
      </c>
      <c r="S340" s="906">
        <v>40.743644714355497</v>
      </c>
      <c r="T340" s="906">
        <v>41.832027435302699</v>
      </c>
      <c r="U340" s="906">
        <v>42.8788452148438</v>
      </c>
      <c r="V340" s="906">
        <v>44.165149688720703</v>
      </c>
      <c r="W340" s="906">
        <v>45.822151184082003</v>
      </c>
      <c r="X340" s="906">
        <v>47.770866394042997</v>
      </c>
      <c r="Y340" s="906">
        <v>49.4786567687988</v>
      </c>
      <c r="Z340" s="906">
        <v>51.408214569091797</v>
      </c>
    </row>
    <row r="341" spans="1:70" x14ac:dyDescent="0.25">
      <c r="AA341">
        <v>2027</v>
      </c>
      <c r="AB341">
        <v>2028</v>
      </c>
      <c r="AC341">
        <v>2029</v>
      </c>
      <c r="AD341">
        <v>2030</v>
      </c>
      <c r="AE341">
        <v>2031</v>
      </c>
      <c r="AF341">
        <v>2032</v>
      </c>
      <c r="AG341">
        <v>2033</v>
      </c>
      <c r="AH341">
        <v>2034</v>
      </c>
      <c r="AI341">
        <v>2035</v>
      </c>
      <c r="AJ341">
        <v>2036</v>
      </c>
      <c r="AK341">
        <v>2037</v>
      </c>
      <c r="AL341">
        <v>2038</v>
      </c>
      <c r="AM341">
        <v>2039</v>
      </c>
      <c r="AN341">
        <v>2040</v>
      </c>
      <c r="AO341">
        <v>2041</v>
      </c>
      <c r="AP341">
        <v>2042</v>
      </c>
      <c r="AQ341">
        <v>2043</v>
      </c>
      <c r="AR341">
        <v>2044</v>
      </c>
      <c r="AS341">
        <v>2045</v>
      </c>
      <c r="AT341">
        <v>2046</v>
      </c>
      <c r="AU341">
        <v>2047</v>
      </c>
      <c r="AV341">
        <v>2048</v>
      </c>
      <c r="AW341">
        <v>2049</v>
      </c>
      <c r="AX341">
        <v>2050</v>
      </c>
      <c r="AY341">
        <v>2051</v>
      </c>
      <c r="AZ341">
        <v>2052</v>
      </c>
      <c r="BA341">
        <v>2053</v>
      </c>
      <c r="BB341">
        <v>2054</v>
      </c>
      <c r="BC341">
        <v>2055</v>
      </c>
      <c r="BD341">
        <v>2056</v>
      </c>
      <c r="BE341">
        <v>2057</v>
      </c>
      <c r="BF341">
        <v>2058</v>
      </c>
      <c r="BG341">
        <v>2059</v>
      </c>
      <c r="BH341">
        <v>2060</v>
      </c>
      <c r="BI341">
        <v>2061</v>
      </c>
      <c r="BJ341">
        <v>2062</v>
      </c>
      <c r="BK341">
        <v>2063</v>
      </c>
      <c r="BL341">
        <v>2064</v>
      </c>
      <c r="BM341">
        <v>2065</v>
      </c>
      <c r="BN341">
        <v>2066</v>
      </c>
      <c r="BO341">
        <v>2067</v>
      </c>
      <c r="BP341">
        <v>2068</v>
      </c>
      <c r="BQ341">
        <v>2069</v>
      </c>
      <c r="BR341">
        <v>2070</v>
      </c>
    </row>
    <row r="342" spans="1:70" x14ac:dyDescent="0.25">
      <c r="A342" s="904" t="s">
        <v>623</v>
      </c>
    </row>
    <row r="343" spans="1:70" x14ac:dyDescent="0.25">
      <c r="A343" s="904" t="s">
        <v>610</v>
      </c>
      <c r="B343" s="906">
        <v>13.411901473999</v>
      </c>
      <c r="C343" s="906">
        <v>14.7725219726563</v>
      </c>
      <c r="D343" s="906">
        <v>19.598173141479499</v>
      </c>
      <c r="E343" s="906">
        <v>12.9002075195313</v>
      </c>
      <c r="F343" s="906">
        <v>10.160784721374499</v>
      </c>
      <c r="G343" s="906">
        <v>12.683879852294901</v>
      </c>
      <c r="H343" s="906">
        <v>14.742367744445801</v>
      </c>
      <c r="I343" s="906">
        <v>16.466316223144499</v>
      </c>
      <c r="J343" s="906">
        <v>18.200975418090799</v>
      </c>
      <c r="K343" s="906">
        <v>20.294946670532202</v>
      </c>
      <c r="L343" s="906">
        <v>21.762416839599599</v>
      </c>
      <c r="M343" s="906">
        <v>23.219928741455099</v>
      </c>
      <c r="N343" s="906">
        <v>24.625257492065401</v>
      </c>
      <c r="O343" s="906">
        <v>25.658937454223601</v>
      </c>
      <c r="P343" s="906">
        <v>26.641567230224599</v>
      </c>
      <c r="Q343" s="906">
        <v>27.554689407348601</v>
      </c>
      <c r="R343" s="906">
        <v>28.433355331420898</v>
      </c>
      <c r="S343" s="906">
        <v>29.525194168090799</v>
      </c>
      <c r="T343" s="906">
        <v>30.595668792724599</v>
      </c>
      <c r="U343" s="906">
        <v>30.812200546264599</v>
      </c>
      <c r="V343" s="906">
        <v>31.8765468597412</v>
      </c>
      <c r="W343" s="906">
        <v>33.023826599121101</v>
      </c>
      <c r="X343" s="906">
        <v>34.249851226806598</v>
      </c>
      <c r="Y343" s="906">
        <v>35.370849609375</v>
      </c>
      <c r="Z343" s="906">
        <v>36.733474731445298</v>
      </c>
    </row>
    <row r="344" spans="1:70" x14ac:dyDescent="0.25">
      <c r="A344" s="904" t="s">
        <v>611</v>
      </c>
      <c r="B344" s="906">
        <v>8.1584053039550799</v>
      </c>
      <c r="C344" s="906">
        <v>8.5664386749267596</v>
      </c>
      <c r="D344" s="906">
        <v>14.623919486999499</v>
      </c>
      <c r="E344" s="906">
        <v>6.72200632095337</v>
      </c>
      <c r="F344" s="906">
        <v>6.9281921386718803</v>
      </c>
      <c r="G344" s="906">
        <v>9.7774429321289098</v>
      </c>
      <c r="H344" s="906">
        <v>11.688641548156699</v>
      </c>
      <c r="I344" s="906">
        <v>13.5591955184937</v>
      </c>
      <c r="J344" s="906">
        <v>15.198254585266101</v>
      </c>
      <c r="K344" s="906">
        <v>17.122402191162099</v>
      </c>
      <c r="L344" s="906">
        <v>18.4469089508057</v>
      </c>
      <c r="M344" s="906">
        <v>19.645553588867202</v>
      </c>
      <c r="N344" s="906">
        <v>20.905046463012699</v>
      </c>
      <c r="O344" s="906">
        <v>21.461814880371101</v>
      </c>
      <c r="P344" s="906">
        <v>22.275539398193398</v>
      </c>
      <c r="Q344" s="906">
        <v>23.178005218505898</v>
      </c>
      <c r="R344" s="906">
        <v>23.921798706054702</v>
      </c>
      <c r="S344" s="906">
        <v>24.712652206420898</v>
      </c>
      <c r="T344" s="906">
        <v>25.390251159668001</v>
      </c>
      <c r="U344" s="906">
        <v>25.605690002441399</v>
      </c>
      <c r="V344" s="906">
        <v>26.419223785400401</v>
      </c>
      <c r="W344" s="906">
        <v>27.371679306030298</v>
      </c>
      <c r="X344" s="906">
        <v>28.437421798706101</v>
      </c>
      <c r="Y344" s="906">
        <v>29.318086624145501</v>
      </c>
      <c r="Z344" s="906">
        <v>30.4597358703613</v>
      </c>
    </row>
    <row r="345" spans="1:70" x14ac:dyDescent="0.25">
      <c r="A345" s="904" t="s">
        <v>510</v>
      </c>
      <c r="B345" s="906">
        <v>6.8695855140686</v>
      </c>
      <c r="C345" s="906">
        <v>7.0191597938537598</v>
      </c>
      <c r="D345" s="906">
        <v>9.0666198730468803</v>
      </c>
      <c r="E345" s="906">
        <v>4.70163822174072</v>
      </c>
      <c r="F345" s="906">
        <v>5.3228030204772896</v>
      </c>
      <c r="G345" s="906">
        <v>5.7259230613708496</v>
      </c>
      <c r="H345" s="906">
        <v>5.8670849800109899</v>
      </c>
      <c r="I345" s="906">
        <v>5.9947657585143999</v>
      </c>
      <c r="J345" s="906">
        <v>6.2809138298034703</v>
      </c>
      <c r="K345" s="906">
        <v>6.6566915512084996</v>
      </c>
      <c r="L345" s="906">
        <v>7.0282440185546902</v>
      </c>
      <c r="M345" s="906">
        <v>7.4117355346679696</v>
      </c>
      <c r="N345" s="906">
        <v>7.8389544486999503</v>
      </c>
      <c r="O345" s="906">
        <v>8.3448457717895508</v>
      </c>
      <c r="P345" s="906">
        <v>8.9240303039550799</v>
      </c>
      <c r="Q345" s="906">
        <v>9.4456386566162092</v>
      </c>
      <c r="R345" s="906">
        <v>9.7849264144897496</v>
      </c>
      <c r="S345" s="906">
        <v>9.7760477066040004</v>
      </c>
      <c r="T345" s="906">
        <v>10.055270195007299</v>
      </c>
      <c r="U345" s="906">
        <v>10.193024635314901</v>
      </c>
      <c r="V345" s="906">
        <v>10.610521316528301</v>
      </c>
      <c r="W345" s="906">
        <v>11.20911693573</v>
      </c>
      <c r="X345" s="906">
        <v>11.9389839172363</v>
      </c>
      <c r="Y345" s="906">
        <v>12.519255638122599</v>
      </c>
      <c r="Z345" s="906">
        <v>13.197782516479499</v>
      </c>
    </row>
    <row r="346" spans="1:70" x14ac:dyDescent="0.25">
      <c r="A346" s="904" t="s">
        <v>624</v>
      </c>
      <c r="B346" s="906">
        <v>1.6900001764297501</v>
      </c>
      <c r="C346" s="906">
        <v>1.7800002098083501</v>
      </c>
      <c r="D346" s="906">
        <v>1.97352075576782</v>
      </c>
      <c r="E346" s="906">
        <v>2.0458421707153298</v>
      </c>
      <c r="F346" s="906">
        <v>1.9325078725814799</v>
      </c>
      <c r="G346" s="906">
        <v>1.9669165611267101</v>
      </c>
      <c r="H346" s="906">
        <v>1.97483730316162</v>
      </c>
      <c r="I346" s="906">
        <v>2.0363006591796902</v>
      </c>
      <c r="J346" s="906">
        <v>2.1044862270355198</v>
      </c>
      <c r="K346" s="906">
        <v>2.15470170974731</v>
      </c>
      <c r="L346" s="906">
        <v>2.2153303623199498</v>
      </c>
      <c r="M346" s="906">
        <v>2.2768745422363299</v>
      </c>
      <c r="N346" s="906">
        <v>2.3487181663513201</v>
      </c>
      <c r="O346" s="906">
        <v>2.4114518165588401</v>
      </c>
      <c r="P346" s="906">
        <v>2.4841165542602499</v>
      </c>
      <c r="Q346" s="906">
        <v>2.5551335811614999</v>
      </c>
      <c r="R346" s="906">
        <v>2.63751268386841</v>
      </c>
      <c r="S346" s="906">
        <v>2.7085535526275599</v>
      </c>
      <c r="T346" s="906">
        <v>2.7758009433746298</v>
      </c>
      <c r="U346" s="906">
        <v>2.84079241752625</v>
      </c>
      <c r="V346" s="906">
        <v>2.9094073772430402</v>
      </c>
      <c r="W346" s="906">
        <v>2.9860992431640598</v>
      </c>
      <c r="X346" s="906">
        <v>3.0685904026031499</v>
      </c>
      <c r="Y346" s="906">
        <v>3.1531631946563698</v>
      </c>
      <c r="Z346" s="906">
        <v>3.23557353019714</v>
      </c>
    </row>
    <row r="348" spans="1:70" x14ac:dyDescent="0.25">
      <c r="A348" s="904" t="s">
        <v>625</v>
      </c>
    </row>
    <row r="349" spans="1:70" x14ac:dyDescent="0.25">
      <c r="A349" s="904" t="s">
        <v>609</v>
      </c>
      <c r="B349" s="906">
        <v>15.246436119079601</v>
      </c>
      <c r="C349" s="906">
        <v>18.5313529968262</v>
      </c>
      <c r="D349" s="906">
        <v>20.134397506713899</v>
      </c>
      <c r="E349" s="906">
        <v>16.9350070953369</v>
      </c>
      <c r="F349" s="906">
        <v>16.912326812744102</v>
      </c>
      <c r="G349" s="906">
        <v>19.346534729003899</v>
      </c>
      <c r="H349" s="906">
        <v>21.4945392608643</v>
      </c>
      <c r="I349" s="906">
        <v>23.604782104492202</v>
      </c>
      <c r="J349" s="906">
        <v>25.696203231811499</v>
      </c>
      <c r="K349" s="906">
        <v>28.031579971313501</v>
      </c>
      <c r="L349" s="906">
        <v>29.828712463378899</v>
      </c>
      <c r="M349" s="906">
        <v>31.479301452636701</v>
      </c>
      <c r="N349" s="906">
        <v>33.231895446777301</v>
      </c>
      <c r="O349" s="906">
        <v>34.5145874023438</v>
      </c>
      <c r="P349" s="906">
        <v>35.698520660400398</v>
      </c>
      <c r="Q349" s="906">
        <v>36.883983612060497</v>
      </c>
      <c r="R349" s="906">
        <v>37.996242523193402</v>
      </c>
      <c r="S349" s="906">
        <v>39.337680816650398</v>
      </c>
      <c r="T349" s="906">
        <v>40.431327819824197</v>
      </c>
      <c r="U349" s="906">
        <v>40.7233276367188</v>
      </c>
      <c r="V349" s="906">
        <v>41.9925727844238</v>
      </c>
      <c r="W349" s="906">
        <v>43.322719573974602</v>
      </c>
      <c r="X349" s="906">
        <v>44.788909912109403</v>
      </c>
      <c r="Y349" s="906">
        <v>45.941520690917997</v>
      </c>
      <c r="Z349" s="906">
        <v>47.553462982177699</v>
      </c>
    </row>
    <row r="350" spans="1:70" x14ac:dyDescent="0.25">
      <c r="A350" s="904" t="s">
        <v>618</v>
      </c>
      <c r="B350" s="906">
        <v>24.84494972229</v>
      </c>
      <c r="C350" s="906">
        <v>26.818180084228501</v>
      </c>
      <c r="D350" s="906">
        <v>34.822681427002003</v>
      </c>
      <c r="E350" s="906">
        <v>21.049989700317401</v>
      </c>
      <c r="F350" s="906">
        <v>19.580844879150401</v>
      </c>
      <c r="G350" s="906">
        <v>23.622909545898398</v>
      </c>
      <c r="H350" s="906">
        <v>25.881950378418001</v>
      </c>
      <c r="I350" s="906">
        <v>28.009447097778299</v>
      </c>
      <c r="J350" s="906">
        <v>30.2537937164307</v>
      </c>
      <c r="K350" s="906">
        <v>28.866632461547901</v>
      </c>
      <c r="L350" s="906">
        <v>30.4276523590088</v>
      </c>
      <c r="M350" s="906">
        <v>31.969417572021499</v>
      </c>
      <c r="N350" s="906">
        <v>32.765193939208999</v>
      </c>
      <c r="O350" s="906">
        <v>35.757926940917997</v>
      </c>
      <c r="P350" s="906">
        <v>37.577915191650398</v>
      </c>
      <c r="Q350" s="906">
        <v>38.662086486816399</v>
      </c>
      <c r="R350" s="906">
        <v>39.8419189453125</v>
      </c>
      <c r="S350" s="906">
        <v>41.092353820800803</v>
      </c>
      <c r="T350" s="906">
        <v>42.114028930664098</v>
      </c>
      <c r="U350" s="906">
        <v>42.893341064453097</v>
      </c>
      <c r="V350" s="906">
        <v>44.2104301452637</v>
      </c>
      <c r="W350" s="906">
        <v>44.896373748779297</v>
      </c>
      <c r="X350" s="906">
        <v>46.4299926757813</v>
      </c>
      <c r="Y350" s="906">
        <v>48.419319152832003</v>
      </c>
      <c r="Z350" s="906">
        <v>48.957271575927699</v>
      </c>
    </row>
    <row r="351" spans="1:70" x14ac:dyDescent="0.25">
      <c r="A351" s="904" t="s">
        <v>619</v>
      </c>
      <c r="B351" s="906">
        <v>21.081119537353501</v>
      </c>
      <c r="C351" s="906">
        <v>22.8191947937012</v>
      </c>
      <c r="D351" s="906">
        <v>26.582485198974599</v>
      </c>
      <c r="E351" s="906">
        <v>16.308473587036101</v>
      </c>
      <c r="F351" s="906">
        <v>18.3791694641113</v>
      </c>
      <c r="G351" s="906">
        <v>21.690732955932599</v>
      </c>
      <c r="H351" s="906">
        <v>23.705785751342798</v>
      </c>
      <c r="I351" s="906">
        <v>25.446578979492202</v>
      </c>
      <c r="J351" s="906">
        <v>27.421388626098601</v>
      </c>
      <c r="K351" s="906">
        <v>29.526109695434599</v>
      </c>
      <c r="L351" s="906">
        <v>31.268815994262699</v>
      </c>
      <c r="M351" s="906">
        <v>33.090030670166001</v>
      </c>
      <c r="N351" s="906">
        <v>34.852634429931598</v>
      </c>
      <c r="O351" s="906">
        <v>36.4355278015137</v>
      </c>
      <c r="P351" s="906">
        <v>38.011890411377003</v>
      </c>
      <c r="Q351" s="906">
        <v>39.135532379150398</v>
      </c>
      <c r="R351" s="906">
        <v>40.475978851318402</v>
      </c>
      <c r="S351" s="906">
        <v>41.687484741210902</v>
      </c>
      <c r="T351" s="906">
        <v>42.675270080566399</v>
      </c>
      <c r="U351" s="906">
        <v>43.460239410400398</v>
      </c>
      <c r="V351" s="906">
        <v>44.775581359863303</v>
      </c>
      <c r="W351" s="906">
        <v>45.668975830078097</v>
      </c>
      <c r="X351" s="906">
        <v>47.250167846679702</v>
      </c>
      <c r="Y351" s="906">
        <v>49.551605224609403</v>
      </c>
      <c r="Z351" s="906">
        <v>49.978668212890597</v>
      </c>
    </row>
    <row r="352" spans="1:70" x14ac:dyDescent="0.25">
      <c r="A352" s="904" t="s">
        <v>626</v>
      </c>
      <c r="B352" s="906">
        <v>14.844763755798301</v>
      </c>
      <c r="C352" s="906">
        <v>16.0964660644531</v>
      </c>
      <c r="D352" s="906">
        <v>22.673322677612301</v>
      </c>
      <c r="E352" s="906">
        <v>10.878761291503899</v>
      </c>
      <c r="F352" s="906">
        <v>10.805939674377401</v>
      </c>
      <c r="G352" s="906">
        <v>13.641165733337401</v>
      </c>
      <c r="H352" s="906">
        <v>15.7883806228638</v>
      </c>
      <c r="I352" s="906">
        <v>17.847295761108398</v>
      </c>
      <c r="J352" s="906">
        <v>19.768560409545898</v>
      </c>
      <c r="K352" s="906">
        <v>21.6021404266357</v>
      </c>
      <c r="L352" s="906">
        <v>23.1407794952393</v>
      </c>
      <c r="M352" s="906">
        <v>24.738756179809599</v>
      </c>
      <c r="N352" s="906">
        <v>26.200944900512699</v>
      </c>
      <c r="O352" s="906">
        <v>27.323936462402301</v>
      </c>
      <c r="P352" s="906">
        <v>28.3911018371582</v>
      </c>
      <c r="Q352" s="906">
        <v>29.343944549560501</v>
      </c>
      <c r="R352" s="906">
        <v>30.208518981933601</v>
      </c>
      <c r="S352" s="906">
        <v>31.274351119995099</v>
      </c>
      <c r="T352" s="906">
        <v>32.279064178466797</v>
      </c>
      <c r="U352" s="906">
        <v>32.661514282226598</v>
      </c>
      <c r="V352" s="906">
        <v>33.853298187255902</v>
      </c>
      <c r="W352" s="906">
        <v>34.868740081787102</v>
      </c>
      <c r="X352" s="906">
        <v>36.320652008056598</v>
      </c>
      <c r="Y352" s="906">
        <v>37.773586273193402</v>
      </c>
      <c r="Z352" s="906">
        <v>39.040420532226598</v>
      </c>
    </row>
    <row r="353" spans="1:70" x14ac:dyDescent="0.25">
      <c r="A353" s="904" t="s">
        <v>610</v>
      </c>
      <c r="B353" s="906">
        <v>18.668458938598601</v>
      </c>
      <c r="C353" s="906">
        <v>19.9431552886963</v>
      </c>
      <c r="D353" s="906">
        <v>26.286823272705099</v>
      </c>
      <c r="E353" s="906">
        <v>15.636975288391101</v>
      </c>
      <c r="F353" s="906">
        <v>14.1092176437378</v>
      </c>
      <c r="G353" s="906">
        <v>16.902593612670898</v>
      </c>
      <c r="H353" s="906">
        <v>19.1516017913818</v>
      </c>
      <c r="I353" s="906">
        <v>21.744958877563501</v>
      </c>
      <c r="J353" s="906">
        <v>23.745824813842798</v>
      </c>
      <c r="K353" s="906">
        <v>25.478622436523398</v>
      </c>
      <c r="L353" s="906">
        <v>27.0623779296875</v>
      </c>
      <c r="M353" s="906">
        <v>28.722316741943398</v>
      </c>
      <c r="N353" s="906">
        <v>30.288469314575199</v>
      </c>
      <c r="O353" s="906">
        <v>31.560461044311499</v>
      </c>
      <c r="P353" s="906">
        <v>32.757129669189503</v>
      </c>
      <c r="Q353" s="906">
        <v>33.523193359375</v>
      </c>
      <c r="R353" s="906">
        <v>34.769081115722699</v>
      </c>
      <c r="S353" s="906">
        <v>35.882114410400398</v>
      </c>
      <c r="T353" s="906">
        <v>36.791599273681598</v>
      </c>
      <c r="U353" s="906">
        <v>37.5217895507813</v>
      </c>
      <c r="V353" s="906">
        <v>38.800697326660199</v>
      </c>
      <c r="W353" s="906">
        <v>39.467311859130902</v>
      </c>
      <c r="X353" s="906">
        <v>40.997920989990199</v>
      </c>
      <c r="Y353" s="906">
        <v>42.937191009521499</v>
      </c>
      <c r="Z353" s="906">
        <v>43.857540130615199</v>
      </c>
    </row>
    <row r="354" spans="1:70" x14ac:dyDescent="0.25">
      <c r="A354" s="904" t="s">
        <v>611</v>
      </c>
      <c r="B354" s="906">
        <v>8.2036781311035192</v>
      </c>
      <c r="C354" s="906">
        <v>9.3672227859497106</v>
      </c>
      <c r="D354" s="906">
        <v>14.4897508621216</v>
      </c>
      <c r="E354" s="906">
        <v>6.7128052711486799</v>
      </c>
      <c r="F354" s="906">
        <v>7.1757683753967303</v>
      </c>
      <c r="G354" s="906">
        <v>9.6609458923339808</v>
      </c>
      <c r="H354" s="906">
        <v>11.544206619262701</v>
      </c>
      <c r="I354" s="906">
        <v>13.370221138000501</v>
      </c>
      <c r="J354" s="906">
        <v>14.996021270751999</v>
      </c>
      <c r="K354" s="906">
        <v>16.898206710815401</v>
      </c>
      <c r="L354" s="906">
        <v>18.207862854003899</v>
      </c>
      <c r="M354" s="906">
        <v>19.411674499511701</v>
      </c>
      <c r="N354" s="906">
        <v>20.6822299957275</v>
      </c>
      <c r="O354" s="906">
        <v>21.516969680786101</v>
      </c>
      <c r="P354" s="906">
        <v>22.335527420043899</v>
      </c>
      <c r="Q354" s="906">
        <v>23.2407321929932</v>
      </c>
      <c r="R354" s="906">
        <v>23.916133880615199</v>
      </c>
      <c r="S354" s="906">
        <v>24.6660556793213</v>
      </c>
      <c r="T354" s="906">
        <v>25.322589874267599</v>
      </c>
      <c r="U354" s="906">
        <v>25.500698089599599</v>
      </c>
      <c r="V354" s="906">
        <v>26.3019409179688</v>
      </c>
      <c r="W354" s="906">
        <v>27.270561218261701</v>
      </c>
      <c r="X354" s="906">
        <v>28.332614898681602</v>
      </c>
      <c r="Y354" s="906">
        <v>29.2080383300781</v>
      </c>
      <c r="Z354" s="906">
        <v>30.365930557251001</v>
      </c>
    </row>
    <row r="355" spans="1:70" x14ac:dyDescent="0.25">
      <c r="A355" s="904" t="s">
        <v>510</v>
      </c>
      <c r="B355" s="906">
        <v>9.2523355484008807</v>
      </c>
      <c r="C355" s="906">
        <v>9.0060253143310494</v>
      </c>
      <c r="D355" s="906">
        <v>10.405486106872599</v>
      </c>
      <c r="E355" s="906">
        <v>6.98002004623413</v>
      </c>
      <c r="F355" s="906">
        <v>7.7092094421386701</v>
      </c>
      <c r="G355" s="906">
        <v>8.12390232086182</v>
      </c>
      <c r="H355" s="906">
        <v>8.2825136184692401</v>
      </c>
      <c r="I355" s="906">
        <v>8.4401350021362305</v>
      </c>
      <c r="J355" s="906">
        <v>8.7418422698974592</v>
      </c>
      <c r="K355" s="906">
        <v>9.1197204589843803</v>
      </c>
      <c r="L355" s="906">
        <v>9.5538625717163104</v>
      </c>
      <c r="M355" s="906">
        <v>10.0050344467163</v>
      </c>
      <c r="N355" s="906">
        <v>10.4820852279663</v>
      </c>
      <c r="O355" s="906">
        <v>11.0441122055054</v>
      </c>
      <c r="P355" s="906">
        <v>11.7092485427856</v>
      </c>
      <c r="Q355" s="906">
        <v>12.280260086059601</v>
      </c>
      <c r="R355" s="906">
        <v>12.668963432311999</v>
      </c>
      <c r="S355" s="906">
        <v>12.670117378234901</v>
      </c>
      <c r="T355" s="906">
        <v>12.917200088501</v>
      </c>
      <c r="U355" s="906">
        <v>13.0803108215332</v>
      </c>
      <c r="V355" s="906">
        <v>13.574273109436</v>
      </c>
      <c r="W355" s="906">
        <v>14.23717212677</v>
      </c>
      <c r="X355" s="906">
        <v>15.0462560653687</v>
      </c>
      <c r="Y355" s="906">
        <v>15.740474700927701</v>
      </c>
      <c r="Z355" s="906">
        <v>16.4913539886475</v>
      </c>
    </row>
    <row r="356" spans="1:70" ht="13.8" thickBot="1" x14ac:dyDescent="0.3">
      <c r="A356" s="904" t="s">
        <v>614</v>
      </c>
      <c r="B356" s="906">
        <v>3.53999996185303</v>
      </c>
      <c r="C356" s="906">
        <v>3.6099998950958301</v>
      </c>
      <c r="D356" s="906">
        <v>4.1449666023254403</v>
      </c>
      <c r="E356" s="906">
        <v>4.1784791946411097</v>
      </c>
      <c r="F356" s="906">
        <v>4.1485314369201696</v>
      </c>
      <c r="G356" s="906">
        <v>4.3175525665283203</v>
      </c>
      <c r="H356" s="906">
        <v>4.44484186172485</v>
      </c>
      <c r="I356" s="906">
        <v>4.5821456909179696</v>
      </c>
      <c r="J356" s="906">
        <v>4.7206311225891104</v>
      </c>
      <c r="K356" s="906">
        <v>4.8563599586486799</v>
      </c>
      <c r="L356" s="906">
        <v>4.9913563728332502</v>
      </c>
      <c r="M356" s="906">
        <v>5.1233406066894496</v>
      </c>
      <c r="N356" s="906">
        <v>5.2680139541626003</v>
      </c>
      <c r="O356" s="906">
        <v>5.4137320518493697</v>
      </c>
      <c r="P356" s="906">
        <v>5.5743689537048304</v>
      </c>
      <c r="Q356" s="906">
        <v>5.7906579971313503</v>
      </c>
      <c r="R356" s="906">
        <v>6.0209679603576696</v>
      </c>
      <c r="S356" s="906">
        <v>6.20045709609985</v>
      </c>
      <c r="T356" s="906">
        <v>6.3775997161865199</v>
      </c>
      <c r="U356" s="906">
        <v>6.5161404609680202</v>
      </c>
      <c r="V356" s="906">
        <v>6.6299972534179696</v>
      </c>
      <c r="W356" s="906">
        <v>6.7667918205261204</v>
      </c>
      <c r="X356" s="906">
        <v>6.88553714752197</v>
      </c>
      <c r="Y356" s="906">
        <v>6.9704546928405797</v>
      </c>
      <c r="Z356" s="906">
        <v>7.0137753486633301</v>
      </c>
    </row>
    <row r="357" spans="1:70" ht="13.8" thickBot="1" x14ac:dyDescent="0.3">
      <c r="A357" s="904" t="s">
        <v>627</v>
      </c>
      <c r="B357" s="906">
        <v>1.73100674152374</v>
      </c>
      <c r="C357" s="906">
        <v>1.81885313987732</v>
      </c>
      <c r="D357" s="906">
        <v>2.01088166236877</v>
      </c>
      <c r="E357" s="906">
        <v>2.0711190700531001</v>
      </c>
      <c r="F357" s="906">
        <v>1.96068322658539</v>
      </c>
      <c r="G357" s="906">
        <v>1.99932932853699</v>
      </c>
      <c r="H357" s="906">
        <v>2.0096416473388699</v>
      </c>
      <c r="I357" s="906">
        <v>2.07272601127625</v>
      </c>
      <c r="J357" s="906">
        <v>2.1420636177063002</v>
      </c>
      <c r="K357" s="906">
        <v>2.1925818920135498</v>
      </c>
      <c r="L357" s="906">
        <v>2.2534883022308301</v>
      </c>
      <c r="M357" s="906">
        <v>2.3155770301818799</v>
      </c>
      <c r="N357" s="906">
        <v>2.38794946670532</v>
      </c>
      <c r="O357" s="906">
        <v>2.4510562419891402</v>
      </c>
      <c r="P357" s="906">
        <v>2.52451372146606</v>
      </c>
      <c r="Q357" s="906">
        <v>2.5963439941406299</v>
      </c>
      <c r="R357" s="906">
        <v>2.6790707111358598</v>
      </c>
      <c r="S357" s="906">
        <v>2.7507226467132599</v>
      </c>
      <c r="T357" s="906">
        <v>2.8189043998718302</v>
      </c>
      <c r="U357" s="906">
        <v>2.8845274448394802</v>
      </c>
      <c r="V357" s="906">
        <v>2.9543473720550502</v>
      </c>
      <c r="W357" s="906">
        <v>3.0319309234619101</v>
      </c>
      <c r="X357" s="906">
        <v>3.1151678562164302</v>
      </c>
      <c r="Y357" s="906">
        <v>3.20047926902771</v>
      </c>
      <c r="Z357" s="906">
        <v>3.2839629650115998</v>
      </c>
      <c r="AA357" s="283">
        <f>Z527+($AI$357-$Y$527)/10</f>
        <v>8.0623037763536161</v>
      </c>
      <c r="AB357" s="283">
        <f t="shared" ref="AB357:AH357" si="21">AA357+($AI$357-$Y$527)/10</f>
        <v>8.1146083992868938</v>
      </c>
      <c r="AC357" s="283">
        <f t="shared" si="21"/>
        <v>8.1669130222201716</v>
      </c>
      <c r="AD357" s="283">
        <f t="shared" si="21"/>
        <v>8.2192176451534493</v>
      </c>
      <c r="AE357" s="283">
        <f t="shared" si="21"/>
        <v>8.2715222680867271</v>
      </c>
      <c r="AF357" s="283">
        <f t="shared" si="21"/>
        <v>8.3238268910200048</v>
      </c>
      <c r="AG357" s="283">
        <f t="shared" si="21"/>
        <v>8.3761315139532826</v>
      </c>
      <c r="AH357" s="283">
        <f t="shared" si="21"/>
        <v>8.4284361368865603</v>
      </c>
      <c r="AI357" s="284">
        <f>T527*$E$742</f>
        <v>8.4807407598198452</v>
      </c>
      <c r="AJ357" s="283">
        <f>AI357+($AX$357-$AI$357)/15</f>
        <v>8.5767365137369804</v>
      </c>
      <c r="AK357" s="283">
        <f t="shared" ref="AK357:AW357" si="22">AJ357+($AX$357-$AI$357)/15</f>
        <v>8.6727322676541156</v>
      </c>
      <c r="AL357" s="283">
        <f t="shared" si="22"/>
        <v>8.7687280215712509</v>
      </c>
      <c r="AM357" s="283">
        <f t="shared" si="22"/>
        <v>8.8647237754883861</v>
      </c>
      <c r="AN357" s="283">
        <f t="shared" si="22"/>
        <v>8.9607195294055213</v>
      </c>
      <c r="AO357" s="283">
        <f t="shared" si="22"/>
        <v>9.0567152833226565</v>
      </c>
      <c r="AP357" s="283">
        <f t="shared" si="22"/>
        <v>9.1527110372397917</v>
      </c>
      <c r="AQ357" s="283">
        <f t="shared" si="22"/>
        <v>9.248706791156927</v>
      </c>
      <c r="AR357" s="283">
        <f t="shared" si="22"/>
        <v>9.3447025450740622</v>
      </c>
      <c r="AS357" s="283">
        <f t="shared" si="22"/>
        <v>9.4406982989911974</v>
      </c>
      <c r="AT357" s="283">
        <f t="shared" si="22"/>
        <v>9.5366940529083326</v>
      </c>
      <c r="AU357" s="283">
        <f t="shared" si="22"/>
        <v>9.6326898068254678</v>
      </c>
      <c r="AV357" s="283">
        <f t="shared" si="22"/>
        <v>9.728685560742603</v>
      </c>
      <c r="AW357" s="283">
        <f t="shared" si="22"/>
        <v>9.8246813146597383</v>
      </c>
      <c r="AX357" s="284">
        <f>AI357*$B$742</f>
        <v>9.9206770685768717</v>
      </c>
      <c r="AY357" s="283">
        <f>AX357+($BM$357-$AX$357)/15</f>
        <v>10.018909165246043</v>
      </c>
      <c r="AZ357" s="283">
        <f t="shared" ref="AZ357:BL357" si="23">AY357+($BM$357-$AX$357)/15</f>
        <v>10.117141261915215</v>
      </c>
      <c r="BA357" s="283">
        <f t="shared" si="23"/>
        <v>10.215373358584387</v>
      </c>
      <c r="BB357" s="283">
        <f t="shared" si="23"/>
        <v>10.313605455253558</v>
      </c>
      <c r="BC357" s="283">
        <f t="shared" si="23"/>
        <v>10.41183755192273</v>
      </c>
      <c r="BD357" s="283">
        <f t="shared" si="23"/>
        <v>10.510069648591902</v>
      </c>
      <c r="BE357" s="283">
        <f t="shared" si="23"/>
        <v>10.608301745261073</v>
      </c>
      <c r="BF357" s="283">
        <f t="shared" si="23"/>
        <v>10.706533841930245</v>
      </c>
      <c r="BG357" s="283">
        <f t="shared" si="23"/>
        <v>10.804765938599417</v>
      </c>
      <c r="BH357" s="283">
        <f t="shared" si="23"/>
        <v>10.902998035268588</v>
      </c>
      <c r="BI357" s="283">
        <f t="shared" si="23"/>
        <v>11.00123013193776</v>
      </c>
      <c r="BJ357" s="283">
        <f t="shared" si="23"/>
        <v>11.099462228606932</v>
      </c>
      <c r="BK357" s="283">
        <f t="shared" si="23"/>
        <v>11.197694325276103</v>
      </c>
      <c r="BL357" s="283">
        <f t="shared" si="23"/>
        <v>11.295926421945275</v>
      </c>
      <c r="BM357" s="284">
        <f>AX357*$C$742</f>
        <v>11.394158518614441</v>
      </c>
      <c r="BN357" s="283">
        <f>BM357+($BR$357-$BM$357)/5</f>
        <v>11.506980665059427</v>
      </c>
      <c r="BO357" s="283">
        <f>BN357+($BR$357-$BM$357)/5</f>
        <v>11.619802811504412</v>
      </c>
      <c r="BP357" s="283">
        <f>BO357+($BR$357-$BM$357)/5</f>
        <v>11.732624957949398</v>
      </c>
      <c r="BQ357" s="283">
        <f>BP357+($BR$357-$BM$357)/5</f>
        <v>11.845447104394383</v>
      </c>
      <c r="BR357" s="284">
        <f>BM357*$D$742</f>
        <v>11.95826925083937</v>
      </c>
    </row>
    <row r="358" spans="1:70" ht="13.8" thickBot="1" x14ac:dyDescent="0.3">
      <c r="A358" s="904" t="s">
        <v>616</v>
      </c>
      <c r="B358" s="906">
        <v>0</v>
      </c>
      <c r="C358" s="906">
        <v>0</v>
      </c>
      <c r="D358" s="906">
        <v>0</v>
      </c>
      <c r="E358" s="906">
        <v>0</v>
      </c>
      <c r="F358" s="906">
        <v>0</v>
      </c>
      <c r="G358" s="906">
        <v>1.5889266729354901</v>
      </c>
      <c r="H358" s="906">
        <v>1.46094393730164</v>
      </c>
      <c r="I358" s="906">
        <v>1.28843116760254</v>
      </c>
      <c r="J358" s="906">
        <v>1.5101318359375</v>
      </c>
      <c r="K358" s="906">
        <v>1.50810551643372</v>
      </c>
      <c r="L358" s="906">
        <v>1.5213859081268299</v>
      </c>
      <c r="M358" s="906">
        <v>1.53951179981232</v>
      </c>
      <c r="N358" s="906">
        <v>1.58338570594788</v>
      </c>
      <c r="O358" s="906">
        <v>1.63723039627075</v>
      </c>
      <c r="P358" s="906">
        <v>1.71289122104645</v>
      </c>
      <c r="Q358" s="906">
        <v>1.76114201545715</v>
      </c>
      <c r="R358" s="906">
        <v>1.8119050264358501</v>
      </c>
      <c r="S358" s="906">
        <v>1.8629466295242301</v>
      </c>
      <c r="T358" s="906">
        <v>1.9169825315475499</v>
      </c>
      <c r="U358" s="906">
        <v>1.9466364383697501</v>
      </c>
      <c r="V358" s="906">
        <v>1.9911848306655899</v>
      </c>
      <c r="W358" s="906">
        <v>2.0416746139526398</v>
      </c>
      <c r="X358" s="906">
        <v>2.09020328521729</v>
      </c>
      <c r="Y358" s="906">
        <v>2.1373581886291499</v>
      </c>
      <c r="Z358" s="906">
        <v>2.1847438812255899</v>
      </c>
      <c r="AA358" s="285">
        <f>Z528+($AI$358-$Y$528)/10</f>
        <v>22.224617194901626</v>
      </c>
      <c r="AB358" s="285">
        <f t="shared" ref="AB358:AH358" si="24">AA358+($AI$358-$Y$528)/10</f>
        <v>22.135413455621489</v>
      </c>
      <c r="AC358" s="285">
        <f t="shared" si="24"/>
        <v>22.046209716341352</v>
      </c>
      <c r="AD358" s="285">
        <f t="shared" si="24"/>
        <v>21.957005977061215</v>
      </c>
      <c r="AE358" s="285">
        <f t="shared" si="24"/>
        <v>21.867802237781078</v>
      </c>
      <c r="AF358" s="285">
        <f t="shared" si="24"/>
        <v>21.778598498500941</v>
      </c>
      <c r="AG358" s="285">
        <f t="shared" si="24"/>
        <v>21.689394759220804</v>
      </c>
      <c r="AH358" s="285">
        <f t="shared" si="24"/>
        <v>21.600191019940667</v>
      </c>
      <c r="AI358" s="286">
        <f>T528*$E$745</f>
        <v>21.510987280660522</v>
      </c>
      <c r="AJ358" s="285">
        <f>AI358+($AX$358-$AI$358)/15</f>
        <v>21.502530865644818</v>
      </c>
      <c r="AK358" s="285">
        <f t="shared" ref="AK358:AW358" si="25">AJ358+($AX$358-$AI$358)/15</f>
        <v>21.494074450629114</v>
      </c>
      <c r="AL358" s="285">
        <f t="shared" si="25"/>
        <v>21.48561803561341</v>
      </c>
      <c r="AM358" s="285">
        <f t="shared" si="25"/>
        <v>21.477161620597705</v>
      </c>
      <c r="AN358" s="285">
        <f t="shared" si="25"/>
        <v>21.468705205582001</v>
      </c>
      <c r="AO358" s="285">
        <f t="shared" si="25"/>
        <v>21.460248790566297</v>
      </c>
      <c r="AP358" s="285">
        <f t="shared" si="25"/>
        <v>21.451792375550593</v>
      </c>
      <c r="AQ358" s="285">
        <f t="shared" si="25"/>
        <v>21.443335960534888</v>
      </c>
      <c r="AR358" s="285">
        <f t="shared" si="25"/>
        <v>21.434879545519184</v>
      </c>
      <c r="AS358" s="285">
        <f t="shared" si="25"/>
        <v>21.42642313050348</v>
      </c>
      <c r="AT358" s="285">
        <f t="shared" si="25"/>
        <v>21.417966715487776</v>
      </c>
      <c r="AU358" s="285">
        <f t="shared" si="25"/>
        <v>21.409510300472071</v>
      </c>
      <c r="AV358" s="285">
        <f t="shared" si="25"/>
        <v>21.401053885456367</v>
      </c>
      <c r="AW358" s="285">
        <f t="shared" si="25"/>
        <v>21.392597470440663</v>
      </c>
      <c r="AX358" s="286">
        <f>AI358*$B$745</f>
        <v>21.384141055424955</v>
      </c>
      <c r="AY358" s="285">
        <f>AX358+($BM$358-$AX$358)/15</f>
        <v>21.397725276976207</v>
      </c>
      <c r="AZ358" s="285">
        <f t="shared" ref="AZ358:BL358" si="26">AY358+($BM$358-$AX$358)/15</f>
        <v>21.411309498527459</v>
      </c>
      <c r="BA358" s="285">
        <f t="shared" si="26"/>
        <v>21.42489372007871</v>
      </c>
      <c r="BB358" s="285">
        <f t="shared" si="26"/>
        <v>21.438477941629962</v>
      </c>
      <c r="BC358" s="285">
        <f t="shared" si="26"/>
        <v>21.452062163181214</v>
      </c>
      <c r="BD358" s="285">
        <f t="shared" si="26"/>
        <v>21.465646384732466</v>
      </c>
      <c r="BE358" s="285">
        <f t="shared" si="26"/>
        <v>21.479230606283718</v>
      </c>
      <c r="BF358" s="285">
        <f t="shared" si="26"/>
        <v>21.49281482783497</v>
      </c>
      <c r="BG358" s="285">
        <f t="shared" si="26"/>
        <v>21.506399049386221</v>
      </c>
      <c r="BH358" s="285">
        <f t="shared" si="26"/>
        <v>21.519983270937473</v>
      </c>
      <c r="BI358" s="285">
        <f t="shared" si="26"/>
        <v>21.533567492488725</v>
      </c>
      <c r="BJ358" s="285">
        <f t="shared" si="26"/>
        <v>21.547151714039977</v>
      </c>
      <c r="BK358" s="285">
        <f t="shared" si="26"/>
        <v>21.560735935591229</v>
      </c>
      <c r="BL358" s="285">
        <f t="shared" si="26"/>
        <v>21.574320157142481</v>
      </c>
      <c r="BM358" s="286">
        <f>AX358*$C$745</f>
        <v>21.587904378693722</v>
      </c>
      <c r="BN358" s="285">
        <f>BM358+($BR$358-$BM$358)/5</f>
        <v>21.601618040381013</v>
      </c>
      <c r="BO358" s="285">
        <f>BN358+($BR$358-$BM$358)/5</f>
        <v>21.615331702068303</v>
      </c>
      <c r="BP358" s="285">
        <f>BO358+($BR$358-$BM$358)/5</f>
        <v>21.629045363755594</v>
      </c>
      <c r="BQ358" s="285">
        <f>BP358+($BR$358-$BM$358)/5</f>
        <v>21.642759025442885</v>
      </c>
      <c r="BR358" s="286">
        <f>BM358*$D$745</f>
        <v>21.656472687130176</v>
      </c>
    </row>
    <row r="359" spans="1:70" x14ac:dyDescent="0.25">
      <c r="A359" s="904" t="s">
        <v>479</v>
      </c>
      <c r="B359" s="906">
        <v>25.973251342773398</v>
      </c>
      <c r="C359" s="906">
        <v>26.680915832519499</v>
      </c>
      <c r="D359" s="906">
        <v>28.4103908538818</v>
      </c>
      <c r="E359" s="906">
        <v>27.544679641723601</v>
      </c>
      <c r="F359" s="906">
        <v>25.191349029541001</v>
      </c>
      <c r="G359" s="906">
        <v>26.348068237304702</v>
      </c>
      <c r="H359" s="906">
        <v>26.6303806304932</v>
      </c>
      <c r="I359" s="906">
        <v>27.154542922973601</v>
      </c>
      <c r="J359" s="906">
        <v>28.002742767333999</v>
      </c>
      <c r="K359" s="906">
        <v>28.757371902465799</v>
      </c>
      <c r="L359" s="906">
        <v>29.780685424804702</v>
      </c>
      <c r="M359" s="906">
        <v>30.870384216308601</v>
      </c>
      <c r="N359" s="906">
        <v>32.039138793945298</v>
      </c>
      <c r="O359" s="906">
        <v>33.131908416747997</v>
      </c>
      <c r="P359" s="906">
        <v>34.493354797363303</v>
      </c>
      <c r="Q359" s="906">
        <v>35.847507476806598</v>
      </c>
      <c r="R359" s="906">
        <v>37.095943450927699</v>
      </c>
      <c r="S359" s="906">
        <v>37.945499420166001</v>
      </c>
      <c r="T359" s="906">
        <v>38.854724884033203</v>
      </c>
      <c r="U359" s="906">
        <v>39.667263031005902</v>
      </c>
      <c r="V359" s="906">
        <v>40.613765716552699</v>
      </c>
      <c r="W359" s="906">
        <v>41.989593505859403</v>
      </c>
      <c r="X359" s="906">
        <v>43.556324005127003</v>
      </c>
      <c r="Y359" s="906">
        <v>45.098350524902301</v>
      </c>
      <c r="Z359" s="906">
        <v>46.616588592529297</v>
      </c>
    </row>
    <row r="361" spans="1:70" x14ac:dyDescent="0.25">
      <c r="A361" s="904" t="s">
        <v>513</v>
      </c>
    </row>
    <row r="362" spans="1:70" x14ac:dyDescent="0.25">
      <c r="A362" s="904" t="s">
        <v>727</v>
      </c>
    </row>
    <row r="363" spans="1:70" x14ac:dyDescent="0.25">
      <c r="A363" s="904" t="s">
        <v>473</v>
      </c>
      <c r="B363" s="906">
        <v>225.03859096661196</v>
      </c>
      <c r="C363" s="906">
        <v>238.40081787109398</v>
      </c>
      <c r="D363" s="906">
        <v>255.49913625772319</v>
      </c>
      <c r="E363" s="906">
        <v>230.9929746666815</v>
      </c>
      <c r="F363" s="906">
        <v>223.41247611699868</v>
      </c>
      <c r="G363" s="906">
        <v>235.2892736225177</v>
      </c>
      <c r="H363" s="906">
        <v>241.6920712265439</v>
      </c>
      <c r="I363" s="906">
        <v>246.56659612211084</v>
      </c>
      <c r="J363" s="906">
        <v>255.55094332875294</v>
      </c>
      <c r="K363" s="906">
        <v>264.57905396662414</v>
      </c>
      <c r="L363" s="906">
        <v>275.89920726734971</v>
      </c>
      <c r="M363" s="906">
        <v>287.49516661999758</v>
      </c>
      <c r="N363" s="906">
        <v>300.32909110683801</v>
      </c>
      <c r="O363" s="906">
        <v>313.11554742582229</v>
      </c>
      <c r="P363" s="906">
        <v>328.18192619930682</v>
      </c>
      <c r="Q363" s="906">
        <v>341.8235015289352</v>
      </c>
      <c r="R363" s="906">
        <v>355.09694320426638</v>
      </c>
      <c r="S363" s="906">
        <v>365.44612056098629</v>
      </c>
      <c r="T363" s="906">
        <v>378.29315112389759</v>
      </c>
      <c r="U363" s="906">
        <v>388.37155634393389</v>
      </c>
      <c r="V363" s="906">
        <v>402.59953615177363</v>
      </c>
      <c r="W363" s="906">
        <v>419.77981120164446</v>
      </c>
      <c r="X363" s="906">
        <v>438.87123825530841</v>
      </c>
      <c r="Y363" s="906">
        <v>455.24534715742953</v>
      </c>
      <c r="Z363" s="906">
        <v>473.03338245571979</v>
      </c>
    </row>
    <row r="364" spans="1:70" x14ac:dyDescent="0.25">
      <c r="A364" s="904" t="s">
        <v>480</v>
      </c>
      <c r="B364" s="906">
        <v>165.81601818957134</v>
      </c>
      <c r="C364" s="906">
        <v>172.89260864257801</v>
      </c>
      <c r="D364" s="906">
        <v>187.38257557629601</v>
      </c>
      <c r="E364" s="906">
        <v>169.14737359110225</v>
      </c>
      <c r="F364" s="906">
        <v>163.07263216137929</v>
      </c>
      <c r="G364" s="906">
        <v>172.91593328178766</v>
      </c>
      <c r="H364" s="906">
        <v>176.9297785804325</v>
      </c>
      <c r="I364" s="906">
        <v>182.88131988639063</v>
      </c>
      <c r="J364" s="906">
        <v>191.23749630338142</v>
      </c>
      <c r="K364" s="906">
        <v>199.89645601118545</v>
      </c>
      <c r="L364" s="906">
        <v>210.36479941888081</v>
      </c>
      <c r="M364" s="906">
        <v>221.36240217535854</v>
      </c>
      <c r="N364" s="906">
        <v>233.19080564556924</v>
      </c>
      <c r="O364" s="906">
        <v>244.70314616363081</v>
      </c>
      <c r="P364" s="906">
        <v>258.1051490216438</v>
      </c>
      <c r="Q364" s="906">
        <v>271.26123343313407</v>
      </c>
      <c r="R364" s="906">
        <v>283.50995205362011</v>
      </c>
      <c r="S364" s="906">
        <v>292.88584879534454</v>
      </c>
      <c r="T364" s="906">
        <v>303.70259464185926</v>
      </c>
      <c r="U364" s="906">
        <v>313.58347456242666</v>
      </c>
      <c r="V364" s="906">
        <v>325.89089746765683</v>
      </c>
      <c r="W364" s="906">
        <v>341.11550736031069</v>
      </c>
      <c r="X364" s="906">
        <v>358.21009848865214</v>
      </c>
      <c r="Y364" s="906">
        <v>374.9131546581271</v>
      </c>
      <c r="Z364" s="906">
        <v>392.1016075075479</v>
      </c>
    </row>
    <row r="365" spans="1:70" ht="13.8" thickBot="1" x14ac:dyDescent="0.3">
      <c r="A365" s="904" t="s">
        <v>515</v>
      </c>
      <c r="B365" s="906">
        <v>210.41252056252281</v>
      </c>
      <c r="C365" s="906">
        <v>226.88609313964801</v>
      </c>
      <c r="D365" s="906">
        <v>254.13497179068762</v>
      </c>
      <c r="E365" s="906">
        <v>187.2100922767749</v>
      </c>
      <c r="F365" s="906">
        <v>157.4270874391178</v>
      </c>
      <c r="G365" s="906">
        <v>180.83829470805441</v>
      </c>
      <c r="H365" s="906">
        <v>198.41655822177904</v>
      </c>
      <c r="I365" s="906">
        <v>216.64201952030527</v>
      </c>
      <c r="J365" s="906">
        <v>228.79975664936245</v>
      </c>
      <c r="K365" s="906">
        <v>241.15463361452254</v>
      </c>
      <c r="L365" s="906">
        <v>252.64480203410886</v>
      </c>
      <c r="M365" s="906">
        <v>265.1637238738445</v>
      </c>
      <c r="N365" s="906">
        <v>278.29776899368039</v>
      </c>
      <c r="O365" s="906">
        <v>289.61773721654419</v>
      </c>
      <c r="P365" s="906">
        <v>303.56832242347855</v>
      </c>
      <c r="Q365" s="906">
        <v>314.41390898844122</v>
      </c>
      <c r="R365" s="906">
        <v>323.63277263436424</v>
      </c>
      <c r="S365" s="906">
        <v>331.42426143912343</v>
      </c>
      <c r="T365" s="906">
        <v>339.57307272400601</v>
      </c>
      <c r="U365" s="906">
        <v>343.93727888891527</v>
      </c>
      <c r="V365" s="906">
        <v>351.82746805051073</v>
      </c>
      <c r="W365" s="906">
        <v>360.73339056833169</v>
      </c>
      <c r="X365" s="906">
        <v>371.92375563686846</v>
      </c>
      <c r="Y365" s="906">
        <v>381.22301587849751</v>
      </c>
      <c r="Z365" s="906">
        <v>389.10731115707301</v>
      </c>
    </row>
    <row r="366" spans="1:70" ht="13.8" thickBot="1" x14ac:dyDescent="0.3">
      <c r="A366" s="904" t="s">
        <v>487</v>
      </c>
      <c r="B366" s="906">
        <v>549.81888270324475</v>
      </c>
      <c r="C366" s="906">
        <v>596.84759521484398</v>
      </c>
      <c r="D366" s="906">
        <v>708.90187629235277</v>
      </c>
      <c r="E366" s="906">
        <v>406.38667462869051</v>
      </c>
      <c r="F366" s="906">
        <v>447.16295305198071</v>
      </c>
      <c r="G366" s="906">
        <v>542.65678113398656</v>
      </c>
      <c r="H366" s="906">
        <v>604.00010341071868</v>
      </c>
      <c r="I366" s="906">
        <v>661.06483901631009</v>
      </c>
      <c r="J366" s="906">
        <v>714.35686387994281</v>
      </c>
      <c r="K366" s="906">
        <v>764.16924059162022</v>
      </c>
      <c r="L366" s="906">
        <v>805.13331786340132</v>
      </c>
      <c r="M366" s="906">
        <v>850.39970498506295</v>
      </c>
      <c r="N366" s="906">
        <v>892.06783074940802</v>
      </c>
      <c r="O366" s="906">
        <v>929.55049698437085</v>
      </c>
      <c r="P366" s="906">
        <v>964.20679928883487</v>
      </c>
      <c r="Q366" s="906">
        <v>990.06920191633094</v>
      </c>
      <c r="R366" s="906">
        <v>1016.1557534719609</v>
      </c>
      <c r="S366" s="906">
        <v>1054.8326731961108</v>
      </c>
      <c r="T366" s="906">
        <v>1091.2729592511287</v>
      </c>
      <c r="U366" s="906">
        <v>1118.0349113947391</v>
      </c>
      <c r="V366" s="906">
        <v>1161.085260138974</v>
      </c>
      <c r="W366" s="906">
        <v>1181.9301954596156</v>
      </c>
      <c r="X366" s="906">
        <v>1232.4560893451367</v>
      </c>
      <c r="Y366" s="906">
        <v>1290.1595195386233</v>
      </c>
      <c r="Z366" s="906">
        <v>1322.0136898683704</v>
      </c>
      <c r="AA366" s="283">
        <f>Z536+($AI$366-$Y$536)/10</f>
        <v>5.5334229650972304</v>
      </c>
      <c r="AB366" s="283">
        <f t="shared" ref="AB366:AH366" si="27">AA366+($AI$366-$Y$536)/10</f>
        <v>5.5639341150042458</v>
      </c>
      <c r="AC366" s="283">
        <f t="shared" si="27"/>
        <v>5.5944452649112613</v>
      </c>
      <c r="AD366" s="283">
        <f t="shared" si="27"/>
        <v>5.6249564148182767</v>
      </c>
      <c r="AE366" s="283">
        <f t="shared" si="27"/>
        <v>5.6554675647252921</v>
      </c>
      <c r="AF366" s="283">
        <f t="shared" si="27"/>
        <v>5.6859787146323075</v>
      </c>
      <c r="AG366" s="283">
        <f t="shared" si="27"/>
        <v>5.716489864539323</v>
      </c>
      <c r="AH366" s="283">
        <f t="shared" si="27"/>
        <v>5.7470010144463384</v>
      </c>
      <c r="AI366" s="284">
        <f>T536*$E$742</f>
        <v>5.7775121643533494</v>
      </c>
      <c r="AJ366" s="283">
        <f>AI366+($AX$366-$AI$366)/15</f>
        <v>5.8429093568498098</v>
      </c>
      <c r="AK366" s="283">
        <f t="shared" ref="AK366:AW366" si="28">AJ366+($AX$366-$AI$366)/15</f>
        <v>5.9083065493462703</v>
      </c>
      <c r="AL366" s="283">
        <f t="shared" si="28"/>
        <v>5.9737037418427308</v>
      </c>
      <c r="AM366" s="283">
        <f t="shared" si="28"/>
        <v>6.0391009343391913</v>
      </c>
      <c r="AN366" s="283">
        <f t="shared" si="28"/>
        <v>6.1044981268356517</v>
      </c>
      <c r="AO366" s="283">
        <f t="shared" si="28"/>
        <v>6.1698953193321122</v>
      </c>
      <c r="AP366" s="283">
        <f t="shared" si="28"/>
        <v>6.2352925118285727</v>
      </c>
      <c r="AQ366" s="283">
        <f t="shared" si="28"/>
        <v>6.3006897043250332</v>
      </c>
      <c r="AR366" s="283">
        <f t="shared" si="28"/>
        <v>6.3660868968214936</v>
      </c>
      <c r="AS366" s="283">
        <f t="shared" si="28"/>
        <v>6.4314840893179541</v>
      </c>
      <c r="AT366" s="283">
        <f t="shared" si="28"/>
        <v>6.4968812818144146</v>
      </c>
      <c r="AU366" s="283">
        <f t="shared" si="28"/>
        <v>6.5622784743108751</v>
      </c>
      <c r="AV366" s="283">
        <f t="shared" si="28"/>
        <v>6.6276756668073356</v>
      </c>
      <c r="AW366" s="283">
        <f t="shared" si="28"/>
        <v>6.693072859303796</v>
      </c>
      <c r="AX366" s="284">
        <f>AI366*$B$742</f>
        <v>6.7584700518002592</v>
      </c>
      <c r="AY366" s="283">
        <f>AX366+($BM$366-$AX$366)/15</f>
        <v>6.8253907547799981</v>
      </c>
      <c r="AZ366" s="283">
        <f t="shared" ref="AZ366:BL366" si="29">AY366+($BM$366-$AX$366)/15</f>
        <v>6.8923114577597371</v>
      </c>
      <c r="BA366" s="283">
        <f t="shared" si="29"/>
        <v>6.959232160739476</v>
      </c>
      <c r="BB366" s="283">
        <f t="shared" si="29"/>
        <v>7.026152863719215</v>
      </c>
      <c r="BC366" s="283">
        <f t="shared" si="29"/>
        <v>7.0930735666989539</v>
      </c>
      <c r="BD366" s="283">
        <f t="shared" si="29"/>
        <v>7.1599942696786929</v>
      </c>
      <c r="BE366" s="283">
        <f t="shared" si="29"/>
        <v>7.2269149726584319</v>
      </c>
      <c r="BF366" s="283">
        <f t="shared" si="29"/>
        <v>7.2938356756381708</v>
      </c>
      <c r="BG366" s="283">
        <f t="shared" si="29"/>
        <v>7.3607563786179098</v>
      </c>
      <c r="BH366" s="283">
        <f t="shared" si="29"/>
        <v>7.4276770815976487</v>
      </c>
      <c r="BI366" s="283">
        <f t="shared" si="29"/>
        <v>7.4945977845773877</v>
      </c>
      <c r="BJ366" s="283">
        <f t="shared" si="29"/>
        <v>7.5615184875571266</v>
      </c>
      <c r="BK366" s="283">
        <f t="shared" si="29"/>
        <v>7.6284391905368656</v>
      </c>
      <c r="BL366" s="283">
        <f t="shared" si="29"/>
        <v>7.6953598935166045</v>
      </c>
      <c r="BM366" s="284">
        <f>AX366*$C$742</f>
        <v>7.7622805964963462</v>
      </c>
      <c r="BN366" s="283">
        <f>BM366+($BR$366-$BM$366)/5</f>
        <v>7.8391407838260445</v>
      </c>
      <c r="BO366" s="283">
        <f>BN366+($BR$366-$BM$366)/5</f>
        <v>7.9160009711557429</v>
      </c>
      <c r="BP366" s="283">
        <f>BO366+($BR$366-$BM$366)/5</f>
        <v>7.9928611584854412</v>
      </c>
      <c r="BQ366" s="283">
        <f>BP366+($BR$366-$BM$366)/5</f>
        <v>8.0697213458151396</v>
      </c>
      <c r="BR366" s="284">
        <f>BM366*$D$742</f>
        <v>8.1465815331448379</v>
      </c>
    </row>
    <row r="367" spans="1:70" x14ac:dyDescent="0.25">
      <c r="A367" s="904" t="s">
        <v>516</v>
      </c>
      <c r="B367" s="906">
        <v>1151.0859678463546</v>
      </c>
      <c r="C367" s="906">
        <v>1235.02709960938</v>
      </c>
      <c r="D367" s="906">
        <v>1405.9186066996403</v>
      </c>
      <c r="E367" s="906">
        <v>993.73713091111074</v>
      </c>
      <c r="F367" s="906">
        <v>991.07514876947641</v>
      </c>
      <c r="G367" s="906">
        <v>1131.7003147881212</v>
      </c>
      <c r="H367" s="906">
        <v>1221.038560105055</v>
      </c>
      <c r="I367" s="906">
        <v>1307.1547250090439</v>
      </c>
      <c r="J367" s="906">
        <v>1389.9450601614428</v>
      </c>
      <c r="K367" s="906">
        <v>1469.7993497059265</v>
      </c>
      <c r="L367" s="906">
        <v>1544.0421618496678</v>
      </c>
      <c r="M367" s="906">
        <v>1624.4209976542634</v>
      </c>
      <c r="N367" s="906">
        <v>1703.8854780296228</v>
      </c>
      <c r="O367" s="906">
        <v>1776.9868521708881</v>
      </c>
      <c r="P367" s="906">
        <v>1854.0622550605767</v>
      </c>
      <c r="Q367" s="906">
        <v>1917.5679054742993</v>
      </c>
      <c r="R367" s="906">
        <v>1978.3954213642144</v>
      </c>
      <c r="S367" s="906">
        <v>2044.5889248527621</v>
      </c>
      <c r="T367" s="906">
        <v>2112.8417777408945</v>
      </c>
      <c r="U367" s="906">
        <v>2163.9271994062915</v>
      </c>
      <c r="V367" s="906">
        <v>2241.4031618089139</v>
      </c>
      <c r="W367" s="906">
        <v>2303.558949985179</v>
      </c>
      <c r="X367" s="906">
        <v>2401.4612280803153</v>
      </c>
      <c r="Y367" s="906">
        <v>2501.5410135735665</v>
      </c>
      <c r="Z367" s="906">
        <v>2576.2560875804752</v>
      </c>
    </row>
    <row r="368" spans="1:70" ht="13.8" thickBot="1" x14ac:dyDescent="0.3">
      <c r="A368" s="904" t="s">
        <v>629</v>
      </c>
      <c r="B368" s="906">
        <v>3.1288517293273019E-2</v>
      </c>
      <c r="C368" s="906">
        <v>4.0145620703697205E-2</v>
      </c>
      <c r="D368" s="906">
        <v>3.8515830891447944E-2</v>
      </c>
      <c r="E368" s="906">
        <v>2.6303627333810531E-2</v>
      </c>
      <c r="F368" s="906">
        <v>5.6047443014104255E-2</v>
      </c>
      <c r="G368" s="906">
        <v>7.1119337023784479E-2</v>
      </c>
      <c r="H368" s="906">
        <v>8.8428224145552056E-2</v>
      </c>
      <c r="I368" s="906">
        <v>0.10266115711707489</v>
      </c>
      <c r="J368" s="906">
        <v>0.12491143634290662</v>
      </c>
      <c r="K368" s="906">
        <v>2.2293869286864165</v>
      </c>
      <c r="L368" s="906">
        <v>5.6123954184121017</v>
      </c>
      <c r="M368" s="906">
        <v>7.9566359351664051</v>
      </c>
      <c r="N368" s="906">
        <v>12.724991751969894</v>
      </c>
      <c r="O368" s="906">
        <v>19.495647700796784</v>
      </c>
      <c r="P368" s="906">
        <v>28.06371652814466</v>
      </c>
      <c r="Q368" s="906">
        <v>33.841758141316177</v>
      </c>
      <c r="R368" s="906">
        <v>47.452021910622882</v>
      </c>
      <c r="S368" s="906">
        <v>48.667640008057987</v>
      </c>
      <c r="T368" s="906">
        <v>47.767774332439714</v>
      </c>
      <c r="U368" s="906">
        <v>50.842459413568172</v>
      </c>
      <c r="V368" s="906">
        <v>54.12672288853372</v>
      </c>
      <c r="W368" s="906">
        <v>67.349033728123644</v>
      </c>
      <c r="X368" s="906">
        <v>72.870357898145016</v>
      </c>
      <c r="Y368" s="906">
        <v>82.472655922369356</v>
      </c>
      <c r="Z368" s="906">
        <v>85.74303480046683</v>
      </c>
    </row>
    <row r="369" spans="1:70" ht="13.8" thickBot="1" x14ac:dyDescent="0.3">
      <c r="A369" s="904" t="s">
        <v>518</v>
      </c>
      <c r="B369" s="906">
        <v>1151.1172301979784</v>
      </c>
      <c r="C369" s="906">
        <v>1235.06726074219</v>
      </c>
      <c r="D369" s="906">
        <v>1405.957155546361</v>
      </c>
      <c r="E369" s="906">
        <v>993.76346133595302</v>
      </c>
      <c r="F369" s="906">
        <v>991.13120249830877</v>
      </c>
      <c r="G369" s="906">
        <v>1131.7714475332546</v>
      </c>
      <c r="H369" s="906">
        <v>1221.1269368042056</v>
      </c>
      <c r="I369" s="906">
        <v>1307.2573637523753</v>
      </c>
      <c r="J369" s="906">
        <v>1390.0699789505047</v>
      </c>
      <c r="K369" s="906">
        <v>1472.0286986549243</v>
      </c>
      <c r="L369" s="906">
        <v>1549.6545225531884</v>
      </c>
      <c r="M369" s="906">
        <v>1632.3776685401217</v>
      </c>
      <c r="N369" s="906">
        <v>1716.6105344121597</v>
      </c>
      <c r="O369" s="906">
        <v>1796.4824632434897</v>
      </c>
      <c r="P369" s="906">
        <v>1882.1259667447755</v>
      </c>
      <c r="Q369" s="906">
        <v>1951.4096785174786</v>
      </c>
      <c r="R369" s="906">
        <v>2025.8475094892897</v>
      </c>
      <c r="S369" s="906">
        <v>2093.2565961526161</v>
      </c>
      <c r="T369" s="906">
        <v>2160.609578738799</v>
      </c>
      <c r="U369" s="906">
        <v>2214.7697023873047</v>
      </c>
      <c r="V369" s="906">
        <v>2295.5298624598372</v>
      </c>
      <c r="W369" s="906">
        <v>2370.9079156203875</v>
      </c>
      <c r="X369" s="906">
        <v>2474.3315685955818</v>
      </c>
      <c r="Y369" s="906">
        <v>2584.0136458368329</v>
      </c>
      <c r="Z369" s="906">
        <v>2661.9990499371279</v>
      </c>
      <c r="AA369" s="285">
        <f>Z539+($AI$369-$Y$539)/10</f>
        <v>15.611683809514826</v>
      </c>
      <c r="AB369" s="285">
        <f t="shared" ref="AB369:AH369" si="30">AA369+($AI$369-$Y$539)/10</f>
        <v>15.541748469704389</v>
      </c>
      <c r="AC369" s="285">
        <f t="shared" si="30"/>
        <v>15.471813129893953</v>
      </c>
      <c r="AD369" s="285">
        <f t="shared" si="30"/>
        <v>15.401877790083516</v>
      </c>
      <c r="AE369" s="285">
        <f t="shared" si="30"/>
        <v>15.331942450273079</v>
      </c>
      <c r="AF369" s="285">
        <f t="shared" si="30"/>
        <v>15.262007110462642</v>
      </c>
      <c r="AG369" s="285">
        <f t="shared" si="30"/>
        <v>15.192071770652205</v>
      </c>
      <c r="AH369" s="285">
        <f t="shared" si="30"/>
        <v>15.122136430841769</v>
      </c>
      <c r="AI369" s="286">
        <f>T539*$E$745</f>
        <v>15.052201091031337</v>
      </c>
      <c r="AJ369" s="285">
        <f>AI369+($AX$369-$AI$369)/15</f>
        <v>15.046283758755285</v>
      </c>
      <c r="AK369" s="285">
        <f t="shared" ref="AK369:AW369" si="31">AJ369+($AX$369-$AI$369)/15</f>
        <v>15.040366426479233</v>
      </c>
      <c r="AL369" s="285">
        <f t="shared" si="31"/>
        <v>15.034449094203181</v>
      </c>
      <c r="AM369" s="285">
        <f t="shared" si="31"/>
        <v>15.028531761927129</v>
      </c>
      <c r="AN369" s="285">
        <f t="shared" si="31"/>
        <v>15.022614429651076</v>
      </c>
      <c r="AO369" s="285">
        <f t="shared" si="31"/>
        <v>15.016697097375024</v>
      </c>
      <c r="AP369" s="285">
        <f t="shared" si="31"/>
        <v>15.010779765098972</v>
      </c>
      <c r="AQ369" s="285">
        <f t="shared" si="31"/>
        <v>15.00486243282292</v>
      </c>
      <c r="AR369" s="285">
        <f t="shared" si="31"/>
        <v>14.998945100546868</v>
      </c>
      <c r="AS369" s="285">
        <f t="shared" si="31"/>
        <v>14.993027768270816</v>
      </c>
      <c r="AT369" s="285">
        <f t="shared" si="31"/>
        <v>14.987110435994763</v>
      </c>
      <c r="AU369" s="285">
        <f t="shared" si="31"/>
        <v>14.981193103718711</v>
      </c>
      <c r="AV369" s="285">
        <f t="shared" si="31"/>
        <v>14.975275771442659</v>
      </c>
      <c r="AW369" s="285">
        <f t="shared" si="31"/>
        <v>14.969358439166607</v>
      </c>
      <c r="AX369" s="286">
        <f>AI369*$B$745</f>
        <v>14.963441106890555</v>
      </c>
      <c r="AY369" s="285">
        <f>AX369+($BM$369-$AX$369)/15</f>
        <v>14.972946595029557</v>
      </c>
      <c r="AZ369" s="285">
        <f t="shared" ref="AZ369:BL369" si="32">AY369+($BM$369-$AX$369)/15</f>
        <v>14.982452083168559</v>
      </c>
      <c r="BA369" s="285">
        <f t="shared" si="32"/>
        <v>14.991957571307561</v>
      </c>
      <c r="BB369" s="285">
        <f t="shared" si="32"/>
        <v>15.001463059446563</v>
      </c>
      <c r="BC369" s="285">
        <f t="shared" si="32"/>
        <v>15.010968547585565</v>
      </c>
      <c r="BD369" s="285">
        <f t="shared" si="32"/>
        <v>15.020474035724567</v>
      </c>
      <c r="BE369" s="285">
        <f t="shared" si="32"/>
        <v>15.029979523863569</v>
      </c>
      <c r="BF369" s="285">
        <f t="shared" si="32"/>
        <v>15.03948501200257</v>
      </c>
      <c r="BG369" s="285">
        <f t="shared" si="32"/>
        <v>15.048990500141572</v>
      </c>
      <c r="BH369" s="285">
        <f t="shared" si="32"/>
        <v>15.058495988280574</v>
      </c>
      <c r="BI369" s="285">
        <f t="shared" si="32"/>
        <v>15.068001476419576</v>
      </c>
      <c r="BJ369" s="285">
        <f t="shared" si="32"/>
        <v>15.077506964558578</v>
      </c>
      <c r="BK369" s="285">
        <f t="shared" si="32"/>
        <v>15.08701245269758</v>
      </c>
      <c r="BL369" s="285">
        <f t="shared" si="32"/>
        <v>15.096517940836582</v>
      </c>
      <c r="BM369" s="286">
        <f>AX369*$C$745</f>
        <v>15.106023428975591</v>
      </c>
      <c r="BN369" s="285">
        <f>BM369+($BR$369-$BM$369)/5</f>
        <v>15.115619492174282</v>
      </c>
      <c r="BO369" s="285">
        <f>BN369+($BR$369-$BM$369)/5</f>
        <v>15.125215555372973</v>
      </c>
      <c r="BP369" s="285">
        <f>BO369+($BR$369-$BM$369)/5</f>
        <v>15.134811618571664</v>
      </c>
      <c r="BQ369" s="285">
        <f>BP369+($BR$369-$BM$369)/5</f>
        <v>15.144407681770355</v>
      </c>
      <c r="BR369" s="286">
        <f>BM369*$D$745</f>
        <v>15.154003744969049</v>
      </c>
    </row>
    <row r="373" spans="1:70" ht="13.8" thickBot="1" x14ac:dyDescent="0.3">
      <c r="A373" s="904" t="s">
        <v>630</v>
      </c>
    </row>
    <row r="374" spans="1:70" ht="13.8" thickBot="1" x14ac:dyDescent="0.3">
      <c r="A374" s="904" t="s">
        <v>631</v>
      </c>
      <c r="AA374" s="287">
        <f>Z544+($AI$374-$Y$544)/10</f>
        <v>11.584123362673006</v>
      </c>
      <c r="AB374" s="287">
        <f t="shared" ref="AB374:AH374" si="33">AA374+($AI$374-$Y$544)/10</f>
        <v>11.952852829654059</v>
      </c>
      <c r="AC374" s="287">
        <f t="shared" si="33"/>
        <v>12.321582296635112</v>
      </c>
      <c r="AD374" s="287">
        <f t="shared" si="33"/>
        <v>12.690311763616165</v>
      </c>
      <c r="AE374" s="287">
        <f t="shared" si="33"/>
        <v>13.059041230597218</v>
      </c>
      <c r="AF374" s="287">
        <f t="shared" si="33"/>
        <v>13.427770697578271</v>
      </c>
      <c r="AG374" s="287">
        <f t="shared" si="33"/>
        <v>13.796500164559324</v>
      </c>
      <c r="AH374" s="287">
        <f t="shared" si="33"/>
        <v>14.165229631540377</v>
      </c>
      <c r="AI374" s="288">
        <f>T544*$E$744</f>
        <v>14.533959098521429</v>
      </c>
      <c r="AJ374" s="287">
        <f>AI374+($AX$374-$AI$374)/15</f>
        <v>14.687791105011014</v>
      </c>
      <c r="AK374" s="287">
        <f t="shared" ref="AK374:AW374" si="34">AJ374+($AX$374-$AI$374)/15</f>
        <v>14.841623111500599</v>
      </c>
      <c r="AL374" s="287">
        <f t="shared" si="34"/>
        <v>14.995455117990184</v>
      </c>
      <c r="AM374" s="287">
        <f t="shared" si="34"/>
        <v>15.14928712447977</v>
      </c>
      <c r="AN374" s="287">
        <f t="shared" si="34"/>
        <v>15.303119130969355</v>
      </c>
      <c r="AO374" s="287">
        <f t="shared" si="34"/>
        <v>15.45695113745894</v>
      </c>
      <c r="AP374" s="287">
        <f t="shared" si="34"/>
        <v>15.610783143948526</v>
      </c>
      <c r="AQ374" s="287">
        <f t="shared" si="34"/>
        <v>15.764615150438111</v>
      </c>
      <c r="AR374" s="287">
        <f t="shared" si="34"/>
        <v>15.918447156927696</v>
      </c>
      <c r="AS374" s="287">
        <f t="shared" si="34"/>
        <v>16.072279163417281</v>
      </c>
      <c r="AT374" s="287">
        <f t="shared" si="34"/>
        <v>16.226111169906865</v>
      </c>
      <c r="AU374" s="287">
        <f t="shared" si="34"/>
        <v>16.379943176396448</v>
      </c>
      <c r="AV374" s="287">
        <f t="shared" si="34"/>
        <v>16.533775182886032</v>
      </c>
      <c r="AW374" s="287">
        <f t="shared" si="34"/>
        <v>16.687607189375615</v>
      </c>
      <c r="AX374" s="288">
        <f>AI374*$B$744</f>
        <v>16.841439195865195</v>
      </c>
      <c r="AY374" s="287">
        <f>AX374+($BM$374-$AX$374)/15</f>
        <v>16.937333989857837</v>
      </c>
      <c r="AZ374" s="287">
        <f t="shared" ref="AZ374:BL374" si="35">AY374+($BM$374-$AX$374)/15</f>
        <v>17.033228783850479</v>
      </c>
      <c r="BA374" s="287">
        <f t="shared" si="35"/>
        <v>17.129123577843121</v>
      </c>
      <c r="BB374" s="287">
        <f t="shared" si="35"/>
        <v>17.225018371835763</v>
      </c>
      <c r="BC374" s="287">
        <f t="shared" si="35"/>
        <v>17.320913165828404</v>
      </c>
      <c r="BD374" s="287">
        <f t="shared" si="35"/>
        <v>17.416807959821046</v>
      </c>
      <c r="BE374" s="287">
        <f t="shared" si="35"/>
        <v>17.512702753813688</v>
      </c>
      <c r="BF374" s="287">
        <f t="shared" si="35"/>
        <v>17.60859754780633</v>
      </c>
      <c r="BG374" s="287">
        <f t="shared" si="35"/>
        <v>17.704492341798971</v>
      </c>
      <c r="BH374" s="287">
        <f t="shared" si="35"/>
        <v>17.800387135791613</v>
      </c>
      <c r="BI374" s="287">
        <f t="shared" si="35"/>
        <v>17.896281929784255</v>
      </c>
      <c r="BJ374" s="287">
        <f t="shared" si="35"/>
        <v>17.992176723776897</v>
      </c>
      <c r="BK374" s="287">
        <f t="shared" si="35"/>
        <v>18.088071517769539</v>
      </c>
      <c r="BL374" s="287">
        <f t="shared" si="35"/>
        <v>18.18396631176218</v>
      </c>
      <c r="BM374" s="288">
        <f>AX374*$C$744</f>
        <v>18.27986110575484</v>
      </c>
      <c r="BN374" s="287">
        <f>BM374+($BR$374-$BM$374)/5</f>
        <v>18.383946243287554</v>
      </c>
      <c r="BO374" s="287">
        <f>BN374+($BR$374-$BM$374)/5</f>
        <v>18.488031380820267</v>
      </c>
      <c r="BP374" s="287">
        <f>BO374+($BR$374-$BM$374)/5</f>
        <v>18.592116518352981</v>
      </c>
      <c r="BQ374" s="287">
        <f>BP374+($BR$374-$BM$374)/5</f>
        <v>18.696201655885694</v>
      </c>
      <c r="BR374" s="288">
        <f>BM374*$D$744</f>
        <v>18.800286793418415</v>
      </c>
    </row>
    <row r="375" spans="1:70" ht="13.8" thickBot="1" x14ac:dyDescent="0.3">
      <c r="A375" s="904" t="s">
        <v>632</v>
      </c>
    </row>
    <row r="376" spans="1:70" ht="13.8" thickBot="1" x14ac:dyDescent="0.3">
      <c r="A376" s="904" t="s">
        <v>728</v>
      </c>
      <c r="AA376" s="287">
        <f>Z546+($AI$376-$Y$546)/10</f>
        <v>13.665763245709009</v>
      </c>
      <c r="AB376" s="287">
        <f t="shared" ref="AB376:AH376" si="36">AA376+($AI$376-$Y$546)/10</f>
        <v>14.091688195895063</v>
      </c>
      <c r="AC376" s="287">
        <f t="shared" si="36"/>
        <v>14.517613146081118</v>
      </c>
      <c r="AD376" s="287">
        <f t="shared" si="36"/>
        <v>14.943538096267172</v>
      </c>
      <c r="AE376" s="287">
        <f t="shared" si="36"/>
        <v>15.369463046453227</v>
      </c>
      <c r="AF376" s="287">
        <f t="shared" si="36"/>
        <v>15.795387996639281</v>
      </c>
      <c r="AG376" s="287">
        <f t="shared" si="36"/>
        <v>16.221312946825336</v>
      </c>
      <c r="AH376" s="287">
        <f t="shared" si="36"/>
        <v>16.64723789701139</v>
      </c>
      <c r="AI376" s="288">
        <f>T546*$E$744</f>
        <v>17.073162847197445</v>
      </c>
      <c r="AJ376" s="287">
        <f>AI376+($AX$376-$AI$376)/15</f>
        <v>17.253870586919582</v>
      </c>
      <c r="AK376" s="287">
        <f t="shared" ref="AK376:AW376" si="37">AJ376+($AX$376-$AI$376)/15</f>
        <v>17.43457832664172</v>
      </c>
      <c r="AL376" s="287">
        <f t="shared" si="37"/>
        <v>17.615286066363858</v>
      </c>
      <c r="AM376" s="287">
        <f t="shared" si="37"/>
        <v>17.795993806085995</v>
      </c>
      <c r="AN376" s="287">
        <f t="shared" si="37"/>
        <v>17.976701545808133</v>
      </c>
      <c r="AO376" s="287">
        <f t="shared" si="37"/>
        <v>18.157409285530271</v>
      </c>
      <c r="AP376" s="287">
        <f t="shared" si="37"/>
        <v>18.338117025252409</v>
      </c>
      <c r="AQ376" s="287">
        <f t="shared" si="37"/>
        <v>18.518824764974546</v>
      </c>
      <c r="AR376" s="287">
        <f t="shared" si="37"/>
        <v>18.699532504696684</v>
      </c>
      <c r="AS376" s="287">
        <f t="shared" si="37"/>
        <v>18.880240244418822</v>
      </c>
      <c r="AT376" s="287">
        <f t="shared" si="37"/>
        <v>19.060947984140959</v>
      </c>
      <c r="AU376" s="287">
        <f t="shared" si="37"/>
        <v>19.241655723863097</v>
      </c>
      <c r="AV376" s="287">
        <f t="shared" si="37"/>
        <v>19.422363463585235</v>
      </c>
      <c r="AW376" s="287">
        <f t="shared" si="37"/>
        <v>19.603071203307373</v>
      </c>
      <c r="AX376" s="288">
        <f>AI376*$B$744</f>
        <v>19.783778943029514</v>
      </c>
      <c r="AY376" s="287">
        <f>AX376+($BM$376-$AX$376)/15</f>
        <v>19.896427356509733</v>
      </c>
      <c r="AZ376" s="287">
        <f t="shared" ref="AZ376:BL376" si="38">AY376+($BM$376-$AX$376)/15</f>
        <v>20.009075769989952</v>
      </c>
      <c r="BA376" s="287">
        <f t="shared" si="38"/>
        <v>20.121724183470171</v>
      </c>
      <c r="BB376" s="287">
        <f t="shared" si="38"/>
        <v>20.23437259695039</v>
      </c>
      <c r="BC376" s="287">
        <f t="shared" si="38"/>
        <v>20.347021010430609</v>
      </c>
      <c r="BD376" s="287">
        <f t="shared" si="38"/>
        <v>20.459669423910828</v>
      </c>
      <c r="BE376" s="287">
        <f t="shared" si="38"/>
        <v>20.572317837391047</v>
      </c>
      <c r="BF376" s="287">
        <f t="shared" si="38"/>
        <v>20.684966250871266</v>
      </c>
      <c r="BG376" s="287">
        <f t="shared" si="38"/>
        <v>20.797614664351485</v>
      </c>
      <c r="BH376" s="287">
        <f t="shared" si="38"/>
        <v>20.910263077831704</v>
      </c>
      <c r="BI376" s="287">
        <f t="shared" si="38"/>
        <v>21.022911491311923</v>
      </c>
      <c r="BJ376" s="287">
        <f t="shared" si="38"/>
        <v>21.135559904792142</v>
      </c>
      <c r="BK376" s="287">
        <f t="shared" si="38"/>
        <v>21.248208318272361</v>
      </c>
      <c r="BL376" s="287">
        <f t="shared" si="38"/>
        <v>21.36085673175258</v>
      </c>
      <c r="BM376" s="288">
        <f>AX376*$C$744</f>
        <v>21.47350514523281</v>
      </c>
      <c r="BN376" s="287">
        <f>BM376+($BR$376-$BM$376)/5</f>
        <v>21.595774823509927</v>
      </c>
      <c r="BO376" s="287">
        <f>BN376+($BR$376-$BM$376)/5</f>
        <v>21.718044501787045</v>
      </c>
      <c r="BP376" s="287">
        <f>BO376+($BR$376-$BM$376)/5</f>
        <v>21.840314180064162</v>
      </c>
      <c r="BQ376" s="287">
        <f>BP376+($BR$376-$BM$376)/5</f>
        <v>21.962583858341279</v>
      </c>
      <c r="BR376" s="288">
        <f>BM376*$D$744</f>
        <v>22.084853536618393</v>
      </c>
    </row>
    <row r="377" spans="1:70" x14ac:dyDescent="0.25">
      <c r="A377" s="904" t="s">
        <v>729</v>
      </c>
    </row>
    <row r="378" spans="1:70" x14ac:dyDescent="0.25">
      <c r="A378" s="904" t="s">
        <v>649</v>
      </c>
    </row>
    <row r="379" spans="1:70" ht="13.8" thickBot="1" x14ac:dyDescent="0.3">
      <c r="A379" s="904" t="s">
        <v>650</v>
      </c>
    </row>
    <row r="380" spans="1:70" ht="13.8" thickBot="1" x14ac:dyDescent="0.3">
      <c r="A380" s="904" t="s">
        <v>651</v>
      </c>
      <c r="AA380" s="289">
        <f>Z550+($AI$380-$Y$550)/10</f>
        <v>17.944433063730909</v>
      </c>
      <c r="AB380" s="289">
        <f t="shared" ref="AB380:AH380" si="39">AA380+($AI$380-$Y$550)/10</f>
        <v>17.852387205459664</v>
      </c>
      <c r="AC380" s="289">
        <f t="shared" si="39"/>
        <v>17.760341347188419</v>
      </c>
      <c r="AD380" s="289">
        <f t="shared" si="39"/>
        <v>17.668295488917174</v>
      </c>
      <c r="AE380" s="289">
        <f t="shared" si="39"/>
        <v>17.576249630645929</v>
      </c>
      <c r="AF380" s="289">
        <f t="shared" si="39"/>
        <v>17.484203772374684</v>
      </c>
      <c r="AG380" s="289">
        <f t="shared" si="39"/>
        <v>17.392157914103439</v>
      </c>
      <c r="AH380" s="289">
        <f t="shared" si="39"/>
        <v>17.300112055832194</v>
      </c>
      <c r="AI380" s="290">
        <f>T550*$E$747</f>
        <v>17.208066197560942</v>
      </c>
      <c r="AJ380" s="289">
        <f>AI380+($AX$380-$AI$380)/15</f>
        <v>17.219509839491277</v>
      </c>
      <c r="AK380" s="289">
        <f t="shared" ref="AK380:AW380" si="40">AJ380+($AX$380-$AI$380)/15</f>
        <v>17.230953481421611</v>
      </c>
      <c r="AL380" s="289">
        <f t="shared" si="40"/>
        <v>17.242397123351946</v>
      </c>
      <c r="AM380" s="289">
        <f t="shared" si="40"/>
        <v>17.253840765282281</v>
      </c>
      <c r="AN380" s="289">
        <f t="shared" si="40"/>
        <v>17.265284407212615</v>
      </c>
      <c r="AO380" s="289">
        <f t="shared" si="40"/>
        <v>17.27672804914295</v>
      </c>
      <c r="AP380" s="289">
        <f t="shared" si="40"/>
        <v>17.288171691073284</v>
      </c>
      <c r="AQ380" s="289">
        <f t="shared" si="40"/>
        <v>17.299615333003619</v>
      </c>
      <c r="AR380" s="289">
        <f t="shared" si="40"/>
        <v>17.311058974933953</v>
      </c>
      <c r="AS380" s="289">
        <f t="shared" si="40"/>
        <v>17.322502616864288</v>
      </c>
      <c r="AT380" s="289">
        <f t="shared" si="40"/>
        <v>17.333946258794622</v>
      </c>
      <c r="AU380" s="289">
        <f t="shared" si="40"/>
        <v>17.345389900724957</v>
      </c>
      <c r="AV380" s="289">
        <f t="shared" si="40"/>
        <v>17.356833542655291</v>
      </c>
      <c r="AW380" s="289">
        <f t="shared" si="40"/>
        <v>17.368277184585626</v>
      </c>
      <c r="AX380" s="290">
        <f>AI380*$B$747</f>
        <v>17.379720826515971</v>
      </c>
      <c r="AY380" s="289">
        <f>AX380+($BM$380-$AX$380)/15</f>
        <v>17.385626979648983</v>
      </c>
      <c r="AZ380" s="289">
        <f t="shared" ref="AZ380:BL380" si="41">AY380+($BM$380-$AX$380)/15</f>
        <v>17.391533132781994</v>
      </c>
      <c r="BA380" s="289">
        <f t="shared" si="41"/>
        <v>17.397439285915006</v>
      </c>
      <c r="BB380" s="289">
        <f t="shared" si="41"/>
        <v>17.403345439048017</v>
      </c>
      <c r="BC380" s="289">
        <f t="shared" si="41"/>
        <v>17.409251592181029</v>
      </c>
      <c r="BD380" s="289">
        <f t="shared" si="41"/>
        <v>17.41515774531404</v>
      </c>
      <c r="BE380" s="289">
        <f t="shared" si="41"/>
        <v>17.421063898447052</v>
      </c>
      <c r="BF380" s="289">
        <f t="shared" si="41"/>
        <v>17.426970051580064</v>
      </c>
      <c r="BG380" s="289">
        <f t="shared" si="41"/>
        <v>17.432876204713075</v>
      </c>
      <c r="BH380" s="289">
        <f t="shared" si="41"/>
        <v>17.438782357846087</v>
      </c>
      <c r="BI380" s="289">
        <f t="shared" si="41"/>
        <v>17.444688510979098</v>
      </c>
      <c r="BJ380" s="289">
        <f t="shared" si="41"/>
        <v>17.45059466411211</v>
      </c>
      <c r="BK380" s="289">
        <f t="shared" si="41"/>
        <v>17.456500817245121</v>
      </c>
      <c r="BL380" s="289">
        <f t="shared" si="41"/>
        <v>17.462406970378133</v>
      </c>
      <c r="BM380" s="290">
        <f>AX380*$C$747</f>
        <v>17.468313123511169</v>
      </c>
      <c r="BN380" s="289">
        <f>BM380+($BR$380-$BM$380)/5</f>
        <v>17.474249382977746</v>
      </c>
      <c r="BO380" s="289">
        <f>BN380+($BR$380-$BM$380)/5</f>
        <v>17.480185642444322</v>
      </c>
      <c r="BP380" s="289">
        <f>BO380+($BR$380-$BM$380)/5</f>
        <v>17.486121901910899</v>
      </c>
      <c r="BQ380" s="289">
        <f>BP380+($BR$380-$BM$380)/5</f>
        <v>17.492058161377475</v>
      </c>
      <c r="BR380" s="290">
        <f>BM380*$D$747</f>
        <v>17.497994420844059</v>
      </c>
    </row>
    <row r="381" spans="1:70" x14ac:dyDescent="0.25">
      <c r="A381" s="904" t="s">
        <v>652</v>
      </c>
    </row>
    <row r="382" spans="1:70" x14ac:dyDescent="0.25">
      <c r="A382" s="904" t="s">
        <v>653</v>
      </c>
    </row>
    <row r="383" spans="1:70" x14ac:dyDescent="0.25">
      <c r="A383" s="904" t="s">
        <v>654</v>
      </c>
    </row>
    <row r="384" spans="1:70" x14ac:dyDescent="0.25">
      <c r="A384" s="904" t="s">
        <v>545</v>
      </c>
    </row>
    <row r="385" spans="1:70" x14ac:dyDescent="0.25">
      <c r="A385" s="904" t="s">
        <v>730</v>
      </c>
    </row>
    <row r="386" spans="1:70" x14ac:dyDescent="0.25">
      <c r="A386" s="904" t="s">
        <v>731</v>
      </c>
    </row>
    <row r="387" spans="1:70" x14ac:dyDescent="0.25">
      <c r="A387" s="904" t="s">
        <v>732</v>
      </c>
    </row>
    <row r="388" spans="1:70" x14ac:dyDescent="0.25">
      <c r="A388" s="904" t="s">
        <v>733</v>
      </c>
    </row>
    <row r="389" spans="1:70" x14ac:dyDescent="0.25">
      <c r="A389" s="904" t="s">
        <v>734</v>
      </c>
    </row>
    <row r="390" spans="1:70" x14ac:dyDescent="0.25">
      <c r="A390" s="904" t="s">
        <v>735</v>
      </c>
    </row>
    <row r="391" spans="1:70" ht="13.8" thickBot="1" x14ac:dyDescent="0.3">
      <c r="A391" s="904" t="s">
        <v>736</v>
      </c>
    </row>
    <row r="392" spans="1:70" ht="13.8" thickBot="1" x14ac:dyDescent="0.3">
      <c r="A392" s="904" t="s">
        <v>737</v>
      </c>
      <c r="AA392" s="283">
        <f>Z562+($AI$392-$Y$562)/10</f>
        <v>5.5024940130181221</v>
      </c>
      <c r="AB392" s="283">
        <f t="shared" ref="AB392:AH392" si="42">AA392+($AI$392-$Y$562)/10</f>
        <v>5.5327298577229831</v>
      </c>
      <c r="AC392" s="283">
        <f t="shared" si="42"/>
        <v>5.5629657024278441</v>
      </c>
      <c r="AD392" s="283">
        <f t="shared" si="42"/>
        <v>5.593201547132705</v>
      </c>
      <c r="AE392" s="283">
        <f t="shared" si="42"/>
        <v>5.623437391837566</v>
      </c>
      <c r="AF392" s="283">
        <f t="shared" si="42"/>
        <v>5.6536732365424269</v>
      </c>
      <c r="AG392" s="283">
        <f t="shared" si="42"/>
        <v>5.6839090812472879</v>
      </c>
      <c r="AH392" s="283">
        <f t="shared" si="42"/>
        <v>5.7141449259521488</v>
      </c>
      <c r="AI392" s="284">
        <f>T562*$E$742</f>
        <v>5.7443807706570116</v>
      </c>
      <c r="AJ392" s="283">
        <f>AI392+($AX$392-$AI$392)/15</f>
        <v>5.809402940121136</v>
      </c>
      <c r="AK392" s="283">
        <f t="shared" ref="AK392:AW392" si="43">AJ392+($AX$392-$AI$392)/15</f>
        <v>5.8744251095852604</v>
      </c>
      <c r="AL392" s="283">
        <f t="shared" si="43"/>
        <v>5.9394472790493849</v>
      </c>
      <c r="AM392" s="283">
        <f t="shared" si="43"/>
        <v>6.0044694485135093</v>
      </c>
      <c r="AN392" s="283">
        <f t="shared" si="43"/>
        <v>6.0694916179776337</v>
      </c>
      <c r="AO392" s="283">
        <f t="shared" si="43"/>
        <v>6.1345137874417581</v>
      </c>
      <c r="AP392" s="283">
        <f t="shared" si="43"/>
        <v>6.1995359569058825</v>
      </c>
      <c r="AQ392" s="283">
        <f t="shared" si="43"/>
        <v>6.264558126370007</v>
      </c>
      <c r="AR392" s="283">
        <f t="shared" si="43"/>
        <v>6.3295802958341314</v>
      </c>
      <c r="AS392" s="283">
        <f t="shared" si="43"/>
        <v>6.3946024652982558</v>
      </c>
      <c r="AT392" s="283">
        <f t="shared" si="43"/>
        <v>6.4596246347623802</v>
      </c>
      <c r="AU392" s="283">
        <f t="shared" si="43"/>
        <v>6.5246468042265047</v>
      </c>
      <c r="AV392" s="283">
        <f t="shared" si="43"/>
        <v>6.5896689736906291</v>
      </c>
      <c r="AW392" s="283">
        <f t="shared" si="43"/>
        <v>6.6546911431547535</v>
      </c>
      <c r="AX392" s="284">
        <f>AI392*$B$742</f>
        <v>6.7197133126188779</v>
      </c>
      <c r="AY392" s="283">
        <f>AX392+($BM$392-$AX$392)/15</f>
        <v>6.7862502559294402</v>
      </c>
      <c r="AZ392" s="283">
        <f t="shared" ref="AZ392:BL392" si="44">AY392+($BM$392-$AX$392)/15</f>
        <v>6.8527871992400025</v>
      </c>
      <c r="BA392" s="283">
        <f t="shared" si="44"/>
        <v>6.9193241425505647</v>
      </c>
      <c r="BB392" s="283">
        <f t="shared" si="44"/>
        <v>6.985861085861127</v>
      </c>
      <c r="BC392" s="283">
        <f t="shared" si="44"/>
        <v>7.0523980291716892</v>
      </c>
      <c r="BD392" s="283">
        <f t="shared" si="44"/>
        <v>7.1189349724822515</v>
      </c>
      <c r="BE392" s="283">
        <f t="shared" si="44"/>
        <v>7.1854719157928137</v>
      </c>
      <c r="BF392" s="283">
        <f t="shared" si="44"/>
        <v>7.252008859103376</v>
      </c>
      <c r="BG392" s="283">
        <f t="shared" si="44"/>
        <v>7.3185458024139383</v>
      </c>
      <c r="BH392" s="283">
        <f t="shared" si="44"/>
        <v>7.3850827457245005</v>
      </c>
      <c r="BI392" s="283">
        <f t="shared" si="44"/>
        <v>7.4516196890350628</v>
      </c>
      <c r="BJ392" s="283">
        <f t="shared" si="44"/>
        <v>7.518156632345625</v>
      </c>
      <c r="BK392" s="283">
        <f t="shared" si="44"/>
        <v>7.5846935756561873</v>
      </c>
      <c r="BL392" s="283">
        <f t="shared" si="44"/>
        <v>7.6512305189667495</v>
      </c>
      <c r="BM392" s="284">
        <f>AX392*$C$742</f>
        <v>7.7177674622773127</v>
      </c>
      <c r="BN392" s="283">
        <f>BM392+($BR$392-$BM$392)/5</f>
        <v>7.7941868915344088</v>
      </c>
      <c r="BO392" s="283">
        <f>BN392+($BR$392-$BM$392)/5</f>
        <v>7.8706063207915049</v>
      </c>
      <c r="BP392" s="283">
        <f>BO392+($BR$392-$BM$392)/5</f>
        <v>7.947025750048601</v>
      </c>
      <c r="BQ392" s="283">
        <f>BP392+($BR$392-$BM$392)/5</f>
        <v>8.023445179305698</v>
      </c>
      <c r="BR392" s="284">
        <f>BM392*$D$742</f>
        <v>8.099864608562795</v>
      </c>
    </row>
    <row r="393" spans="1:70" ht="13.8" thickBot="1" x14ac:dyDescent="0.3">
      <c r="A393" s="904" t="s">
        <v>738</v>
      </c>
      <c r="AA393" s="291">
        <f>Z563+($AI$393-$Y$563)/10</f>
        <v>1.3116492415795387</v>
      </c>
      <c r="AB393" s="291">
        <f t="shared" ref="AB393:AH393" si="45">AA393+($AI$393-$Y$563)/10</f>
        <v>1.314474997718583</v>
      </c>
      <c r="AC393" s="291">
        <f t="shared" si="45"/>
        <v>1.3173007538576273</v>
      </c>
      <c r="AD393" s="291">
        <f t="shared" si="45"/>
        <v>1.3201265099966717</v>
      </c>
      <c r="AE393" s="291">
        <f t="shared" si="45"/>
        <v>1.322952266135716</v>
      </c>
      <c r="AF393" s="291">
        <f t="shared" si="45"/>
        <v>1.3257780222747604</v>
      </c>
      <c r="AG393" s="291">
        <f t="shared" si="45"/>
        <v>1.3286037784138047</v>
      </c>
      <c r="AH393" s="291">
        <f t="shared" si="45"/>
        <v>1.3314295345528491</v>
      </c>
      <c r="AI393" s="292">
        <f>T563*$E$740</f>
        <v>1.3342552906918941</v>
      </c>
      <c r="AJ393" s="291">
        <f>AI393+($AX$393-$AI$393)/15</f>
        <v>1.3381671025139799</v>
      </c>
      <c r="AK393" s="291">
        <f t="shared" ref="AK393:AW393" si="46">AJ393+($AX$393-$AI$393)/15</f>
        <v>1.3420789143360656</v>
      </c>
      <c r="AL393" s="291">
        <f t="shared" si="46"/>
        <v>1.3459907261581514</v>
      </c>
      <c r="AM393" s="291">
        <f t="shared" si="46"/>
        <v>1.3499025379802372</v>
      </c>
      <c r="AN393" s="291">
        <f t="shared" si="46"/>
        <v>1.353814349802323</v>
      </c>
      <c r="AO393" s="291">
        <f t="shared" si="46"/>
        <v>1.3577261616244087</v>
      </c>
      <c r="AP393" s="291">
        <f t="shared" si="46"/>
        <v>1.3616379734464945</v>
      </c>
      <c r="AQ393" s="291">
        <f t="shared" si="46"/>
        <v>1.3655497852685803</v>
      </c>
      <c r="AR393" s="291">
        <f t="shared" si="46"/>
        <v>1.3694615970906661</v>
      </c>
      <c r="AS393" s="291">
        <f t="shared" si="46"/>
        <v>1.3733734089127518</v>
      </c>
      <c r="AT393" s="291">
        <f t="shared" si="46"/>
        <v>1.3772852207348376</v>
      </c>
      <c r="AU393" s="291">
        <f t="shared" si="46"/>
        <v>1.3811970325569234</v>
      </c>
      <c r="AV393" s="291">
        <f t="shared" si="46"/>
        <v>1.3851088443790092</v>
      </c>
      <c r="AW393" s="291">
        <f t="shared" si="46"/>
        <v>1.3890206562010949</v>
      </c>
      <c r="AX393" s="292">
        <f>AI393*$B$740</f>
        <v>1.3929324680231794</v>
      </c>
      <c r="AY393" s="291">
        <f>AX393+($BM$393-$AX$393)/15</f>
        <v>1.3955742685410359</v>
      </c>
      <c r="AZ393" s="291">
        <f t="shared" ref="AZ393:BL393" si="47">AY393+($BM$393-$AX$393)/15</f>
        <v>1.3982160690588925</v>
      </c>
      <c r="BA393" s="291">
        <f t="shared" si="47"/>
        <v>1.4008578695767491</v>
      </c>
      <c r="BB393" s="291">
        <f t="shared" si="47"/>
        <v>1.4034996700946056</v>
      </c>
      <c r="BC393" s="291">
        <f t="shared" si="47"/>
        <v>1.4061414706124622</v>
      </c>
      <c r="BD393" s="291">
        <f t="shared" si="47"/>
        <v>1.4087832711303188</v>
      </c>
      <c r="BE393" s="291">
        <f t="shared" si="47"/>
        <v>1.4114250716481753</v>
      </c>
      <c r="BF393" s="291">
        <f t="shared" si="47"/>
        <v>1.4140668721660319</v>
      </c>
      <c r="BG393" s="291">
        <f t="shared" si="47"/>
        <v>1.4167086726838884</v>
      </c>
      <c r="BH393" s="291">
        <f t="shared" si="47"/>
        <v>1.419350473201745</v>
      </c>
      <c r="BI393" s="291">
        <f t="shared" si="47"/>
        <v>1.4219922737196016</v>
      </c>
      <c r="BJ393" s="291">
        <f t="shared" si="47"/>
        <v>1.4246340742374581</v>
      </c>
      <c r="BK393" s="291">
        <f t="shared" si="47"/>
        <v>1.4272758747553147</v>
      </c>
      <c r="BL393" s="291">
        <f t="shared" si="47"/>
        <v>1.4299176752731713</v>
      </c>
      <c r="BM393" s="292">
        <f>AX393*$C$740</f>
        <v>1.4325594757910274</v>
      </c>
      <c r="BN393" s="291">
        <f>BM393+($BR$393-$BM$393)/5</f>
        <v>1.4352764318903966</v>
      </c>
      <c r="BO393" s="291">
        <f>BN393+($BR$393-$BM$393)/5</f>
        <v>1.4379933879897657</v>
      </c>
      <c r="BP393" s="291">
        <f>BO393+($BR$393-$BM$393)/5</f>
        <v>1.4407103440891349</v>
      </c>
      <c r="BQ393" s="291">
        <f>BP393+($BR$393-$BM$393)/5</f>
        <v>1.4434273001885041</v>
      </c>
      <c r="BR393" s="292">
        <f>BM393*$D$740</f>
        <v>1.4461442562878735</v>
      </c>
    </row>
    <row r="394" spans="1:70" x14ac:dyDescent="0.25">
      <c r="A394" s="904" t="s">
        <v>739</v>
      </c>
    </row>
    <row r="395" spans="1:70" x14ac:dyDescent="0.25">
      <c r="A395" s="904" t="s">
        <v>740</v>
      </c>
    </row>
    <row r="396" spans="1:70" x14ac:dyDescent="0.25">
      <c r="A396" s="904" t="s">
        <v>741</v>
      </c>
    </row>
    <row r="397" spans="1:70" x14ac:dyDescent="0.25">
      <c r="A397" s="904" t="s">
        <v>742</v>
      </c>
    </row>
    <row r="403" spans="1:26" x14ac:dyDescent="0.25">
      <c r="A403" s="306" t="s">
        <v>864</v>
      </c>
      <c r="B403" s="306"/>
      <c r="C403" s="306"/>
      <c r="D403" s="306"/>
      <c r="E403" s="306"/>
      <c r="F403" s="306"/>
      <c r="G403" s="306"/>
      <c r="H403" s="306"/>
      <c r="I403" s="306"/>
      <c r="J403" s="306"/>
      <c r="K403" s="306"/>
      <c r="L403" s="306"/>
      <c r="M403" s="306"/>
      <c r="N403" s="306"/>
      <c r="O403" s="306"/>
      <c r="P403" s="306"/>
      <c r="Q403" s="306"/>
      <c r="R403" s="306"/>
      <c r="S403" s="306"/>
      <c r="T403" s="306"/>
      <c r="U403" s="306"/>
      <c r="V403" s="306"/>
      <c r="W403" s="306"/>
      <c r="X403" s="306"/>
      <c r="Y403" s="306"/>
      <c r="Z403" s="306"/>
    </row>
    <row r="404" spans="1:26" x14ac:dyDescent="0.25">
      <c r="A404" s="306" t="s">
        <v>601</v>
      </c>
      <c r="B404" s="306"/>
      <c r="C404" s="306"/>
      <c r="D404" s="306"/>
      <c r="E404" s="306"/>
      <c r="F404" s="306"/>
      <c r="G404" s="306"/>
      <c r="H404" s="306"/>
      <c r="I404" s="306"/>
      <c r="J404" s="306"/>
      <c r="K404" s="306"/>
      <c r="L404" s="306"/>
      <c r="M404" s="306"/>
      <c r="N404" s="306"/>
      <c r="O404" s="306"/>
      <c r="P404" s="306"/>
      <c r="Q404" s="306"/>
      <c r="R404" s="306"/>
      <c r="S404" s="306"/>
      <c r="T404" s="306"/>
      <c r="U404" s="306"/>
      <c r="V404" s="306"/>
      <c r="W404" s="306"/>
      <c r="X404" s="306"/>
      <c r="Y404" s="306"/>
      <c r="Z404" s="306"/>
    </row>
    <row r="405" spans="1:26" x14ac:dyDescent="0.25">
      <c r="A405" s="306" t="s">
        <v>602</v>
      </c>
      <c r="B405" s="306"/>
      <c r="C405" s="306"/>
      <c r="D405" s="306"/>
      <c r="E405" s="306"/>
      <c r="F405" s="306"/>
      <c r="G405" s="306"/>
      <c r="H405" s="306"/>
      <c r="I405" s="306"/>
      <c r="J405" s="306"/>
      <c r="K405" s="306"/>
      <c r="L405" s="306"/>
      <c r="M405" s="306"/>
      <c r="N405" s="306"/>
      <c r="O405" s="306"/>
      <c r="P405" s="306"/>
      <c r="Q405" s="306"/>
      <c r="R405" s="306"/>
      <c r="S405" s="306"/>
      <c r="T405" s="306"/>
      <c r="U405" s="306"/>
      <c r="V405" s="306"/>
      <c r="W405" s="306"/>
      <c r="X405" s="306"/>
      <c r="Y405" s="306"/>
      <c r="Z405" s="306"/>
    </row>
    <row r="406" spans="1:26" x14ac:dyDescent="0.25">
      <c r="A406" s="306"/>
      <c r="B406" s="306"/>
      <c r="C406" s="306"/>
      <c r="D406" s="306"/>
      <c r="E406" s="306"/>
      <c r="F406" s="306"/>
      <c r="G406" s="306"/>
      <c r="H406" s="306"/>
      <c r="I406" s="306"/>
      <c r="J406" s="306"/>
      <c r="K406" s="306"/>
      <c r="L406" s="306"/>
      <c r="M406" s="306"/>
      <c r="N406" s="306"/>
      <c r="O406" s="306"/>
      <c r="P406" s="306"/>
      <c r="Q406" s="306"/>
      <c r="R406" s="306"/>
      <c r="S406" s="306"/>
      <c r="T406" s="306"/>
      <c r="U406" s="306"/>
      <c r="V406" s="306"/>
      <c r="W406" s="306"/>
      <c r="X406" s="306"/>
      <c r="Y406" s="306"/>
      <c r="Z406" s="306"/>
    </row>
    <row r="407" spans="1:26" x14ac:dyDescent="0.25">
      <c r="A407" s="306" t="s">
        <v>447</v>
      </c>
      <c r="B407" s="306"/>
      <c r="C407" s="306"/>
      <c r="D407" s="306"/>
      <c r="E407" s="306"/>
      <c r="F407" s="306"/>
      <c r="G407" s="306"/>
      <c r="H407" s="306"/>
      <c r="I407" s="306"/>
      <c r="J407" s="306"/>
      <c r="K407" s="306"/>
      <c r="L407" s="306"/>
      <c r="M407" s="306"/>
      <c r="N407" s="306"/>
      <c r="O407" s="306"/>
      <c r="P407" s="306"/>
      <c r="Q407" s="306"/>
      <c r="R407" s="306"/>
      <c r="S407" s="306"/>
      <c r="T407" s="306"/>
      <c r="U407" s="306"/>
      <c r="V407" s="306"/>
      <c r="W407" s="306"/>
      <c r="X407" s="306"/>
      <c r="Y407" s="306"/>
      <c r="Z407" s="306"/>
    </row>
    <row r="408" spans="1:26" x14ac:dyDescent="0.25">
      <c r="A408" s="306" t="s">
        <v>603</v>
      </c>
      <c r="B408" s="306"/>
      <c r="C408" s="306"/>
      <c r="D408" s="306"/>
      <c r="E408" s="306"/>
      <c r="F408" s="306"/>
      <c r="G408" s="306"/>
      <c r="H408" s="306"/>
      <c r="I408" s="306"/>
      <c r="J408" s="306"/>
      <c r="K408" s="306"/>
      <c r="L408" s="306"/>
      <c r="M408" s="306"/>
      <c r="N408" s="306"/>
      <c r="O408" s="306"/>
      <c r="P408" s="306"/>
      <c r="Q408" s="306"/>
      <c r="R408" s="306"/>
      <c r="S408" s="306"/>
      <c r="T408" s="306"/>
      <c r="U408" s="306"/>
      <c r="V408" s="306"/>
      <c r="W408" s="306"/>
      <c r="X408" s="306"/>
      <c r="Y408" s="306"/>
      <c r="Z408" s="306"/>
    </row>
    <row r="409" spans="1:26" x14ac:dyDescent="0.25">
      <c r="A409" s="306"/>
      <c r="B409" s="306"/>
      <c r="C409" s="306"/>
      <c r="D409" s="306"/>
      <c r="E409" s="306"/>
      <c r="F409" s="306"/>
      <c r="G409" s="306"/>
      <c r="H409" s="306"/>
      <c r="I409" s="306"/>
      <c r="J409" s="306"/>
      <c r="K409" s="306"/>
      <c r="L409" s="306"/>
      <c r="M409" s="306"/>
      <c r="N409" s="306"/>
      <c r="O409" s="306"/>
      <c r="P409" s="306"/>
      <c r="Q409" s="306"/>
      <c r="R409" s="306"/>
      <c r="S409" s="306"/>
      <c r="T409" s="306"/>
      <c r="U409" s="306"/>
      <c r="V409" s="306"/>
      <c r="W409" s="306"/>
      <c r="X409" s="306"/>
      <c r="Y409" s="306"/>
      <c r="Z409" s="306"/>
    </row>
    <row r="410" spans="1:26" x14ac:dyDescent="0.25">
      <c r="A410" s="306"/>
      <c r="B410" s="306"/>
      <c r="C410" s="306"/>
      <c r="D410" s="306"/>
      <c r="E410" s="306"/>
      <c r="F410" s="306"/>
      <c r="G410" s="306"/>
      <c r="H410" s="306"/>
      <c r="I410" s="306"/>
      <c r="J410" s="306"/>
      <c r="K410" s="306"/>
      <c r="L410" s="306"/>
      <c r="M410" s="306"/>
      <c r="N410" s="306"/>
      <c r="O410" s="306"/>
      <c r="P410" s="306"/>
      <c r="Q410" s="306"/>
      <c r="R410" s="306"/>
      <c r="S410" s="306"/>
      <c r="T410" s="306"/>
      <c r="U410" s="306"/>
      <c r="V410" s="306"/>
      <c r="W410" s="306"/>
      <c r="X410" s="306"/>
      <c r="Y410" s="306"/>
      <c r="Z410" s="306"/>
    </row>
    <row r="411" spans="1:26" x14ac:dyDescent="0.25">
      <c r="A411" s="306"/>
      <c r="B411" s="306"/>
      <c r="C411" s="306"/>
      <c r="D411" s="306"/>
      <c r="E411" s="306"/>
      <c r="F411" s="306"/>
      <c r="G411" s="306"/>
      <c r="H411" s="306"/>
      <c r="I411" s="306"/>
      <c r="J411" s="306"/>
      <c r="K411" s="306"/>
      <c r="L411" s="306"/>
      <c r="M411" s="306"/>
      <c r="N411" s="306"/>
      <c r="O411" s="306"/>
      <c r="P411" s="306"/>
      <c r="Q411" s="306"/>
      <c r="R411" s="306"/>
      <c r="S411" s="306"/>
      <c r="T411" s="306"/>
      <c r="U411" s="306"/>
      <c r="V411" s="306"/>
      <c r="W411" s="306"/>
      <c r="X411" s="306"/>
      <c r="Y411" s="306"/>
      <c r="Z411" s="306"/>
    </row>
    <row r="412" spans="1:26" x14ac:dyDescent="0.25">
      <c r="A412" s="306"/>
      <c r="B412" s="306"/>
      <c r="C412" s="306"/>
      <c r="D412" s="306" t="s">
        <v>451</v>
      </c>
      <c r="E412" s="306" t="s">
        <v>452</v>
      </c>
      <c r="F412" s="306" t="s">
        <v>453</v>
      </c>
      <c r="G412" s="306" t="s">
        <v>454</v>
      </c>
      <c r="H412" s="306" t="s">
        <v>455</v>
      </c>
      <c r="I412" s="306" t="s">
        <v>456</v>
      </c>
      <c r="J412" s="306" t="s">
        <v>457</v>
      </c>
      <c r="K412" s="306" t="s">
        <v>458</v>
      </c>
      <c r="L412" s="306" t="s">
        <v>459</v>
      </c>
      <c r="M412" s="306" t="s">
        <v>460</v>
      </c>
      <c r="N412" s="306" t="s">
        <v>461</v>
      </c>
      <c r="O412" s="306" t="s">
        <v>462</v>
      </c>
      <c r="P412" s="306" t="s">
        <v>463</v>
      </c>
      <c r="Q412" s="306" t="s">
        <v>464</v>
      </c>
      <c r="R412" s="306" t="s">
        <v>465</v>
      </c>
      <c r="S412" s="306" t="s">
        <v>466</v>
      </c>
      <c r="T412" s="306" t="s">
        <v>467</v>
      </c>
      <c r="U412" s="306" t="s">
        <v>468</v>
      </c>
      <c r="V412" s="306" t="s">
        <v>469</v>
      </c>
      <c r="W412" s="306" t="s">
        <v>470</v>
      </c>
      <c r="X412" s="306" t="s">
        <v>471</v>
      </c>
      <c r="Y412" s="306" t="s">
        <v>472</v>
      </c>
      <c r="Z412" s="306" t="s">
        <v>604</v>
      </c>
    </row>
    <row r="413" spans="1:26" x14ac:dyDescent="0.25">
      <c r="A413" s="306"/>
      <c r="B413" s="306"/>
      <c r="C413" s="306"/>
      <c r="D413" s="306"/>
      <c r="E413" s="306"/>
      <c r="F413" s="306"/>
      <c r="G413" s="306"/>
      <c r="H413" s="306"/>
      <c r="I413" s="306"/>
      <c r="J413" s="306"/>
      <c r="K413" s="306"/>
      <c r="L413" s="306"/>
      <c r="M413" s="306"/>
      <c r="N413" s="306"/>
      <c r="O413" s="306"/>
      <c r="P413" s="306"/>
      <c r="Q413" s="306"/>
      <c r="R413" s="306"/>
      <c r="S413" s="306"/>
      <c r="T413" s="306"/>
      <c r="U413" s="306"/>
      <c r="V413" s="306"/>
      <c r="W413" s="306"/>
      <c r="X413" s="306"/>
      <c r="Y413" s="306"/>
      <c r="Z413" s="306"/>
    </row>
    <row r="414" spans="1:26" x14ac:dyDescent="0.25">
      <c r="A414" s="306"/>
      <c r="B414" s="306"/>
      <c r="C414" s="306"/>
      <c r="D414" s="306"/>
      <c r="E414" s="306"/>
      <c r="F414" s="306"/>
      <c r="G414" s="306"/>
      <c r="H414" s="306"/>
      <c r="I414" s="306"/>
      <c r="J414" s="306"/>
      <c r="K414" s="306"/>
      <c r="L414" s="306"/>
      <c r="M414" s="306"/>
      <c r="N414" s="306"/>
      <c r="O414" s="306"/>
      <c r="P414" s="306"/>
      <c r="Q414" s="306"/>
      <c r="R414" s="306"/>
      <c r="S414" s="306"/>
      <c r="T414" s="306"/>
      <c r="U414" s="306"/>
      <c r="V414" s="306"/>
      <c r="W414" s="306"/>
      <c r="X414" s="306"/>
      <c r="Y414" s="306"/>
      <c r="Z414" s="306"/>
    </row>
    <row r="415" spans="1:26" x14ac:dyDescent="0.25">
      <c r="A415" s="306" t="s">
        <v>473</v>
      </c>
      <c r="B415" s="306"/>
      <c r="C415" s="306"/>
      <c r="D415" s="306"/>
      <c r="E415" s="306"/>
      <c r="F415" s="306"/>
      <c r="G415" s="306"/>
      <c r="H415" s="306"/>
      <c r="I415" s="306"/>
      <c r="J415" s="306"/>
      <c r="K415" s="306"/>
      <c r="L415" s="306"/>
      <c r="M415" s="306"/>
      <c r="N415" s="306"/>
      <c r="O415" s="306"/>
      <c r="P415" s="306"/>
      <c r="Q415" s="306"/>
      <c r="R415" s="306"/>
      <c r="S415" s="306"/>
      <c r="T415" s="306"/>
      <c r="U415" s="306"/>
      <c r="V415" s="306"/>
      <c r="W415" s="306"/>
      <c r="X415" s="306"/>
      <c r="Y415" s="306"/>
      <c r="Z415" s="306"/>
    </row>
    <row r="416" spans="1:26" x14ac:dyDescent="0.25">
      <c r="A416" s="306" t="s">
        <v>609</v>
      </c>
      <c r="B416" s="306"/>
      <c r="C416" s="306"/>
      <c r="D416" s="306">
        <v>18.210411071777301</v>
      </c>
      <c r="E416" s="306">
        <v>19.293371200561499</v>
      </c>
      <c r="F416" s="306">
        <v>21.158409118652301</v>
      </c>
      <c r="G416" s="306">
        <v>24.5404376983643</v>
      </c>
      <c r="H416" s="306">
        <v>24.494813919067401</v>
      </c>
      <c r="I416" s="306">
        <v>23.9600429534912</v>
      </c>
      <c r="J416" s="306">
        <v>23.672391891479499</v>
      </c>
      <c r="K416" s="306">
        <v>23.2634162902832</v>
      </c>
      <c r="L416" s="306">
        <v>23.106723785400401</v>
      </c>
      <c r="M416" s="306">
        <v>22.905719757080099</v>
      </c>
      <c r="N416" s="306">
        <v>22.942964553833001</v>
      </c>
      <c r="O416" s="306">
        <v>22.881586074829102</v>
      </c>
      <c r="P416" s="306">
        <v>22.979688644409201</v>
      </c>
      <c r="Q416" s="306">
        <v>23.190465927123999</v>
      </c>
      <c r="R416" s="306">
        <v>23.129106521606399</v>
      </c>
      <c r="S416" s="306">
        <v>23.088548660278299</v>
      </c>
      <c r="T416" s="306">
        <v>23.183416366577099</v>
      </c>
      <c r="U416" s="306">
        <v>23.1546516418457</v>
      </c>
      <c r="V416" s="306">
        <v>23.285535812377901</v>
      </c>
      <c r="W416" s="306">
        <v>23.420475006103501</v>
      </c>
      <c r="X416" s="306">
        <v>23.540468215942401</v>
      </c>
      <c r="Y416" s="306">
        <v>23.532218933105501</v>
      </c>
      <c r="Z416" s="306">
        <v>23.562456130981399</v>
      </c>
    </row>
    <row r="417" spans="1:26" x14ac:dyDescent="0.25">
      <c r="A417" s="306" t="s">
        <v>610</v>
      </c>
      <c r="B417" s="306"/>
      <c r="C417" s="306"/>
      <c r="D417" s="306">
        <v>12.893347740173301</v>
      </c>
      <c r="E417" s="306">
        <v>14.727064132690399</v>
      </c>
      <c r="F417" s="306">
        <v>16.906724929809599</v>
      </c>
      <c r="G417" s="306">
        <v>17.4485054016113</v>
      </c>
      <c r="H417" s="306">
        <v>16.910488128662099</v>
      </c>
      <c r="I417" s="306">
        <v>15.8367977142334</v>
      </c>
      <c r="J417" s="306">
        <v>14.87486743927</v>
      </c>
      <c r="K417" s="306">
        <v>14.031831741333001</v>
      </c>
      <c r="L417" s="306">
        <v>13.359474182128899</v>
      </c>
      <c r="M417" s="306">
        <v>12.596385955810501</v>
      </c>
      <c r="N417" s="306">
        <v>12.5241403579712</v>
      </c>
      <c r="O417" s="306">
        <v>12.595507621765099</v>
      </c>
      <c r="P417" s="306">
        <v>12.630928039550801</v>
      </c>
      <c r="Q417" s="306">
        <v>12.738121032714799</v>
      </c>
      <c r="R417" s="306">
        <v>12.8303670883179</v>
      </c>
      <c r="S417" s="306">
        <v>13.052293777465801</v>
      </c>
      <c r="T417" s="306">
        <v>13.1472158432007</v>
      </c>
      <c r="U417" s="306">
        <v>13.2630777359009</v>
      </c>
      <c r="V417" s="306">
        <v>13.422198295593301</v>
      </c>
      <c r="W417" s="306">
        <v>13.360619544982899</v>
      </c>
      <c r="X417" s="306">
        <v>13.513841629028301</v>
      </c>
      <c r="Y417" s="306">
        <v>13.560380935668899</v>
      </c>
      <c r="Z417" s="306">
        <v>13.627392768859901</v>
      </c>
    </row>
    <row r="418" spans="1:26" x14ac:dyDescent="0.25">
      <c r="A418" s="306" t="s">
        <v>510</v>
      </c>
      <c r="B418" s="306"/>
      <c r="C418" s="306"/>
      <c r="D418" s="306">
        <v>10.721179008483899</v>
      </c>
      <c r="E418" s="306">
        <v>12.4281768798828</v>
      </c>
      <c r="F418" s="306">
        <v>13.040691375732401</v>
      </c>
      <c r="G418" s="306">
        <v>11.8341617584229</v>
      </c>
      <c r="H418" s="306">
        <v>11.7410221099854</v>
      </c>
      <c r="I418" s="306">
        <v>11.2507781982422</v>
      </c>
      <c r="J418" s="306">
        <v>10.9759874343872</v>
      </c>
      <c r="K418" s="306">
        <v>10.5919141769409</v>
      </c>
      <c r="L418" s="306">
        <v>10.441241264343301</v>
      </c>
      <c r="M418" s="306">
        <v>10.249824523925801</v>
      </c>
      <c r="N418" s="306">
        <v>10.2927255630493</v>
      </c>
      <c r="O418" s="306">
        <v>10.2421607971191</v>
      </c>
      <c r="P418" s="306">
        <v>10.3305416107178</v>
      </c>
      <c r="Q418" s="306">
        <v>10.557685852050801</v>
      </c>
      <c r="R418" s="306">
        <v>10.4870929718018</v>
      </c>
      <c r="S418" s="306">
        <v>10.439262390136699</v>
      </c>
      <c r="T418" s="306">
        <v>10.539955139160201</v>
      </c>
      <c r="U418" s="306">
        <v>10.5361185073853</v>
      </c>
      <c r="V418" s="306">
        <v>10.6743927001953</v>
      </c>
      <c r="W418" s="306">
        <v>10.830116271972701</v>
      </c>
      <c r="X418" s="306">
        <v>10.948052406311</v>
      </c>
      <c r="Y418" s="306">
        <v>10.9735927581787</v>
      </c>
      <c r="Z418" s="306">
        <v>11.0174913406372</v>
      </c>
    </row>
    <row r="419" spans="1:26" x14ac:dyDescent="0.25">
      <c r="A419" s="306" t="s">
        <v>479</v>
      </c>
      <c r="B419" s="306"/>
      <c r="C419" s="306"/>
      <c r="D419" s="306">
        <v>27.0989685058594</v>
      </c>
      <c r="E419" s="306">
        <v>27.587884902954102</v>
      </c>
      <c r="F419" s="306">
        <v>27.636594772338899</v>
      </c>
      <c r="G419" s="306">
        <v>27.492031097412099</v>
      </c>
      <c r="H419" s="306">
        <v>27.368114471435501</v>
      </c>
      <c r="I419" s="306">
        <v>27.154861450195298</v>
      </c>
      <c r="J419" s="306">
        <v>26.912786483764599</v>
      </c>
      <c r="K419" s="306">
        <v>26.5094184875488</v>
      </c>
      <c r="L419" s="306">
        <v>26.281187057495099</v>
      </c>
      <c r="M419" s="306">
        <v>26.172458648681602</v>
      </c>
      <c r="N419" s="306">
        <v>26.036540985107401</v>
      </c>
      <c r="O419" s="306">
        <v>25.993564605712901</v>
      </c>
      <c r="P419" s="306">
        <v>26.085290908813501</v>
      </c>
      <c r="Q419" s="306">
        <v>26.304872512817401</v>
      </c>
      <c r="R419" s="306">
        <v>26.445003509521499</v>
      </c>
      <c r="S419" s="306">
        <v>26.355556488037099</v>
      </c>
      <c r="T419" s="306">
        <v>26.368726730346701</v>
      </c>
      <c r="U419" s="306">
        <v>26.419284820556602</v>
      </c>
      <c r="V419" s="306">
        <v>26.420993804931602</v>
      </c>
      <c r="W419" s="306">
        <v>26.4647102355957</v>
      </c>
      <c r="X419" s="306">
        <v>26.5621242523193</v>
      </c>
      <c r="Y419" s="306">
        <v>26.608213424682599</v>
      </c>
      <c r="Z419" s="306">
        <v>26.564920425415</v>
      </c>
    </row>
    <row r="420" spans="1:26" x14ac:dyDescent="0.25">
      <c r="A420" s="306" t="s">
        <v>480</v>
      </c>
      <c r="B420" s="306"/>
      <c r="C420" s="306"/>
      <c r="D420" s="306"/>
      <c r="E420" s="306"/>
      <c r="F420" s="306"/>
      <c r="G420" s="306"/>
      <c r="H420" s="306"/>
      <c r="I420" s="306"/>
      <c r="J420" s="306"/>
      <c r="K420" s="306"/>
      <c r="L420" s="306"/>
      <c r="M420" s="306"/>
      <c r="N420" s="306"/>
      <c r="O420" s="306"/>
      <c r="P420" s="306"/>
      <c r="Q420" s="306"/>
      <c r="R420" s="306"/>
      <c r="S420" s="306"/>
      <c r="T420" s="306"/>
      <c r="U420" s="306"/>
      <c r="V420" s="306"/>
      <c r="W420" s="306"/>
      <c r="X420" s="306"/>
      <c r="Y420" s="306"/>
      <c r="Z420" s="306"/>
    </row>
    <row r="421" spans="1:26" x14ac:dyDescent="0.25">
      <c r="A421" s="306" t="s">
        <v>610</v>
      </c>
      <c r="B421" s="306"/>
      <c r="C421" s="306"/>
      <c r="D421" s="306">
        <v>10.4802904129028</v>
      </c>
      <c r="E421" s="306">
        <v>12.6793832778931</v>
      </c>
      <c r="F421" s="306">
        <v>14.632154464721699</v>
      </c>
      <c r="G421" s="306">
        <v>15.3235988616943</v>
      </c>
      <c r="H421" s="306">
        <v>14.4384679794312</v>
      </c>
      <c r="I421" s="306">
        <v>13.4501142501831</v>
      </c>
      <c r="J421" s="306">
        <v>12.7189273834229</v>
      </c>
      <c r="K421" s="306">
        <v>11.9810342788696</v>
      </c>
      <c r="L421" s="306">
        <v>11.338329315185501</v>
      </c>
      <c r="M421" s="306">
        <v>10.8460388183594</v>
      </c>
      <c r="N421" s="306">
        <v>10.667523384094199</v>
      </c>
      <c r="O421" s="306">
        <v>10.728004455566399</v>
      </c>
      <c r="P421" s="306">
        <v>10.8701782226563</v>
      </c>
      <c r="Q421" s="306">
        <v>10.9251909255981</v>
      </c>
      <c r="R421" s="306">
        <v>11.0219278335571</v>
      </c>
      <c r="S421" s="306">
        <v>11.292310714721699</v>
      </c>
      <c r="T421" s="306">
        <v>11.349814414978001</v>
      </c>
      <c r="U421" s="306">
        <v>11.461010932922401</v>
      </c>
      <c r="V421" s="306">
        <v>11.6882877349854</v>
      </c>
      <c r="W421" s="306">
        <v>11.5126600265503</v>
      </c>
      <c r="X421" s="306">
        <v>11.6838274002075</v>
      </c>
      <c r="Y421" s="306">
        <v>11.8503408432007</v>
      </c>
      <c r="Z421" s="306">
        <v>11.857501029968301</v>
      </c>
    </row>
    <row r="422" spans="1:26" ht="51" customHeight="1" x14ac:dyDescent="0.25">
      <c r="A422" s="306" t="s">
        <v>611</v>
      </c>
      <c r="B422" s="306"/>
      <c r="C422" s="306"/>
      <c r="D422" s="306">
        <v>6.2490105628967303</v>
      </c>
      <c r="E422" s="306">
        <v>8.4144115447997994</v>
      </c>
      <c r="F422" s="306">
        <v>10.1003465652466</v>
      </c>
      <c r="G422" s="306">
        <v>7.8816242218017596</v>
      </c>
      <c r="H422" s="306">
        <v>7.7979149818420401</v>
      </c>
      <c r="I422" s="306">
        <v>7.67907810211182</v>
      </c>
      <c r="J422" s="306">
        <v>7.5374598503112802</v>
      </c>
      <c r="K422" s="306">
        <v>7.0601482391357404</v>
      </c>
      <c r="L422" s="306">
        <v>6.9191079139709499</v>
      </c>
      <c r="M422" s="306">
        <v>5.9906802177429199</v>
      </c>
      <c r="N422" s="306">
        <v>6.31249952316284</v>
      </c>
      <c r="O422" s="306">
        <v>6.4941840171814</v>
      </c>
      <c r="P422" s="306">
        <v>6.4476203918456996</v>
      </c>
      <c r="Q422" s="306">
        <v>6.5857205390930202</v>
      </c>
      <c r="R422" s="306">
        <v>6.7015118598937997</v>
      </c>
      <c r="S422" s="306">
        <v>6.98899221420288</v>
      </c>
      <c r="T422" s="306">
        <v>7.0690569877624503</v>
      </c>
      <c r="U422" s="306">
        <v>7.2425847053527797</v>
      </c>
      <c r="V422" s="306">
        <v>7.4012169837951696</v>
      </c>
      <c r="W422" s="306">
        <v>7.2363023757934597</v>
      </c>
      <c r="X422" s="306">
        <v>7.3775544166564897</v>
      </c>
      <c r="Y422" s="306">
        <v>7.1704416275024396</v>
      </c>
      <c r="Z422" s="306">
        <v>7.2997760772705096</v>
      </c>
    </row>
    <row r="423" spans="1:26" ht="30.75" customHeight="1" x14ac:dyDescent="0.25">
      <c r="A423" s="308" t="s">
        <v>510</v>
      </c>
      <c r="B423" s="308"/>
      <c r="C423" s="308"/>
      <c r="D423" s="306">
        <v>9.4024562835693395</v>
      </c>
      <c r="E423" s="306">
        <v>11.2028198242188</v>
      </c>
      <c r="F423" s="306">
        <v>11.3786783218384</v>
      </c>
      <c r="G423" s="306">
        <v>10.2688541412354</v>
      </c>
      <c r="H423" s="306">
        <v>10.157588958740201</v>
      </c>
      <c r="I423" s="306">
        <v>9.6297473907470703</v>
      </c>
      <c r="J423" s="306">
        <v>9.3356885910034197</v>
      </c>
      <c r="K423" s="306">
        <v>8.9214458465576207</v>
      </c>
      <c r="L423" s="306">
        <v>8.7509040832519496</v>
      </c>
      <c r="M423" s="306">
        <v>8.5351839065551793</v>
      </c>
      <c r="N423" s="306">
        <v>8.5524559020996094</v>
      </c>
      <c r="O423" s="306">
        <v>8.47686672210693</v>
      </c>
      <c r="P423" s="306">
        <v>8.5459880828857404</v>
      </c>
      <c r="Q423" s="306">
        <v>8.7391986846923793</v>
      </c>
      <c r="R423" s="306">
        <v>8.6564092636108398</v>
      </c>
      <c r="S423" s="306">
        <v>8.5963792800903303</v>
      </c>
      <c r="T423" s="306">
        <v>8.6742591857910192</v>
      </c>
      <c r="U423" s="306">
        <v>8.6351099014282209</v>
      </c>
      <c r="V423" s="306">
        <v>8.7470979690551793</v>
      </c>
      <c r="W423" s="306">
        <v>8.8685941696166992</v>
      </c>
      <c r="X423" s="306">
        <v>8.9716949462890607</v>
      </c>
      <c r="Y423" s="306">
        <v>8.9597854614257795</v>
      </c>
      <c r="Z423" s="306">
        <v>8.9777603149414098</v>
      </c>
    </row>
    <row r="424" spans="1:26" x14ac:dyDescent="0.25">
      <c r="A424" s="307" t="s">
        <v>479</v>
      </c>
      <c r="B424" s="307"/>
      <c r="C424" s="307"/>
      <c r="D424" s="306">
        <v>24.591539382934599</v>
      </c>
      <c r="E424" s="306">
        <v>25.251781463623001</v>
      </c>
      <c r="F424" s="306">
        <v>25.738388061523398</v>
      </c>
      <c r="G424" s="306">
        <v>25.3376979827881</v>
      </c>
      <c r="H424" s="306">
        <v>25.268539428710898</v>
      </c>
      <c r="I424" s="306">
        <v>24.918291091918899</v>
      </c>
      <c r="J424" s="306">
        <v>24.500482559204102</v>
      </c>
      <c r="K424" s="306">
        <v>23.8594665527344</v>
      </c>
      <c r="L424" s="306">
        <v>23.593626022338899</v>
      </c>
      <c r="M424" s="306">
        <v>23.443479537963899</v>
      </c>
      <c r="N424" s="306">
        <v>23.311824798583999</v>
      </c>
      <c r="O424" s="306">
        <v>23.328050613403299</v>
      </c>
      <c r="P424" s="306">
        <v>23.4844055175781</v>
      </c>
      <c r="Q424" s="306">
        <v>23.749778747558601</v>
      </c>
      <c r="R424" s="306">
        <v>23.944339752197301</v>
      </c>
      <c r="S424" s="306">
        <v>23.889307022094702</v>
      </c>
      <c r="T424" s="306">
        <v>23.952335357666001</v>
      </c>
      <c r="U424" s="306">
        <v>24.000473022460898</v>
      </c>
      <c r="V424" s="306">
        <v>24.006351470947301</v>
      </c>
      <c r="W424" s="306">
        <v>24.077814102172901</v>
      </c>
      <c r="X424" s="306">
        <v>24.1955890655518</v>
      </c>
      <c r="Y424" s="306">
        <v>24.23095703125</v>
      </c>
      <c r="Z424" s="306">
        <v>24.1812038421631</v>
      </c>
    </row>
    <row r="425" spans="1:26" x14ac:dyDescent="0.25">
      <c r="A425" s="306" t="s">
        <v>612</v>
      </c>
      <c r="B425" s="306"/>
      <c r="C425" s="306"/>
      <c r="D425" s="306"/>
      <c r="E425" s="306"/>
      <c r="F425" s="306"/>
      <c r="G425" s="306"/>
      <c r="H425" s="306"/>
      <c r="I425" s="306"/>
      <c r="J425" s="306"/>
      <c r="K425" s="306"/>
      <c r="L425" s="306"/>
      <c r="M425" s="306"/>
      <c r="N425" s="306"/>
      <c r="O425" s="306"/>
      <c r="P425" s="306"/>
      <c r="Q425" s="306"/>
      <c r="R425" s="306"/>
      <c r="S425" s="306"/>
      <c r="T425" s="306"/>
      <c r="U425" s="306"/>
      <c r="V425" s="306"/>
      <c r="W425" s="306"/>
      <c r="X425" s="306"/>
      <c r="Y425" s="306"/>
      <c r="Z425" s="306"/>
    </row>
    <row r="426" spans="1:26" x14ac:dyDescent="0.25">
      <c r="A426" s="306" t="s">
        <v>609</v>
      </c>
      <c r="B426" s="306"/>
      <c r="C426" s="306"/>
      <c r="D426" s="306">
        <v>11.1755380630493</v>
      </c>
      <c r="E426" s="306">
        <v>16.959981918335</v>
      </c>
      <c r="F426" s="306">
        <v>18.9578742980957</v>
      </c>
      <c r="G426" s="306">
        <v>17.513134002685501</v>
      </c>
      <c r="H426" s="306">
        <v>17.389408111572301</v>
      </c>
      <c r="I426" s="306">
        <v>16.750247955322301</v>
      </c>
      <c r="J426" s="306">
        <v>16.423851013183601</v>
      </c>
      <c r="K426" s="306">
        <v>15.943309783935501</v>
      </c>
      <c r="L426" s="306">
        <v>15.769355773925801</v>
      </c>
      <c r="M426" s="306">
        <v>15.620997428894</v>
      </c>
      <c r="N426" s="306">
        <v>15.627494812011699</v>
      </c>
      <c r="O426" s="306">
        <v>15.565483093261699</v>
      </c>
      <c r="P426" s="306">
        <v>15.6823263168335</v>
      </c>
      <c r="Q426" s="306">
        <v>15.8655786514282</v>
      </c>
      <c r="R426" s="306">
        <v>15.8662757873535</v>
      </c>
      <c r="S426" s="306">
        <v>15.8647546768188</v>
      </c>
      <c r="T426" s="306">
        <v>15.9073581695557</v>
      </c>
      <c r="U426" s="306">
        <v>15.883088111877401</v>
      </c>
      <c r="V426" s="306">
        <v>15.994482994079601</v>
      </c>
      <c r="W426" s="306">
        <v>16.1067924499512</v>
      </c>
      <c r="X426" s="306">
        <v>16.2546577453613</v>
      </c>
      <c r="Y426" s="306">
        <v>16.219263076782202</v>
      </c>
      <c r="Z426" s="306">
        <v>16.2301216125488</v>
      </c>
    </row>
    <row r="427" spans="1:26" x14ac:dyDescent="0.25">
      <c r="A427" s="306" t="s">
        <v>610</v>
      </c>
      <c r="B427" s="306"/>
      <c r="C427" s="306"/>
      <c r="D427" s="306">
        <v>10.9898891448975</v>
      </c>
      <c r="E427" s="306">
        <v>13.0814533233643</v>
      </c>
      <c r="F427" s="306">
        <v>15.1407413482666</v>
      </c>
      <c r="G427" s="306">
        <v>15.435567855835</v>
      </c>
      <c r="H427" s="306">
        <v>14.2919836044312</v>
      </c>
      <c r="I427" s="306">
        <v>13.4232997894287</v>
      </c>
      <c r="J427" s="306">
        <v>12.948052406311</v>
      </c>
      <c r="K427" s="306">
        <v>12.4780015945435</v>
      </c>
      <c r="L427" s="306">
        <v>11.882830619811999</v>
      </c>
      <c r="M427" s="306">
        <v>11.641848564147899</v>
      </c>
      <c r="N427" s="306">
        <v>11.349123954772899</v>
      </c>
      <c r="O427" s="306">
        <v>11.401933670043899</v>
      </c>
      <c r="P427" s="306">
        <v>11.6324548721313</v>
      </c>
      <c r="Q427" s="306">
        <v>11.632493019104</v>
      </c>
      <c r="R427" s="306">
        <v>11.737724304199199</v>
      </c>
      <c r="S427" s="306">
        <v>12.060711860656699</v>
      </c>
      <c r="T427" s="306">
        <v>12.0405569076538</v>
      </c>
      <c r="U427" s="306">
        <v>12.1396341323853</v>
      </c>
      <c r="V427" s="306">
        <v>12.421196937561</v>
      </c>
      <c r="W427" s="306">
        <v>12.169375419616699</v>
      </c>
      <c r="X427" s="306">
        <v>12.3622283935547</v>
      </c>
      <c r="Y427" s="306">
        <v>12.619636535644499</v>
      </c>
      <c r="Z427" s="306">
        <v>12.5786838531494</v>
      </c>
    </row>
    <row r="428" spans="1:26" x14ac:dyDescent="0.25">
      <c r="A428" s="306" t="s">
        <v>611</v>
      </c>
      <c r="B428" s="306"/>
      <c r="C428" s="306"/>
      <c r="D428" s="306">
        <v>5.7738895416259801</v>
      </c>
      <c r="E428" s="306">
        <v>7.7708010673522896</v>
      </c>
      <c r="F428" s="306">
        <v>9.3422021865844709</v>
      </c>
      <c r="G428" s="306">
        <v>9.8767166137695295</v>
      </c>
      <c r="H428" s="306">
        <v>10.084191322326699</v>
      </c>
      <c r="I428" s="306">
        <v>9.7906637191772496</v>
      </c>
      <c r="J428" s="306">
        <v>9.5023155212402308</v>
      </c>
      <c r="K428" s="306">
        <v>8.7792091369628906</v>
      </c>
      <c r="L428" s="306">
        <v>8.4676847457885707</v>
      </c>
      <c r="M428" s="306">
        <v>8.0373468399047905</v>
      </c>
      <c r="N428" s="306">
        <v>7.9767365455627397</v>
      </c>
      <c r="O428" s="306">
        <v>8.2131023406982404</v>
      </c>
      <c r="P428" s="306">
        <v>8.4110374450683594</v>
      </c>
      <c r="Q428" s="306">
        <v>8.5568304061889595</v>
      </c>
      <c r="R428" s="306">
        <v>8.6100654602050799</v>
      </c>
      <c r="S428" s="306">
        <v>8.8084278106689506</v>
      </c>
      <c r="T428" s="306">
        <v>8.9135255813598597</v>
      </c>
      <c r="U428" s="306">
        <v>9.0664196014404297</v>
      </c>
      <c r="V428" s="306">
        <v>9.2084608078002894</v>
      </c>
      <c r="W428" s="306">
        <v>9.1494617462158203</v>
      </c>
      <c r="X428" s="306">
        <v>9.2910699844360405</v>
      </c>
      <c r="Y428" s="306">
        <v>9.2583961486816406</v>
      </c>
      <c r="Z428" s="306">
        <v>9.38494873046875</v>
      </c>
    </row>
    <row r="429" spans="1:26" x14ac:dyDescent="0.25">
      <c r="A429" s="308" t="s">
        <v>613</v>
      </c>
      <c r="B429" s="308"/>
      <c r="C429" s="308"/>
      <c r="D429" s="306">
        <v>6.4688553810119602</v>
      </c>
      <c r="E429" s="306">
        <v>8.1627740859985405</v>
      </c>
      <c r="F429" s="306">
        <v>7.4494204521179199</v>
      </c>
      <c r="G429" s="306">
        <v>7.3632249832153303</v>
      </c>
      <c r="H429" s="306">
        <v>7.2901554107665998</v>
      </c>
      <c r="I429" s="306">
        <v>6.7422003746032697</v>
      </c>
      <c r="J429" s="306">
        <v>6.4267692565918004</v>
      </c>
      <c r="K429" s="306">
        <v>6.0213589668273899</v>
      </c>
      <c r="L429" s="306">
        <v>5.8671450614929199</v>
      </c>
      <c r="M429" s="306">
        <v>5.6813068389892596</v>
      </c>
      <c r="N429" s="306">
        <v>5.6900143623352104</v>
      </c>
      <c r="O429" s="306">
        <v>5.6504640579223597</v>
      </c>
      <c r="P429" s="306">
        <v>5.7415480613708496</v>
      </c>
      <c r="Q429" s="306">
        <v>5.91982173919678</v>
      </c>
      <c r="R429" s="306">
        <v>5.8755149841308603</v>
      </c>
      <c r="S429" s="306">
        <v>5.8359832763671902</v>
      </c>
      <c r="T429" s="306">
        <v>5.9000439643859899</v>
      </c>
      <c r="U429" s="306">
        <v>5.8858833312988299</v>
      </c>
      <c r="V429" s="306">
        <v>6.0041050910949698</v>
      </c>
      <c r="W429" s="306">
        <v>6.1238050460815403</v>
      </c>
      <c r="X429" s="306">
        <v>6.2412667274475098</v>
      </c>
      <c r="Y429" s="306">
        <v>6.2102909088134801</v>
      </c>
      <c r="Z429" s="306">
        <v>6.2538614273071298</v>
      </c>
    </row>
    <row r="430" spans="1:26" x14ac:dyDescent="0.25">
      <c r="A430" s="306" t="s">
        <v>614</v>
      </c>
      <c r="B430" s="306"/>
      <c r="C430" s="306"/>
      <c r="D430" s="306">
        <v>2.3078472614288299</v>
      </c>
      <c r="E430" s="306">
        <v>3.0599997043609601</v>
      </c>
      <c r="F430" s="306">
        <v>3.2548489570617698</v>
      </c>
      <c r="G430" s="306">
        <v>3.2975256443023699</v>
      </c>
      <c r="H430" s="306">
        <v>3.2872827053070099</v>
      </c>
      <c r="I430" s="306">
        <v>3.1889374256134002</v>
      </c>
      <c r="J430" s="306">
        <v>3.0940959453582799</v>
      </c>
      <c r="K430" s="306">
        <v>2.9914577007293701</v>
      </c>
      <c r="L430" s="306">
        <v>2.8927016258239702</v>
      </c>
      <c r="M430" s="306">
        <v>2.78926348686218</v>
      </c>
      <c r="N430" s="306">
        <v>2.7408642768859899</v>
      </c>
      <c r="O430" s="306">
        <v>2.7166485786438002</v>
      </c>
      <c r="P430" s="306">
        <v>2.7061200141906698</v>
      </c>
      <c r="Q430" s="306">
        <v>2.7063503265380899</v>
      </c>
      <c r="R430" s="306">
        <v>2.7045123577117902</v>
      </c>
      <c r="S430" s="306">
        <v>2.68979120254517</v>
      </c>
      <c r="T430" s="306">
        <v>2.7072892189025901</v>
      </c>
      <c r="U430" s="306">
        <v>2.71812868118286</v>
      </c>
      <c r="V430" s="306">
        <v>2.7191135883331299</v>
      </c>
      <c r="W430" s="306">
        <v>2.7064330577850302</v>
      </c>
      <c r="X430" s="306">
        <v>2.68589544296265</v>
      </c>
      <c r="Y430" s="306">
        <v>2.69574999809265</v>
      </c>
      <c r="Z430" s="306">
        <v>2.7049932479858398</v>
      </c>
    </row>
    <row r="431" spans="1:26" x14ac:dyDescent="0.25">
      <c r="A431" s="306" t="s">
        <v>615</v>
      </c>
      <c r="B431" s="306"/>
      <c r="C431" s="306"/>
      <c r="D431" s="306">
        <v>1.80300605297089</v>
      </c>
      <c r="E431" s="306">
        <v>2.1500017642974898</v>
      </c>
      <c r="F431" s="306">
        <v>2.2005796432495099</v>
      </c>
      <c r="G431" s="306">
        <v>2.2392640113830602</v>
      </c>
      <c r="H431" s="306">
        <v>2.2450914382934601</v>
      </c>
      <c r="I431" s="306">
        <v>2.2358458042144802</v>
      </c>
      <c r="J431" s="306">
        <v>2.2614977359771702</v>
      </c>
      <c r="K431" s="306">
        <v>2.2480733394622798</v>
      </c>
      <c r="L431" s="306">
        <v>2.2308864593505899</v>
      </c>
      <c r="M431" s="306">
        <v>2.2124359607696502</v>
      </c>
      <c r="N431" s="306">
        <v>2.2059276103973402</v>
      </c>
      <c r="O431" s="306">
        <v>2.1967613697052002</v>
      </c>
      <c r="P431" s="306">
        <v>2.18912577629089</v>
      </c>
      <c r="Q431" s="306">
        <v>2.1856777667999299</v>
      </c>
      <c r="R431" s="306">
        <v>2.1763286590576199</v>
      </c>
      <c r="S431" s="306">
        <v>2.1755278110504199</v>
      </c>
      <c r="T431" s="306">
        <v>2.18182468414307</v>
      </c>
      <c r="U431" s="306">
        <v>2.19542455673218</v>
      </c>
      <c r="V431" s="306">
        <v>2.2050869464874299</v>
      </c>
      <c r="W431" s="306">
        <v>2.2089655399322501</v>
      </c>
      <c r="X431" s="306">
        <v>2.2187693119049099</v>
      </c>
      <c r="Y431" s="306">
        <v>2.2309319972991899</v>
      </c>
      <c r="Z431" s="306">
        <v>2.2423520088195801</v>
      </c>
    </row>
    <row r="432" spans="1:26" x14ac:dyDescent="0.25">
      <c r="A432" s="306" t="s">
        <v>616</v>
      </c>
      <c r="B432" s="306"/>
      <c r="C432" s="306"/>
      <c r="D432" s="306" t="s">
        <v>1083</v>
      </c>
      <c r="E432" s="306" t="s">
        <v>1083</v>
      </c>
      <c r="F432" s="306" t="s">
        <v>1083</v>
      </c>
      <c r="G432" s="306" t="s">
        <v>1083</v>
      </c>
      <c r="H432" s="306" t="s">
        <v>1083</v>
      </c>
      <c r="I432" s="306" t="s">
        <v>1083</v>
      </c>
      <c r="J432" s="306" t="s">
        <v>1083</v>
      </c>
      <c r="K432" s="306">
        <v>0.88956671953201305</v>
      </c>
      <c r="L432" s="306">
        <v>0.881245017051697</v>
      </c>
      <c r="M432" s="306">
        <v>0.88442194461822499</v>
      </c>
      <c r="N432" s="306">
        <v>0.89085346460342396</v>
      </c>
      <c r="O432" s="306">
        <v>0.88840740919113204</v>
      </c>
      <c r="P432" s="306">
        <v>0.89322775602340698</v>
      </c>
      <c r="Q432" s="306">
        <v>0.90440875291824296</v>
      </c>
      <c r="R432" s="306">
        <v>0.91453087329864502</v>
      </c>
      <c r="S432" s="306">
        <v>0.95469778776168801</v>
      </c>
      <c r="T432" s="306">
        <v>0.96978461742401101</v>
      </c>
      <c r="U432" s="306">
        <v>1.01334369182587</v>
      </c>
      <c r="V432" s="306">
        <v>1.02781510353088</v>
      </c>
      <c r="W432" s="306">
        <v>1.0294380187988299</v>
      </c>
      <c r="X432" s="306">
        <v>1.1219843626022299</v>
      </c>
      <c r="Y432" s="306">
        <v>1.2297383546829199</v>
      </c>
      <c r="Z432" s="306">
        <v>1.26935982704163</v>
      </c>
    </row>
    <row r="433" spans="1:26" x14ac:dyDescent="0.25">
      <c r="A433" s="307" t="s">
        <v>479</v>
      </c>
      <c r="B433" s="307"/>
      <c r="C433" s="307"/>
      <c r="D433" s="306">
        <v>15.8847751617432</v>
      </c>
      <c r="E433" s="306">
        <v>16.691057205200199</v>
      </c>
      <c r="F433" s="306">
        <v>18.258220672607401</v>
      </c>
      <c r="G433" s="306">
        <v>18.768579483032202</v>
      </c>
      <c r="H433" s="306">
        <v>18.8538303375244</v>
      </c>
      <c r="I433" s="306">
        <v>18.518165588378899</v>
      </c>
      <c r="J433" s="306">
        <v>18.014034271240199</v>
      </c>
      <c r="K433" s="306">
        <v>17.2542610168457</v>
      </c>
      <c r="L433" s="306">
        <v>16.790317535400401</v>
      </c>
      <c r="M433" s="306">
        <v>16.590124130248999</v>
      </c>
      <c r="N433" s="306">
        <v>16.466903686523398</v>
      </c>
      <c r="O433" s="306">
        <v>16.461626052856399</v>
      </c>
      <c r="P433" s="306">
        <v>16.6055717468262</v>
      </c>
      <c r="Q433" s="306">
        <v>16.851476669311499</v>
      </c>
      <c r="R433" s="306">
        <v>17.021175384521499</v>
      </c>
      <c r="S433" s="306">
        <v>17.000881195068398</v>
      </c>
      <c r="T433" s="306">
        <v>17.070917129516602</v>
      </c>
      <c r="U433" s="306">
        <v>17.1260585784912</v>
      </c>
      <c r="V433" s="306">
        <v>17.140884399414102</v>
      </c>
      <c r="W433" s="306">
        <v>17.206485748291001</v>
      </c>
      <c r="X433" s="306">
        <v>17.3262729644775</v>
      </c>
      <c r="Y433" s="306">
        <v>17.353824615478501</v>
      </c>
      <c r="Z433" s="306">
        <v>17.310489654541001</v>
      </c>
    </row>
    <row r="434" spans="1:26" x14ac:dyDescent="0.25">
      <c r="A434" s="306" t="s">
        <v>487</v>
      </c>
      <c r="B434" s="306"/>
      <c r="C434" s="306"/>
      <c r="D434" s="306"/>
      <c r="E434" s="306"/>
      <c r="F434" s="306"/>
      <c r="G434" s="306"/>
      <c r="H434" s="306"/>
      <c r="I434" s="306"/>
      <c r="J434" s="306"/>
      <c r="K434" s="306"/>
      <c r="L434" s="306"/>
      <c r="M434" s="306"/>
      <c r="N434" s="306"/>
      <c r="O434" s="306"/>
      <c r="P434" s="306"/>
      <c r="Q434" s="306"/>
      <c r="R434" s="306"/>
      <c r="S434" s="306"/>
      <c r="T434" s="306"/>
      <c r="U434" s="306"/>
      <c r="V434" s="306"/>
      <c r="W434" s="306"/>
      <c r="X434" s="306"/>
      <c r="Y434" s="306"/>
      <c r="Z434" s="306"/>
    </row>
    <row r="435" spans="1:26" x14ac:dyDescent="0.25">
      <c r="A435" s="306" t="s">
        <v>617</v>
      </c>
      <c r="B435" s="306"/>
      <c r="C435" s="306"/>
      <c r="D435" s="306">
        <v>19.6766357421875</v>
      </c>
      <c r="E435" s="306">
        <v>23.9161167144775</v>
      </c>
      <c r="F435" s="306">
        <v>26.805564880371101</v>
      </c>
      <c r="G435" s="306">
        <v>22.710954666137699</v>
      </c>
      <c r="H435" s="306">
        <v>22.759067535400401</v>
      </c>
      <c r="I435" s="306">
        <v>22.268846511840799</v>
      </c>
      <c r="J435" s="306">
        <v>24.343835830688501</v>
      </c>
      <c r="K435" s="306">
        <v>23.932544708251999</v>
      </c>
      <c r="L435" s="306">
        <v>23.763250350952099</v>
      </c>
      <c r="M435" s="306">
        <v>23.536403656005898</v>
      </c>
      <c r="N435" s="306">
        <v>23.5618801116943</v>
      </c>
      <c r="O435" s="306">
        <v>23.4868278503418</v>
      </c>
      <c r="P435" s="306">
        <v>23.560710906982401</v>
      </c>
      <c r="Q435" s="306">
        <v>23.7542419433594</v>
      </c>
      <c r="R435" s="306">
        <v>23.654756546020501</v>
      </c>
      <c r="S435" s="306">
        <v>23.5774955749512</v>
      </c>
      <c r="T435" s="306">
        <v>23.664421081543001</v>
      </c>
      <c r="U435" s="306">
        <v>23.6253147125244</v>
      </c>
      <c r="V435" s="306">
        <v>23.741106033325199</v>
      </c>
      <c r="W435" s="306">
        <v>23.8700561523438</v>
      </c>
      <c r="X435" s="306">
        <v>23.973831176757798</v>
      </c>
      <c r="Y435" s="306">
        <v>23.953416824340799</v>
      </c>
      <c r="Z435" s="306">
        <v>23.9759330749512</v>
      </c>
    </row>
    <row r="436" spans="1:26" x14ac:dyDescent="0.25">
      <c r="A436" s="310" t="s">
        <v>618</v>
      </c>
      <c r="B436" s="310"/>
      <c r="C436" s="310"/>
      <c r="D436" s="306">
        <v>20.914932250976602</v>
      </c>
      <c r="E436" s="306">
        <v>23.101913452148398</v>
      </c>
      <c r="F436" s="306">
        <v>24.811454772949201</v>
      </c>
      <c r="G436" s="306">
        <v>27.774848937988299</v>
      </c>
      <c r="H436" s="306">
        <v>25.9952602386475</v>
      </c>
      <c r="I436" s="306">
        <v>24.2666110992432</v>
      </c>
      <c r="J436" s="306">
        <v>21.291254043579102</v>
      </c>
      <c r="K436" s="306">
        <v>20.525190353393601</v>
      </c>
      <c r="L436" s="306">
        <v>20.3361301422119</v>
      </c>
      <c r="M436" s="306">
        <v>20.197395324706999</v>
      </c>
      <c r="N436" s="306">
        <v>20.009881973266602</v>
      </c>
      <c r="O436" s="306">
        <v>20.093305587768601</v>
      </c>
      <c r="P436" s="306">
        <v>20.196292877197301</v>
      </c>
      <c r="Q436" s="306">
        <v>20.4327602386475</v>
      </c>
      <c r="R436" s="306">
        <v>20.4076957702637</v>
      </c>
      <c r="S436" s="306">
        <v>20.624263763427699</v>
      </c>
      <c r="T436" s="306">
        <v>20.610368728637699</v>
      </c>
      <c r="U436" s="306">
        <v>20.617734909057599</v>
      </c>
      <c r="V436" s="306">
        <v>21.067132949829102</v>
      </c>
      <c r="W436" s="306">
        <v>20.970218658447301</v>
      </c>
      <c r="X436" s="306">
        <v>20.962213516235401</v>
      </c>
      <c r="Y436" s="306">
        <v>21.257926940918001</v>
      </c>
      <c r="Z436" s="306">
        <v>21.098123550415</v>
      </c>
    </row>
    <row r="437" spans="1:26" x14ac:dyDescent="0.25">
      <c r="A437" s="309" t="s">
        <v>619</v>
      </c>
      <c r="B437" s="309"/>
      <c r="C437" s="309"/>
      <c r="D437" s="306">
        <v>15.721848487854</v>
      </c>
      <c r="E437" s="306">
        <v>18.644901275634801</v>
      </c>
      <c r="F437" s="306">
        <v>21.1534824371338</v>
      </c>
      <c r="G437" s="306">
        <v>20.964454650878899</v>
      </c>
      <c r="H437" s="306">
        <v>19.721015930175799</v>
      </c>
      <c r="I437" s="306">
        <v>18.6920680999756</v>
      </c>
      <c r="J437" s="306">
        <v>17.902309417724599</v>
      </c>
      <c r="K437" s="306">
        <v>17.232242584228501</v>
      </c>
      <c r="L437" s="306">
        <v>16.863773345947301</v>
      </c>
      <c r="M437" s="306">
        <v>16.565891265869102</v>
      </c>
      <c r="N437" s="306">
        <v>16.0857257843018</v>
      </c>
      <c r="O437" s="306">
        <v>16.063297271728501</v>
      </c>
      <c r="P437" s="306">
        <v>16.111997604370099</v>
      </c>
      <c r="Q437" s="306">
        <v>16.240406036376999</v>
      </c>
      <c r="R437" s="306">
        <v>16.3247375488281</v>
      </c>
      <c r="S437" s="306">
        <v>16.6728916168213</v>
      </c>
      <c r="T437" s="306">
        <v>16.6320400238037</v>
      </c>
      <c r="U437" s="306">
        <v>16.751285552978501</v>
      </c>
      <c r="V437" s="306">
        <v>17.051519393920898</v>
      </c>
      <c r="W437" s="306">
        <v>16.920253753662099</v>
      </c>
      <c r="X437" s="306">
        <v>17.1026096343994</v>
      </c>
      <c r="Y437" s="306">
        <v>17.3232307434082</v>
      </c>
      <c r="Z437" s="306">
        <v>17.144313812255898</v>
      </c>
    </row>
    <row r="438" spans="1:26" x14ac:dyDescent="0.25">
      <c r="A438" s="306" t="s">
        <v>620</v>
      </c>
      <c r="B438" s="306"/>
      <c r="C438" s="306"/>
      <c r="D438" s="306">
        <v>9.2184209823608398</v>
      </c>
      <c r="E438" s="306">
        <v>13.1439361572266</v>
      </c>
      <c r="F438" s="306">
        <v>14.9574270248413</v>
      </c>
      <c r="G438" s="306">
        <v>12.9907026290894</v>
      </c>
      <c r="H438" s="306">
        <v>11.722384452819799</v>
      </c>
      <c r="I438" s="306">
        <v>11.2624855041504</v>
      </c>
      <c r="J438" s="306">
        <v>10.9056959152222</v>
      </c>
      <c r="K438" s="306">
        <v>10.3720808029175</v>
      </c>
      <c r="L438" s="306">
        <v>10.059165954589799</v>
      </c>
      <c r="M438" s="306">
        <v>10.0335283279419</v>
      </c>
      <c r="N438" s="306">
        <v>9.8430700302124006</v>
      </c>
      <c r="O438" s="306">
        <v>9.8874025344848597</v>
      </c>
      <c r="P438" s="306">
        <v>10.0322532653809</v>
      </c>
      <c r="Q438" s="306">
        <v>10.087176322936999</v>
      </c>
      <c r="R438" s="306">
        <v>10.2108345031738</v>
      </c>
      <c r="S438" s="306">
        <v>10.523097038269</v>
      </c>
      <c r="T438" s="306">
        <v>10.506872177124</v>
      </c>
      <c r="U438" s="306">
        <v>10.5880041122437</v>
      </c>
      <c r="V438" s="306">
        <v>10.8930578231812</v>
      </c>
      <c r="W438" s="306">
        <v>10.788450241088899</v>
      </c>
      <c r="X438" s="306">
        <v>10.9106340408325</v>
      </c>
      <c r="Y438" s="306">
        <v>11.0979099273682</v>
      </c>
      <c r="Z438" s="306">
        <v>11.0487413406372</v>
      </c>
    </row>
    <row r="439" spans="1:26" x14ac:dyDescent="0.25">
      <c r="A439" s="309" t="s">
        <v>621</v>
      </c>
      <c r="B439" s="309"/>
      <c r="C439" s="309"/>
      <c r="D439" s="306">
        <v>13.583283424377401</v>
      </c>
      <c r="E439" s="306">
        <v>17.522464752197301</v>
      </c>
      <c r="F439" s="306">
        <v>19.7921543121338</v>
      </c>
      <c r="G439" s="306">
        <v>19.706336975097699</v>
      </c>
      <c r="H439" s="306">
        <v>18.211244583129901</v>
      </c>
      <c r="I439" s="306">
        <v>17.3085613250732</v>
      </c>
      <c r="J439" s="306">
        <v>16.8088684082031</v>
      </c>
      <c r="K439" s="306">
        <v>16.001249313354499</v>
      </c>
      <c r="L439" s="306">
        <v>15.3922462463379</v>
      </c>
      <c r="M439" s="306">
        <v>15.213009834289601</v>
      </c>
      <c r="N439" s="306">
        <v>14.822114944458001</v>
      </c>
      <c r="O439" s="306">
        <v>14.859941482543899</v>
      </c>
      <c r="P439" s="306">
        <v>15.1213598251343</v>
      </c>
      <c r="Q439" s="306">
        <v>15.075839042663601</v>
      </c>
      <c r="R439" s="306">
        <v>15.158118247985801</v>
      </c>
      <c r="S439" s="306">
        <v>15.4795846939087</v>
      </c>
      <c r="T439" s="306">
        <v>15.4157457351685</v>
      </c>
      <c r="U439" s="306">
        <v>15.4886207580566</v>
      </c>
      <c r="V439" s="306">
        <v>15.773143768310501</v>
      </c>
      <c r="W439" s="306">
        <v>15.4716739654541</v>
      </c>
      <c r="X439" s="306">
        <v>15.639728546142599</v>
      </c>
      <c r="Y439" s="306">
        <v>15.912574768066399</v>
      </c>
      <c r="Z439" s="306">
        <v>15.834021568298301</v>
      </c>
    </row>
    <row r="440" spans="1:26" x14ac:dyDescent="0.25">
      <c r="A440" s="306" t="s">
        <v>611</v>
      </c>
      <c r="B440" s="306"/>
      <c r="C440" s="306"/>
      <c r="D440" s="306">
        <v>4.8536195755004901</v>
      </c>
      <c r="E440" s="306">
        <v>5.5067763328552202</v>
      </c>
      <c r="F440" s="306">
        <v>7.1623473167419398</v>
      </c>
      <c r="G440" s="306">
        <v>8.8221101760864293</v>
      </c>
      <c r="H440" s="306">
        <v>9.0483112335205096</v>
      </c>
      <c r="I440" s="306">
        <v>8.6029233932495099</v>
      </c>
      <c r="J440" s="306">
        <v>8.0481967926025408</v>
      </c>
      <c r="K440" s="306">
        <v>7.6902847290039098</v>
      </c>
      <c r="L440" s="306">
        <v>7.3429737091064498</v>
      </c>
      <c r="M440" s="306">
        <v>7.1018238067626998</v>
      </c>
      <c r="N440" s="306">
        <v>6.97245073318481</v>
      </c>
      <c r="O440" s="306">
        <v>7.0413579940795898</v>
      </c>
      <c r="P440" s="306">
        <v>7.0324416160583496</v>
      </c>
      <c r="Q440" s="306">
        <v>7.12284135818481</v>
      </c>
      <c r="R440" s="306">
        <v>7.14320993423462</v>
      </c>
      <c r="S440" s="306">
        <v>7.1685328483581499</v>
      </c>
      <c r="T440" s="306">
        <v>7.3589744567871103</v>
      </c>
      <c r="U440" s="306">
        <v>7.4886426925659197</v>
      </c>
      <c r="V440" s="306">
        <v>7.6476154327392596</v>
      </c>
      <c r="W440" s="306">
        <v>7.6766633987426802</v>
      </c>
      <c r="X440" s="306">
        <v>7.8515577316284197</v>
      </c>
      <c r="Y440" s="306">
        <v>7.8973522186279297</v>
      </c>
      <c r="Z440" s="306">
        <v>8.0370302200317401</v>
      </c>
    </row>
    <row r="441" spans="1:26" x14ac:dyDescent="0.25">
      <c r="A441" s="306" t="s">
        <v>622</v>
      </c>
      <c r="B441" s="306"/>
      <c r="C441" s="306"/>
      <c r="D441" s="306">
        <v>11.913727760314901</v>
      </c>
      <c r="E441" s="306">
        <v>14.761161804199199</v>
      </c>
      <c r="F441" s="306">
        <v>11.981869697570801</v>
      </c>
      <c r="G441" s="306">
        <v>12.283256530761699</v>
      </c>
      <c r="H441" s="306">
        <v>12.1389265060425</v>
      </c>
      <c r="I441" s="306">
        <v>12.3170175552368</v>
      </c>
      <c r="J441" s="306">
        <v>13.965456008911101</v>
      </c>
      <c r="K441" s="306">
        <v>13.507596015930201</v>
      </c>
      <c r="L441" s="306">
        <v>13.291357994079601</v>
      </c>
      <c r="M441" s="306">
        <v>13.0437335968018</v>
      </c>
      <c r="N441" s="306">
        <v>12.940827369689901</v>
      </c>
      <c r="O441" s="306">
        <v>12.861621856689499</v>
      </c>
      <c r="P441" s="306">
        <v>12.894752502441399</v>
      </c>
      <c r="Q441" s="306">
        <v>13.0291633605957</v>
      </c>
      <c r="R441" s="306">
        <v>12.9489841461182</v>
      </c>
      <c r="S441" s="306">
        <v>12.946153640747101</v>
      </c>
      <c r="T441" s="306">
        <v>12.9756631851196</v>
      </c>
      <c r="U441" s="306">
        <v>12.953050613403301</v>
      </c>
      <c r="V441" s="306">
        <v>13.079764366149901</v>
      </c>
      <c r="W441" s="306">
        <v>13.110743522644</v>
      </c>
      <c r="X441" s="306">
        <v>13.198463439941399</v>
      </c>
      <c r="Y441" s="306">
        <v>13.2244005203247</v>
      </c>
      <c r="Z441" s="306">
        <v>13.175202369689901</v>
      </c>
    </row>
    <row r="442" spans="1:26" x14ac:dyDescent="0.25">
      <c r="A442" s="306" t="s">
        <v>479</v>
      </c>
      <c r="B442" s="306"/>
      <c r="C442" s="306"/>
      <c r="D442" s="306">
        <v>26.1035976409912</v>
      </c>
      <c r="E442" s="306">
        <v>25.216188430786101</v>
      </c>
      <c r="F442" s="306">
        <v>26.121034622192401</v>
      </c>
      <c r="G442" s="306">
        <v>25.629154205322301</v>
      </c>
      <c r="H442" s="306">
        <v>25.7473449707031</v>
      </c>
      <c r="I442" s="306">
        <v>25.392839431762699</v>
      </c>
      <c r="J442" s="306">
        <v>24.861566543579102</v>
      </c>
      <c r="K442" s="306">
        <v>24.317947387695298</v>
      </c>
      <c r="L442" s="306">
        <v>24.125808715820298</v>
      </c>
      <c r="M442" s="306">
        <v>23.980707168579102</v>
      </c>
      <c r="N442" s="306">
        <v>23.787378311157202</v>
      </c>
      <c r="O442" s="306">
        <v>23.809650421142599</v>
      </c>
      <c r="P442" s="306">
        <v>23.876377105712901</v>
      </c>
      <c r="Q442" s="306">
        <v>24.074831008911101</v>
      </c>
      <c r="R442" s="306">
        <v>24.262081146240199</v>
      </c>
      <c r="S442" s="306">
        <v>24.183790206909201</v>
      </c>
      <c r="T442" s="306">
        <v>24.2170009613037</v>
      </c>
      <c r="U442" s="306">
        <v>24.245899200439499</v>
      </c>
      <c r="V442" s="306">
        <v>24.2234077453613</v>
      </c>
      <c r="W442" s="306">
        <v>24.307447433471701</v>
      </c>
      <c r="X442" s="306">
        <v>24.4279899597168</v>
      </c>
      <c r="Y442" s="306">
        <v>24.465734481811499</v>
      </c>
      <c r="Z442" s="306">
        <v>24.386825561523398</v>
      </c>
    </row>
    <row r="443" spans="1:26" x14ac:dyDescent="0.25">
      <c r="A443" s="306" t="s">
        <v>623</v>
      </c>
      <c r="B443" s="306"/>
      <c r="C443" s="306"/>
      <c r="D443" s="306"/>
      <c r="E443" s="306"/>
      <c r="F443" s="306"/>
      <c r="G443" s="306"/>
      <c r="H443" s="306"/>
      <c r="I443" s="306"/>
      <c r="J443" s="306"/>
      <c r="K443" s="306"/>
      <c r="L443" s="306"/>
      <c r="M443" s="306"/>
      <c r="N443" s="306"/>
      <c r="O443" s="306"/>
      <c r="P443" s="306"/>
      <c r="Q443" s="306"/>
      <c r="R443" s="306"/>
      <c r="S443" s="306"/>
      <c r="T443" s="306"/>
      <c r="U443" s="306"/>
      <c r="V443" s="306"/>
      <c r="W443" s="306"/>
      <c r="X443" s="306"/>
      <c r="Y443" s="306"/>
      <c r="Z443" s="306"/>
    </row>
    <row r="444" spans="1:26" x14ac:dyDescent="0.25">
      <c r="A444" s="306" t="s">
        <v>610</v>
      </c>
      <c r="B444" s="306"/>
      <c r="C444" s="306"/>
      <c r="D444" s="306">
        <v>9.5153579711914098</v>
      </c>
      <c r="E444" s="306">
        <v>11.3847246170044</v>
      </c>
      <c r="F444" s="306">
        <v>13.235827445983899</v>
      </c>
      <c r="G444" s="306">
        <v>14.263434410095201</v>
      </c>
      <c r="H444" s="306">
        <v>13.7692108154297</v>
      </c>
      <c r="I444" s="306">
        <v>12.704180717468301</v>
      </c>
      <c r="J444" s="306">
        <v>11.7051839828491</v>
      </c>
      <c r="K444" s="306">
        <v>10.7794647216797</v>
      </c>
      <c r="L444" s="306">
        <v>10.0299482345581</v>
      </c>
      <c r="M444" s="306">
        <v>9.2896862030029297</v>
      </c>
      <c r="N444" s="306">
        <v>9.1972703933715803</v>
      </c>
      <c r="O444" s="306">
        <v>9.2599020004272496</v>
      </c>
      <c r="P444" s="306">
        <v>9.2775526046752894</v>
      </c>
      <c r="Q444" s="306">
        <v>9.4403448104858398</v>
      </c>
      <c r="R444" s="306">
        <v>9.5352287292480504</v>
      </c>
      <c r="S444" s="306">
        <v>9.7515039443969709</v>
      </c>
      <c r="T444" s="306">
        <v>9.8428487777709996</v>
      </c>
      <c r="U444" s="306">
        <v>9.9595317840576207</v>
      </c>
      <c r="V444" s="306">
        <v>10.1106100082397</v>
      </c>
      <c r="W444" s="306">
        <v>10.0771369934082</v>
      </c>
      <c r="X444" s="306">
        <v>10.217479705810501</v>
      </c>
      <c r="Y444" s="306">
        <v>10.254093170166</v>
      </c>
      <c r="Z444" s="306">
        <v>10.318883895874</v>
      </c>
    </row>
    <row r="445" spans="1:26" x14ac:dyDescent="0.25">
      <c r="A445" s="306" t="s">
        <v>611</v>
      </c>
      <c r="B445" s="306"/>
      <c r="C445" s="306"/>
      <c r="D445" s="306">
        <v>4.9909768104553196</v>
      </c>
      <c r="E445" s="306">
        <v>6.9611043930053702</v>
      </c>
      <c r="F445" s="306">
        <v>7.8457942008972203</v>
      </c>
      <c r="G445" s="306">
        <v>7.1943798065185502</v>
      </c>
      <c r="H445" s="306">
        <v>7.2948379516601598</v>
      </c>
      <c r="I445" s="306">
        <v>6.9926204681396502</v>
      </c>
      <c r="J445" s="306">
        <v>6.5808119773864702</v>
      </c>
      <c r="K445" s="306">
        <v>6.2065305709838903</v>
      </c>
      <c r="L445" s="306">
        <v>5.9029440879821804</v>
      </c>
      <c r="M445" s="306">
        <v>5.45705270767212</v>
      </c>
      <c r="N445" s="306">
        <v>5.4534096717834499</v>
      </c>
      <c r="O445" s="306">
        <v>5.5995068550109899</v>
      </c>
      <c r="P445" s="306">
        <v>5.6287369728088397</v>
      </c>
      <c r="Q445" s="306">
        <v>5.7370648384094203</v>
      </c>
      <c r="R445" s="306">
        <v>5.8140759468078604</v>
      </c>
      <c r="S445" s="306">
        <v>6.0071105957031303</v>
      </c>
      <c r="T445" s="306">
        <v>6.0822205543518102</v>
      </c>
      <c r="U445" s="306">
        <v>6.22955322265625</v>
      </c>
      <c r="V445" s="306">
        <v>6.4186983108520499</v>
      </c>
      <c r="W445" s="306">
        <v>6.3188004493713397</v>
      </c>
      <c r="X445" s="306">
        <v>6.5342454910278303</v>
      </c>
      <c r="Y445" s="306">
        <v>6.5804891586303702</v>
      </c>
      <c r="Z445" s="306">
        <v>6.6370191574096697</v>
      </c>
    </row>
    <row r="446" spans="1:26" x14ac:dyDescent="0.25">
      <c r="A446" s="308" t="s">
        <v>510</v>
      </c>
      <c r="B446" s="308"/>
      <c r="C446" s="308"/>
      <c r="D446" s="306">
        <v>6.1140975952148402</v>
      </c>
      <c r="E446" s="306">
        <v>8.1813249588012695</v>
      </c>
      <c r="F446" s="306">
        <v>6.9707522392272896</v>
      </c>
      <c r="G446" s="306">
        <v>7.1151452064514196</v>
      </c>
      <c r="H446" s="306">
        <v>7.0668158531189</v>
      </c>
      <c r="I446" s="306">
        <v>6.5265731811523402</v>
      </c>
      <c r="J446" s="306">
        <v>6.2202811241149902</v>
      </c>
      <c r="K446" s="306">
        <v>5.8298497200012198</v>
      </c>
      <c r="L446" s="306">
        <v>5.6925516128540004</v>
      </c>
      <c r="M446" s="306">
        <v>5.4995698928832999</v>
      </c>
      <c r="N446" s="306">
        <v>5.54103326797485</v>
      </c>
      <c r="O446" s="306">
        <v>5.5007095336914098</v>
      </c>
      <c r="P446" s="306">
        <v>5.59739446640015</v>
      </c>
      <c r="Q446" s="306">
        <v>5.7880721092224103</v>
      </c>
      <c r="R446" s="306">
        <v>5.7225790023803702</v>
      </c>
      <c r="S446" s="306">
        <v>5.6709170341491699</v>
      </c>
      <c r="T446" s="306">
        <v>5.7639327049255398</v>
      </c>
      <c r="U446" s="306">
        <v>5.72597312927246</v>
      </c>
      <c r="V446" s="306">
        <v>5.8378243446350098</v>
      </c>
      <c r="W446" s="306">
        <v>5.9462161064147896</v>
      </c>
      <c r="X446" s="306">
        <v>6.05735063552856</v>
      </c>
      <c r="Y446" s="306">
        <v>6.0477237701415998</v>
      </c>
      <c r="Z446" s="306">
        <v>6.0664491653442401</v>
      </c>
    </row>
    <row r="447" spans="1:26" x14ac:dyDescent="0.25">
      <c r="A447" s="311" t="s">
        <v>624</v>
      </c>
      <c r="B447" s="311"/>
      <c r="C447" s="311"/>
      <c r="D447" s="306">
        <v>1.4011929035186801</v>
      </c>
      <c r="E447" s="306">
        <v>1.5299999713897701</v>
      </c>
      <c r="F447" s="306">
        <v>1.6714243888855</v>
      </c>
      <c r="G447" s="306">
        <v>1.69177293777466</v>
      </c>
      <c r="H447" s="306">
        <v>1.70398998260498</v>
      </c>
      <c r="I447" s="306">
        <v>1.7000321149826001</v>
      </c>
      <c r="J447" s="306">
        <v>1.7052028179168699</v>
      </c>
      <c r="K447" s="306">
        <v>1.66678094863892</v>
      </c>
      <c r="L447" s="306">
        <v>1.63700723648071</v>
      </c>
      <c r="M447" s="306">
        <v>1.6199716329574601</v>
      </c>
      <c r="N447" s="306">
        <v>1.61296951770782</v>
      </c>
      <c r="O447" s="306">
        <v>1.59987056255341</v>
      </c>
      <c r="P447" s="306">
        <v>1.59190189838409</v>
      </c>
      <c r="Q447" s="306">
        <v>1.5892090797424301</v>
      </c>
      <c r="R447" s="306">
        <v>1.57604885101318</v>
      </c>
      <c r="S447" s="306">
        <v>1.5779995918273899</v>
      </c>
      <c r="T447" s="306">
        <v>1.5809644460678101</v>
      </c>
      <c r="U447" s="306">
        <v>1.5890377759933501</v>
      </c>
      <c r="V447" s="306">
        <v>1.59825491905212</v>
      </c>
      <c r="W447" s="306">
        <v>1.6020262241363501</v>
      </c>
      <c r="X447" s="306">
        <v>1.6148724555969201</v>
      </c>
      <c r="Y447" s="306">
        <v>1.62832856178284</v>
      </c>
      <c r="Z447" s="306">
        <v>1.63934326171875</v>
      </c>
    </row>
    <row r="448" spans="1:26" x14ac:dyDescent="0.25">
      <c r="A448" s="306" t="s">
        <v>625</v>
      </c>
      <c r="B448" s="306"/>
      <c r="C448" s="306"/>
      <c r="D448" s="306"/>
      <c r="E448" s="306"/>
      <c r="F448" s="306"/>
      <c r="G448" s="306"/>
      <c r="H448" s="306"/>
      <c r="I448" s="306"/>
      <c r="J448" s="306"/>
      <c r="K448" s="306"/>
      <c r="L448" s="306"/>
      <c r="M448" s="306"/>
      <c r="N448" s="306"/>
      <c r="O448" s="306"/>
      <c r="P448" s="306"/>
      <c r="Q448" s="306"/>
      <c r="R448" s="306"/>
      <c r="S448" s="306"/>
      <c r="T448" s="306"/>
      <c r="U448" s="306"/>
      <c r="V448" s="306"/>
      <c r="W448" s="306"/>
      <c r="X448" s="306"/>
      <c r="Y448" s="306"/>
      <c r="Z448" s="306"/>
    </row>
    <row r="449" spans="1:70" x14ac:dyDescent="0.25">
      <c r="A449" s="306" t="s">
        <v>609</v>
      </c>
      <c r="B449" s="306"/>
      <c r="C449" s="306"/>
      <c r="D449" s="306">
        <v>12.6906900405884</v>
      </c>
      <c r="E449" s="306">
        <v>17.482444763183601</v>
      </c>
      <c r="F449" s="306">
        <v>19.464084625244102</v>
      </c>
      <c r="G449" s="306">
        <v>18.995626449585</v>
      </c>
      <c r="H449" s="306">
        <v>18.880571365356399</v>
      </c>
      <c r="I449" s="306">
        <v>18.286575317382798</v>
      </c>
      <c r="J449" s="306">
        <v>18.020065307617202</v>
      </c>
      <c r="K449" s="306">
        <v>17.571559906005898</v>
      </c>
      <c r="L449" s="306">
        <v>17.417589187622099</v>
      </c>
      <c r="M449" s="306">
        <v>17.2678737640381</v>
      </c>
      <c r="N449" s="306">
        <v>17.291303634643601</v>
      </c>
      <c r="O449" s="306">
        <v>17.241743087768601</v>
      </c>
      <c r="P449" s="306">
        <v>17.364793777465799</v>
      </c>
      <c r="Q449" s="306">
        <v>17.562221527099599</v>
      </c>
      <c r="R449" s="306">
        <v>17.562810897827099</v>
      </c>
      <c r="S449" s="306">
        <v>17.558799743652301</v>
      </c>
      <c r="T449" s="306">
        <v>17.620630264282202</v>
      </c>
      <c r="U449" s="306">
        <v>17.599321365356399</v>
      </c>
      <c r="V449" s="306">
        <v>17.721448898315401</v>
      </c>
      <c r="W449" s="306">
        <v>17.8418064117432</v>
      </c>
      <c r="X449" s="306">
        <v>17.9907836914063</v>
      </c>
      <c r="Y449" s="306">
        <v>17.9618225097656</v>
      </c>
      <c r="Z449" s="306">
        <v>17.988685607910199</v>
      </c>
    </row>
    <row r="450" spans="1:70" x14ac:dyDescent="0.25">
      <c r="A450" s="306" t="s">
        <v>618</v>
      </c>
      <c r="B450" s="306"/>
      <c r="C450" s="306"/>
      <c r="D450" s="306">
        <v>20.914932250976602</v>
      </c>
      <c r="E450" s="306">
        <v>23.101913452148398</v>
      </c>
      <c r="F450" s="306">
        <v>24.811454772949201</v>
      </c>
      <c r="G450" s="306">
        <v>27.774848937988299</v>
      </c>
      <c r="H450" s="306">
        <v>25.9952602386475</v>
      </c>
      <c r="I450" s="306">
        <v>24.2666110992432</v>
      </c>
      <c r="J450" s="306">
        <v>21.291254043579102</v>
      </c>
      <c r="K450" s="306">
        <v>20.525190353393601</v>
      </c>
      <c r="L450" s="306">
        <v>20.3361301422119</v>
      </c>
      <c r="M450" s="306">
        <v>20.197395324706999</v>
      </c>
      <c r="N450" s="306">
        <v>20.009881973266602</v>
      </c>
      <c r="O450" s="306">
        <v>20.093305587768601</v>
      </c>
      <c r="P450" s="306">
        <v>20.196292877197301</v>
      </c>
      <c r="Q450" s="306">
        <v>20.4327602386475</v>
      </c>
      <c r="R450" s="306">
        <v>20.4076957702637</v>
      </c>
      <c r="S450" s="306">
        <v>20.624263763427699</v>
      </c>
      <c r="T450" s="306">
        <v>20.610368728637699</v>
      </c>
      <c r="U450" s="306">
        <v>20.617734909057599</v>
      </c>
      <c r="V450" s="306">
        <v>21.067132949829102</v>
      </c>
      <c r="W450" s="306">
        <v>20.970218658447301</v>
      </c>
      <c r="X450" s="306">
        <v>20.962213516235401</v>
      </c>
      <c r="Y450" s="306">
        <v>21.257926940918001</v>
      </c>
      <c r="Z450" s="306">
        <v>21.098123550415</v>
      </c>
    </row>
    <row r="451" spans="1:70" x14ac:dyDescent="0.25">
      <c r="A451" s="306" t="s">
        <v>619</v>
      </c>
      <c r="B451" s="306"/>
      <c r="C451" s="306"/>
      <c r="D451" s="306">
        <v>15.706001281738301</v>
      </c>
      <c r="E451" s="306">
        <v>18.602125167846701</v>
      </c>
      <c r="F451" s="306">
        <v>21.1080112457275</v>
      </c>
      <c r="G451" s="306">
        <v>20.962741851806602</v>
      </c>
      <c r="H451" s="306">
        <v>19.720066070556602</v>
      </c>
      <c r="I451" s="306">
        <v>18.690637588501001</v>
      </c>
      <c r="J451" s="306">
        <v>17.900485992431602</v>
      </c>
      <c r="K451" s="306">
        <v>17.230388641357401</v>
      </c>
      <c r="L451" s="306">
        <v>16.861814498901399</v>
      </c>
      <c r="M451" s="306">
        <v>16.564214706420898</v>
      </c>
      <c r="N451" s="306">
        <v>16.0839519500732</v>
      </c>
      <c r="O451" s="306">
        <v>16.0615749359131</v>
      </c>
      <c r="P451" s="306">
        <v>16.110080718994102</v>
      </c>
      <c r="Q451" s="306">
        <v>16.238643646240199</v>
      </c>
      <c r="R451" s="306">
        <v>16.322971343994102</v>
      </c>
      <c r="S451" s="306">
        <v>16.671089172363299</v>
      </c>
      <c r="T451" s="306">
        <v>16.630247116088899</v>
      </c>
      <c r="U451" s="306">
        <v>16.7495441436768</v>
      </c>
      <c r="V451" s="306">
        <v>17.049686431884801</v>
      </c>
      <c r="W451" s="306">
        <v>16.918500900268601</v>
      </c>
      <c r="X451" s="306">
        <v>17.100944519043001</v>
      </c>
      <c r="Y451" s="306">
        <v>17.321361541748001</v>
      </c>
      <c r="Z451" s="306">
        <v>17.142530441284201</v>
      </c>
    </row>
    <row r="452" spans="1:70" x14ac:dyDescent="0.25">
      <c r="A452" s="306" t="s">
        <v>626</v>
      </c>
      <c r="B452" s="306"/>
      <c r="C452" s="306"/>
      <c r="D452" s="306">
        <v>9.2184209823608398</v>
      </c>
      <c r="E452" s="306">
        <v>13.1439361572266</v>
      </c>
      <c r="F452" s="306">
        <v>14.9574270248413</v>
      </c>
      <c r="G452" s="306">
        <v>12.9907026290894</v>
      </c>
      <c r="H452" s="306">
        <v>11.722384452819799</v>
      </c>
      <c r="I452" s="306">
        <v>11.2624855041504</v>
      </c>
      <c r="J452" s="306">
        <v>10.9056959152222</v>
      </c>
      <c r="K452" s="306">
        <v>10.3720808029175</v>
      </c>
      <c r="L452" s="306">
        <v>10.059165954589799</v>
      </c>
      <c r="M452" s="306">
        <v>10.0335283279419</v>
      </c>
      <c r="N452" s="306">
        <v>9.8430700302124006</v>
      </c>
      <c r="O452" s="306">
        <v>9.8874025344848597</v>
      </c>
      <c r="P452" s="306">
        <v>10.0322532653809</v>
      </c>
      <c r="Q452" s="306">
        <v>10.087176322936999</v>
      </c>
      <c r="R452" s="306">
        <v>10.2108345031738</v>
      </c>
      <c r="S452" s="306">
        <v>10.523097038269</v>
      </c>
      <c r="T452" s="306">
        <v>10.506872177124</v>
      </c>
      <c r="U452" s="306">
        <v>10.5880041122437</v>
      </c>
      <c r="V452" s="306">
        <v>10.8930578231812</v>
      </c>
      <c r="W452" s="306">
        <v>10.788450241088899</v>
      </c>
      <c r="X452" s="306">
        <v>10.9106340408325</v>
      </c>
      <c r="Y452" s="306">
        <v>11.0979099273682</v>
      </c>
      <c r="Z452" s="306">
        <v>11.0487413406372</v>
      </c>
    </row>
    <row r="453" spans="1:70" x14ac:dyDescent="0.25">
      <c r="A453" s="306" t="s">
        <v>610</v>
      </c>
      <c r="B453" s="306"/>
      <c r="C453" s="306"/>
      <c r="D453" s="306">
        <v>12.9106340408325</v>
      </c>
      <c r="E453" s="306">
        <v>16.217037200927699</v>
      </c>
      <c r="F453" s="306">
        <v>18.421550750732401</v>
      </c>
      <c r="G453" s="306">
        <v>18.437913894653299</v>
      </c>
      <c r="H453" s="306">
        <v>17.199058532714801</v>
      </c>
      <c r="I453" s="306">
        <v>16.296318054199201</v>
      </c>
      <c r="J453" s="306">
        <v>15.704516410827599</v>
      </c>
      <c r="K453" s="306">
        <v>14.921827316284199</v>
      </c>
      <c r="L453" s="306">
        <v>14.360170364379901</v>
      </c>
      <c r="M453" s="306">
        <v>14.182985305786101</v>
      </c>
      <c r="N453" s="306">
        <v>13.862556457519499</v>
      </c>
      <c r="O453" s="306">
        <v>13.915904045105</v>
      </c>
      <c r="P453" s="306">
        <v>14.153459548950201</v>
      </c>
      <c r="Q453" s="306">
        <v>14.1445617675781</v>
      </c>
      <c r="R453" s="306">
        <v>14.2399711608887</v>
      </c>
      <c r="S453" s="306">
        <v>14.558382987976101</v>
      </c>
      <c r="T453" s="306">
        <v>14.527869224548301</v>
      </c>
      <c r="U453" s="306">
        <v>14.6189737319946</v>
      </c>
      <c r="V453" s="306">
        <v>14.9021968841553</v>
      </c>
      <c r="W453" s="306">
        <v>14.6463842391968</v>
      </c>
      <c r="X453" s="306">
        <v>14.8252000808716</v>
      </c>
      <c r="Y453" s="306">
        <v>15.0819444656372</v>
      </c>
      <c r="Z453" s="306">
        <v>15.031323432922401</v>
      </c>
    </row>
    <row r="454" spans="1:70" x14ac:dyDescent="0.25">
      <c r="A454" s="306" t="s">
        <v>611</v>
      </c>
      <c r="B454" s="306"/>
      <c r="C454" s="306"/>
      <c r="D454" s="306">
        <v>5.0985417366027797</v>
      </c>
      <c r="E454" s="306">
        <v>6.5886197090148899</v>
      </c>
      <c r="F454" s="306">
        <v>7.9185199737548801</v>
      </c>
      <c r="G454" s="306">
        <v>8.2529850006103498</v>
      </c>
      <c r="H454" s="306">
        <v>8.4050197601318395</v>
      </c>
      <c r="I454" s="306">
        <v>8.0572872161865199</v>
      </c>
      <c r="J454" s="306">
        <v>7.6087560653686497</v>
      </c>
      <c r="K454" s="306">
        <v>7.1943945884704599</v>
      </c>
      <c r="L454" s="306">
        <v>6.8676166534423801</v>
      </c>
      <c r="M454" s="306">
        <v>6.4547815322876003</v>
      </c>
      <c r="N454" s="306">
        <v>6.4073238372802699</v>
      </c>
      <c r="O454" s="306">
        <v>6.54701900482178</v>
      </c>
      <c r="P454" s="306">
        <v>6.5695567131042498</v>
      </c>
      <c r="Q454" s="306">
        <v>6.6816062927246103</v>
      </c>
      <c r="R454" s="306">
        <v>6.7372307777404803</v>
      </c>
      <c r="S454" s="306">
        <v>6.86507225036621</v>
      </c>
      <c r="T454" s="306">
        <v>6.9956922531127903</v>
      </c>
      <c r="U454" s="306">
        <v>7.1396765708923304</v>
      </c>
      <c r="V454" s="306">
        <v>7.3088741302490199</v>
      </c>
      <c r="W454" s="306">
        <v>7.2670574188232404</v>
      </c>
      <c r="X454" s="306">
        <v>7.4510564804077104</v>
      </c>
      <c r="Y454" s="306">
        <v>7.4737396240234402</v>
      </c>
      <c r="Z454" s="306">
        <v>7.5808291435241699</v>
      </c>
    </row>
    <row r="455" spans="1:70" x14ac:dyDescent="0.25">
      <c r="A455" s="306" t="s">
        <v>510</v>
      </c>
      <c r="B455" s="306"/>
      <c r="C455" s="306"/>
      <c r="D455" s="306">
        <v>7.8259296417236301</v>
      </c>
      <c r="E455" s="306">
        <v>9.6487970352172905</v>
      </c>
      <c r="F455" s="306">
        <v>9.1377601623535192</v>
      </c>
      <c r="G455" s="306">
        <v>8.7611961364746094</v>
      </c>
      <c r="H455" s="306">
        <v>8.6626396179199201</v>
      </c>
      <c r="I455" s="306">
        <v>8.1270828247070295</v>
      </c>
      <c r="J455" s="306">
        <v>7.8336372375488299</v>
      </c>
      <c r="K455" s="306">
        <v>7.4448304176330602</v>
      </c>
      <c r="L455" s="306">
        <v>7.2887372970581099</v>
      </c>
      <c r="M455" s="306">
        <v>7.0927038192748997</v>
      </c>
      <c r="N455" s="306">
        <v>7.1150150299072301</v>
      </c>
      <c r="O455" s="306">
        <v>7.0641679763793901</v>
      </c>
      <c r="P455" s="306">
        <v>7.1520218849182102</v>
      </c>
      <c r="Q455" s="306">
        <v>7.3469972610473597</v>
      </c>
      <c r="R455" s="306">
        <v>7.2896466255187997</v>
      </c>
      <c r="S455" s="306">
        <v>7.2448530197143599</v>
      </c>
      <c r="T455" s="306">
        <v>7.3207983970642099</v>
      </c>
      <c r="U455" s="306">
        <v>7.3070926666259801</v>
      </c>
      <c r="V455" s="306">
        <v>7.4372458457946804</v>
      </c>
      <c r="W455" s="306">
        <v>7.5700182914733896</v>
      </c>
      <c r="X455" s="306">
        <v>7.6924967765808097</v>
      </c>
      <c r="Y455" s="306">
        <v>7.6794857978820801</v>
      </c>
      <c r="Z455" s="306">
        <v>7.7304539680481001</v>
      </c>
    </row>
    <row r="456" spans="1:70" x14ac:dyDescent="0.25">
      <c r="A456" s="306" t="s">
        <v>614</v>
      </c>
      <c r="B456" s="306"/>
      <c r="C456" s="306"/>
      <c r="D456" s="306">
        <v>2.3078472614288299</v>
      </c>
      <c r="E456" s="306">
        <v>3.0599997043609601</v>
      </c>
      <c r="F456" s="306">
        <v>3.2548489570617698</v>
      </c>
      <c r="G456" s="306">
        <v>3.2975256443023699</v>
      </c>
      <c r="H456" s="306">
        <v>3.2872827053070099</v>
      </c>
      <c r="I456" s="306">
        <v>3.1889374256134002</v>
      </c>
      <c r="J456" s="306">
        <v>3.0940959453582799</v>
      </c>
      <c r="K456" s="306">
        <v>2.9914577007293701</v>
      </c>
      <c r="L456" s="306">
        <v>2.8927016258239702</v>
      </c>
      <c r="M456" s="306">
        <v>2.78926348686218</v>
      </c>
      <c r="N456" s="306">
        <v>2.7408642768859899</v>
      </c>
      <c r="O456" s="306">
        <v>2.7166485786438002</v>
      </c>
      <c r="P456" s="306">
        <v>2.7061200141906698</v>
      </c>
      <c r="Q456" s="306">
        <v>2.7063503265380899</v>
      </c>
      <c r="R456" s="306">
        <v>2.7045123577117902</v>
      </c>
      <c r="S456" s="306">
        <v>2.68979120254517</v>
      </c>
      <c r="T456" s="306">
        <v>2.7072892189025901</v>
      </c>
      <c r="U456" s="306">
        <v>2.71812868118286</v>
      </c>
      <c r="V456" s="306">
        <v>2.7191135883331299</v>
      </c>
      <c r="W456" s="306">
        <v>2.7064330577850302</v>
      </c>
      <c r="X456" s="306">
        <v>2.68589544296265</v>
      </c>
      <c r="Y456" s="306">
        <v>2.69574999809265</v>
      </c>
      <c r="Z456" s="306">
        <v>2.7049932479858398</v>
      </c>
      <c r="AA456">
        <v>2027</v>
      </c>
      <c r="AB456">
        <v>2028</v>
      </c>
      <c r="AC456">
        <v>2029</v>
      </c>
      <c r="AD456">
        <v>2030</v>
      </c>
      <c r="AE456">
        <v>2031</v>
      </c>
      <c r="AF456">
        <v>2032</v>
      </c>
      <c r="AG456">
        <v>2033</v>
      </c>
      <c r="AH456">
        <v>2034</v>
      </c>
      <c r="AI456">
        <v>2035</v>
      </c>
      <c r="AJ456">
        <v>2036</v>
      </c>
      <c r="AK456">
        <v>2037</v>
      </c>
      <c r="AL456">
        <v>2038</v>
      </c>
      <c r="AM456">
        <v>2039</v>
      </c>
      <c r="AN456">
        <v>2040</v>
      </c>
      <c r="AO456">
        <v>2041</v>
      </c>
      <c r="AP456">
        <v>2042</v>
      </c>
      <c r="AQ456">
        <v>2043</v>
      </c>
      <c r="AR456">
        <v>2044</v>
      </c>
      <c r="AS456">
        <v>2045</v>
      </c>
      <c r="AT456">
        <v>2046</v>
      </c>
      <c r="AU456">
        <v>2047</v>
      </c>
      <c r="AV456">
        <v>2048</v>
      </c>
      <c r="AW456">
        <v>2049</v>
      </c>
      <c r="AX456">
        <v>2050</v>
      </c>
      <c r="AY456">
        <v>2051</v>
      </c>
      <c r="AZ456">
        <v>2052</v>
      </c>
      <c r="BA456">
        <v>2053</v>
      </c>
      <c r="BB456">
        <v>2054</v>
      </c>
      <c r="BC456">
        <v>2055</v>
      </c>
      <c r="BD456">
        <v>2056</v>
      </c>
      <c r="BE456">
        <v>2057</v>
      </c>
      <c r="BF456">
        <v>2058</v>
      </c>
      <c r="BG456">
        <v>2059</v>
      </c>
      <c r="BH456">
        <v>2060</v>
      </c>
      <c r="BI456">
        <v>2061</v>
      </c>
      <c r="BJ456">
        <v>2062</v>
      </c>
      <c r="BK456">
        <v>2063</v>
      </c>
      <c r="BL456">
        <v>2064</v>
      </c>
      <c r="BM456">
        <v>2065</v>
      </c>
      <c r="BN456">
        <v>2066</v>
      </c>
      <c r="BO456">
        <v>2067</v>
      </c>
      <c r="BP456">
        <v>2068</v>
      </c>
      <c r="BQ456">
        <v>2069</v>
      </c>
      <c r="BR456">
        <v>2070</v>
      </c>
    </row>
    <row r="457" spans="1:70" x14ac:dyDescent="0.25">
      <c r="A457" s="306" t="s">
        <v>627</v>
      </c>
      <c r="B457" s="306"/>
      <c r="C457" s="306"/>
      <c r="D457" s="306">
        <v>1.43066883087158</v>
      </c>
      <c r="E457" s="306">
        <v>1.5706532001495399</v>
      </c>
      <c r="F457" s="306">
        <v>1.7059867382049601</v>
      </c>
      <c r="G457" s="306">
        <v>1.7268872261047401</v>
      </c>
      <c r="H457" s="306">
        <v>1.7392324209213299</v>
      </c>
      <c r="I457" s="306">
        <v>1.7345312833786</v>
      </c>
      <c r="J457" s="306">
        <v>1.7401528358459499</v>
      </c>
      <c r="K457" s="306">
        <v>1.7026997804641699</v>
      </c>
      <c r="L457" s="306">
        <v>1.67319643497467</v>
      </c>
      <c r="M457" s="306">
        <v>1.6556009054184</v>
      </c>
      <c r="N457" s="306">
        <v>1.6479283571243299</v>
      </c>
      <c r="O457" s="306">
        <v>1.63474309444427</v>
      </c>
      <c r="P457" s="306">
        <v>1.6263667345046999</v>
      </c>
      <c r="Q457" s="306">
        <v>1.6231272220611599</v>
      </c>
      <c r="R457" s="306">
        <v>1.60980331897736</v>
      </c>
      <c r="S457" s="306">
        <v>1.6111264228820801</v>
      </c>
      <c r="T457" s="306">
        <v>1.61373710632324</v>
      </c>
      <c r="U457" s="306">
        <v>1.6214674711227399</v>
      </c>
      <c r="V457" s="306">
        <v>1.6300570964813199</v>
      </c>
      <c r="W457" s="306">
        <v>1.6331868171691899</v>
      </c>
      <c r="X457" s="306">
        <v>1.6452817916870099</v>
      </c>
      <c r="Y457" s="306">
        <v>1.6581670045852701</v>
      </c>
      <c r="Z457" s="306">
        <v>1.6686607599258401</v>
      </c>
    </row>
    <row r="458" spans="1:70" x14ac:dyDescent="0.25">
      <c r="A458" s="306" t="s">
        <v>616</v>
      </c>
      <c r="B458" s="306"/>
      <c r="C458" s="306"/>
      <c r="D458" s="306" t="s">
        <v>1083</v>
      </c>
      <c r="E458" s="306" t="s">
        <v>1083</v>
      </c>
      <c r="F458" s="306" t="s">
        <v>1083</v>
      </c>
      <c r="G458" s="306" t="s">
        <v>1083</v>
      </c>
      <c r="H458" s="306" t="s">
        <v>1083</v>
      </c>
      <c r="I458" s="306" t="s">
        <v>1083</v>
      </c>
      <c r="J458" s="306" t="s">
        <v>1083</v>
      </c>
      <c r="K458" s="306">
        <v>0.88956671953201305</v>
      </c>
      <c r="L458" s="306">
        <v>0.881245017051697</v>
      </c>
      <c r="M458" s="306">
        <v>0.88442194461822499</v>
      </c>
      <c r="N458" s="306">
        <v>0.89085346460342396</v>
      </c>
      <c r="O458" s="306">
        <v>0.88840740919113204</v>
      </c>
      <c r="P458" s="306">
        <v>0.89322775602340698</v>
      </c>
      <c r="Q458" s="306">
        <v>0.90440875291824296</v>
      </c>
      <c r="R458" s="306">
        <v>0.91453087329864502</v>
      </c>
      <c r="S458" s="306">
        <v>0.95469778776168801</v>
      </c>
      <c r="T458" s="306">
        <v>0.96978461742401101</v>
      </c>
      <c r="U458" s="306">
        <v>1.01334369182587</v>
      </c>
      <c r="V458" s="306">
        <v>1.02781510353088</v>
      </c>
      <c r="W458" s="306">
        <v>1.0294380187988299</v>
      </c>
      <c r="X458" s="306">
        <v>1.1219843626022299</v>
      </c>
      <c r="Y458" s="306">
        <v>1.2297383546829199</v>
      </c>
      <c r="Z458" s="306">
        <v>1.26935982704163</v>
      </c>
    </row>
    <row r="459" spans="1:70" x14ac:dyDescent="0.25">
      <c r="A459" s="306" t="s">
        <v>479</v>
      </c>
      <c r="B459" s="306"/>
      <c r="C459" s="306"/>
      <c r="D459" s="306">
        <v>23.009492874145501</v>
      </c>
      <c r="E459" s="306">
        <v>23.734071731567401</v>
      </c>
      <c r="F459" s="306">
        <v>24.3845615386963</v>
      </c>
      <c r="G459" s="306">
        <v>24.318822860717798</v>
      </c>
      <c r="H459" s="306">
        <v>24.297929763793899</v>
      </c>
      <c r="I459" s="306">
        <v>24.022377014160199</v>
      </c>
      <c r="J459" s="306">
        <v>23.662025451660199</v>
      </c>
      <c r="K459" s="306">
        <v>23.093143463134801</v>
      </c>
      <c r="L459" s="306">
        <v>22.802413940429702</v>
      </c>
      <c r="M459" s="306">
        <v>22.663448333740199</v>
      </c>
      <c r="N459" s="306">
        <v>22.5459308624268</v>
      </c>
      <c r="O459" s="306">
        <v>22.5456428527832</v>
      </c>
      <c r="P459" s="306">
        <v>22.688844680786101</v>
      </c>
      <c r="Q459" s="306">
        <v>22.9480895996094</v>
      </c>
      <c r="R459" s="306">
        <v>23.136041641235401</v>
      </c>
      <c r="S459" s="306">
        <v>23.0899753570557</v>
      </c>
      <c r="T459" s="306">
        <v>23.154170989990199</v>
      </c>
      <c r="U459" s="306">
        <v>23.213594436645501</v>
      </c>
      <c r="V459" s="306">
        <v>23.230543136596701</v>
      </c>
      <c r="W459" s="306">
        <v>23.3047065734863</v>
      </c>
      <c r="X459" s="306">
        <v>23.429094314575199</v>
      </c>
      <c r="Y459" s="306">
        <v>23.4709377288818</v>
      </c>
      <c r="Z459" s="306">
        <v>23.433801651001001</v>
      </c>
    </row>
    <row r="460" spans="1:70" x14ac:dyDescent="0.25">
      <c r="A460" s="306" t="s">
        <v>513</v>
      </c>
      <c r="B460" s="306"/>
      <c r="C460" s="306"/>
      <c r="D460" s="306"/>
      <c r="E460" s="306"/>
      <c r="F460" s="306"/>
      <c r="G460" s="306"/>
      <c r="H460" s="306"/>
      <c r="I460" s="306"/>
      <c r="J460" s="306"/>
      <c r="K460" s="306"/>
      <c r="L460" s="306"/>
      <c r="M460" s="306"/>
      <c r="N460" s="306"/>
      <c r="O460" s="306"/>
      <c r="P460" s="306"/>
      <c r="Q460" s="306"/>
      <c r="R460" s="306"/>
      <c r="S460" s="306"/>
      <c r="T460" s="306"/>
      <c r="U460" s="306"/>
      <c r="V460" s="306"/>
      <c r="W460" s="306"/>
      <c r="X460" s="306"/>
      <c r="Y460" s="306"/>
      <c r="Z460" s="306"/>
    </row>
    <row r="461" spans="1:70" x14ac:dyDescent="0.25">
      <c r="A461" s="306" t="s">
        <v>628</v>
      </c>
      <c r="B461" s="306"/>
      <c r="C461" s="306"/>
      <c r="D461" s="306"/>
      <c r="E461" s="306"/>
      <c r="F461" s="306"/>
      <c r="G461" s="306"/>
      <c r="H461" s="306"/>
      <c r="I461" s="306"/>
      <c r="J461" s="306"/>
      <c r="K461" s="306"/>
      <c r="L461" s="306"/>
      <c r="M461" s="306"/>
      <c r="N461" s="306"/>
      <c r="O461" s="306"/>
      <c r="P461" s="306"/>
      <c r="Q461" s="306"/>
      <c r="R461" s="306"/>
      <c r="S461" s="306"/>
      <c r="T461" s="306"/>
      <c r="U461" s="306"/>
      <c r="V461" s="306"/>
      <c r="W461" s="306"/>
      <c r="X461" s="306"/>
      <c r="Y461" s="306"/>
      <c r="Z461" s="306"/>
    </row>
    <row r="462" spans="1:70" x14ac:dyDescent="0.25">
      <c r="A462" s="306" t="s">
        <v>473</v>
      </c>
      <c r="B462" s="306"/>
      <c r="C462" s="306"/>
      <c r="D462" s="306">
        <v>195.98880004882801</v>
      </c>
      <c r="E462" s="306">
        <v>215.13366699218801</v>
      </c>
      <c r="F462" s="306">
        <v>218.80557250976599</v>
      </c>
      <c r="G462" s="306">
        <v>221.29866027832</v>
      </c>
      <c r="H462" s="306">
        <v>223.50036621093801</v>
      </c>
      <c r="I462" s="306">
        <v>221.10458374023401</v>
      </c>
      <c r="J462" s="306">
        <v>220.438400268555</v>
      </c>
      <c r="K462" s="306">
        <v>218.08479309082</v>
      </c>
      <c r="L462" s="306">
        <v>218.45701599121099</v>
      </c>
      <c r="M462" s="306">
        <v>217.84970092773401</v>
      </c>
      <c r="N462" s="306">
        <v>219.40165710449199</v>
      </c>
      <c r="O462" s="306">
        <v>221.00289916992199</v>
      </c>
      <c r="P462" s="306">
        <v>224.59239196777301</v>
      </c>
      <c r="Q462" s="306">
        <v>228.53056335449199</v>
      </c>
      <c r="R462" s="306">
        <v>230.97148132324199</v>
      </c>
      <c r="S462" s="306">
        <v>232.57162475585901</v>
      </c>
      <c r="T462" s="306">
        <v>236.03457641601599</v>
      </c>
      <c r="U462" s="306">
        <v>237.58020019531301</v>
      </c>
      <c r="V462" s="306">
        <v>240.43632507324199</v>
      </c>
      <c r="W462" s="306">
        <v>243.39186096191401</v>
      </c>
      <c r="X462" s="306">
        <v>247.24427795410199</v>
      </c>
      <c r="Y462" s="306">
        <v>248.98767089843801</v>
      </c>
      <c r="Z462" s="306">
        <v>251.02548217773401</v>
      </c>
    </row>
    <row r="463" spans="1:70" x14ac:dyDescent="0.25">
      <c r="A463" s="306" t="s">
        <v>480</v>
      </c>
      <c r="B463" s="306"/>
      <c r="C463" s="306"/>
      <c r="D463" s="306">
        <v>141.77845764160199</v>
      </c>
      <c r="E463" s="306">
        <v>154.38449096679699</v>
      </c>
      <c r="F463" s="306">
        <v>157.84999084472699</v>
      </c>
      <c r="G463" s="306">
        <v>156.06527709960901</v>
      </c>
      <c r="H463" s="306">
        <v>159.312088012695</v>
      </c>
      <c r="I463" s="306">
        <v>158.53677368164099</v>
      </c>
      <c r="J463" s="306">
        <v>157.966796875</v>
      </c>
      <c r="K463" s="306">
        <v>156.350173950195</v>
      </c>
      <c r="L463" s="306">
        <v>157.31393432617199</v>
      </c>
      <c r="M463" s="306">
        <v>158.58882141113301</v>
      </c>
      <c r="N463" s="306">
        <v>160.74195861816401</v>
      </c>
      <c r="O463" s="306">
        <v>163.37489318847699</v>
      </c>
      <c r="P463" s="306">
        <v>167.20817565918</v>
      </c>
      <c r="Q463" s="306">
        <v>172.04411315918</v>
      </c>
      <c r="R463" s="306">
        <v>175.58262634277301</v>
      </c>
      <c r="S463" s="306">
        <v>178.093505859375</v>
      </c>
      <c r="T463" s="306">
        <v>181.73991394043</v>
      </c>
      <c r="U463" s="306">
        <v>185.01341247558599</v>
      </c>
      <c r="V463" s="306">
        <v>188.79048156738301</v>
      </c>
      <c r="W463" s="306">
        <v>192.86947631835901</v>
      </c>
      <c r="X463" s="306">
        <v>197.36026000976599</v>
      </c>
      <c r="Y463" s="306">
        <v>201.10684204101599</v>
      </c>
      <c r="Z463" s="306">
        <v>204.49230957031301</v>
      </c>
    </row>
    <row r="464" spans="1:70" x14ac:dyDescent="0.25">
      <c r="A464" s="306" t="s">
        <v>515</v>
      </c>
      <c r="B464" s="306"/>
      <c r="C464" s="306"/>
      <c r="D464" s="306">
        <v>184.22943115234401</v>
      </c>
      <c r="E464" s="306">
        <v>196.07313537597699</v>
      </c>
      <c r="F464" s="306">
        <v>205.39855957031301</v>
      </c>
      <c r="G464" s="306">
        <v>217.87611389160199</v>
      </c>
      <c r="H464" s="306">
        <v>214.14784240722699</v>
      </c>
      <c r="I464" s="306">
        <v>207.11370849609401</v>
      </c>
      <c r="J464" s="306">
        <v>200.48422241210901</v>
      </c>
      <c r="K464" s="306">
        <v>191.81477355957</v>
      </c>
      <c r="L464" s="306">
        <v>187.29217529296901</v>
      </c>
      <c r="M464" s="306">
        <v>184.91578674316401</v>
      </c>
      <c r="N464" s="306">
        <v>184.25204467773401</v>
      </c>
      <c r="O464" s="306">
        <v>184.11447143554699</v>
      </c>
      <c r="P464" s="306">
        <v>186.80691528320301</v>
      </c>
      <c r="Q464" s="306">
        <v>189.66255187988301</v>
      </c>
      <c r="R464" s="306">
        <v>190.49990844726599</v>
      </c>
      <c r="S464" s="306">
        <v>192.03105163574199</v>
      </c>
      <c r="T464" s="306">
        <v>194.88296508789099</v>
      </c>
      <c r="U464" s="306">
        <v>196.87213134765599</v>
      </c>
      <c r="V464" s="306">
        <v>200.07191467285199</v>
      </c>
      <c r="W464" s="306">
        <v>202.13279724121099</v>
      </c>
      <c r="X464" s="306">
        <v>205.48814392089801</v>
      </c>
      <c r="Y464" s="306">
        <v>206.97822570800801</v>
      </c>
      <c r="Z464" s="306">
        <v>209.30905151367199</v>
      </c>
    </row>
    <row r="465" spans="1:70" x14ac:dyDescent="0.25">
      <c r="A465" s="306" t="s">
        <v>487</v>
      </c>
      <c r="B465" s="306"/>
      <c r="C465" s="306"/>
      <c r="D465" s="306">
        <v>385.00112915039102</v>
      </c>
      <c r="E465" s="306">
        <v>474.66281127929699</v>
      </c>
      <c r="F465" s="306">
        <v>545.7236328125</v>
      </c>
      <c r="G465" s="306">
        <v>538.79211425781295</v>
      </c>
      <c r="H465" s="306">
        <v>508.11019897460898</v>
      </c>
      <c r="I465" s="306">
        <v>488.44781494140602</v>
      </c>
      <c r="J465" s="306">
        <v>476.37777709960898</v>
      </c>
      <c r="K465" s="306">
        <v>463.41403198242199</v>
      </c>
      <c r="L465" s="306">
        <v>458.16046142578102</v>
      </c>
      <c r="M465" s="306">
        <v>458.57275390625</v>
      </c>
      <c r="N465" s="306">
        <v>452.78533935546898</v>
      </c>
      <c r="O465" s="306">
        <v>459.41848754882801</v>
      </c>
      <c r="P465" s="306">
        <v>469.74392700195301</v>
      </c>
      <c r="Q465" s="306">
        <v>478.67190551757801</v>
      </c>
      <c r="R465" s="306">
        <v>487.87078857421898</v>
      </c>
      <c r="S465" s="306">
        <v>505.29348754882801</v>
      </c>
      <c r="T465" s="306">
        <v>511.07485961914102</v>
      </c>
      <c r="U465" s="306">
        <v>521.646240234375</v>
      </c>
      <c r="V465" s="306">
        <v>538.77532958984398</v>
      </c>
      <c r="W465" s="306">
        <v>540.642822265625</v>
      </c>
      <c r="X465" s="306">
        <v>554.21173095703102</v>
      </c>
      <c r="Y465" s="306">
        <v>570.280029296875</v>
      </c>
      <c r="Z465" s="306">
        <v>574.30035400390602</v>
      </c>
    </row>
    <row r="466" spans="1:70" x14ac:dyDescent="0.25">
      <c r="A466" s="306" t="s">
        <v>516</v>
      </c>
      <c r="B466" s="306"/>
      <c r="C466" s="306"/>
      <c r="D466" s="306">
        <v>906.997802734375</v>
      </c>
      <c r="E466" s="306">
        <v>1040.25415039063</v>
      </c>
      <c r="F466" s="306">
        <v>1127.77770996094</v>
      </c>
      <c r="G466" s="306">
        <v>1134.0322265625</v>
      </c>
      <c r="H466" s="306">
        <v>1105.07055664063</v>
      </c>
      <c r="I466" s="306">
        <v>1075.20288085938</v>
      </c>
      <c r="J466" s="306">
        <v>1055.26721191406</v>
      </c>
      <c r="K466" s="306">
        <v>1029.66381835938</v>
      </c>
      <c r="L466" s="306">
        <v>1021.22357177734</v>
      </c>
      <c r="M466" s="306">
        <v>1019.92706298828</v>
      </c>
      <c r="N466" s="306">
        <v>1017.18103027344</v>
      </c>
      <c r="O466" s="306">
        <v>1027.91076660156</v>
      </c>
      <c r="P466" s="306">
        <v>1048.35144042969</v>
      </c>
      <c r="Q466" s="306">
        <v>1068.9091796875</v>
      </c>
      <c r="R466" s="306">
        <v>1084.9248046875</v>
      </c>
      <c r="S466" s="306">
        <v>1107.98962402344</v>
      </c>
      <c r="T466" s="306">
        <v>1123.73229980469</v>
      </c>
      <c r="U466" s="306">
        <v>1141.11193847656</v>
      </c>
      <c r="V466" s="306">
        <v>1168.07409667969</v>
      </c>
      <c r="W466" s="306">
        <v>1179.03698730469</v>
      </c>
      <c r="X466" s="306">
        <v>1204.30444335938</v>
      </c>
      <c r="Y466" s="306">
        <v>1227.35278320313</v>
      </c>
      <c r="Z466" s="306">
        <v>1239.12719726563</v>
      </c>
    </row>
    <row r="467" spans="1:70" x14ac:dyDescent="0.25">
      <c r="A467" s="306" t="s">
        <v>629</v>
      </c>
      <c r="B467" s="306"/>
      <c r="C467" s="306"/>
      <c r="D467" s="306">
        <v>2.27928571403027E-2</v>
      </c>
      <c r="E467" s="306">
        <v>3.3822253346443197E-2</v>
      </c>
      <c r="F467" s="306">
        <v>4.68330308794975E-2</v>
      </c>
      <c r="G467" s="306">
        <v>4.2311083525419201E-2</v>
      </c>
      <c r="H467" s="306">
        <v>4.6379543840885197E-2</v>
      </c>
      <c r="I467" s="306">
        <v>5.0339180976152399E-2</v>
      </c>
      <c r="J467" s="306">
        <v>6.3796535134315505E-2</v>
      </c>
      <c r="K467" s="306">
        <v>7.1353547275066403E-2</v>
      </c>
      <c r="L467" s="306">
        <v>7.5695373117923695E-2</v>
      </c>
      <c r="M467" s="306">
        <v>8.06071981787682E-2</v>
      </c>
      <c r="N467" s="306">
        <v>8.2480475306510898E-2</v>
      </c>
      <c r="O467" s="306">
        <v>8.9031867682933793E-2</v>
      </c>
      <c r="P467" s="306">
        <v>9.6231654286384596E-2</v>
      </c>
      <c r="Q467" s="306">
        <v>0.10344713926315301</v>
      </c>
      <c r="R467" s="306">
        <v>0.112680315971375</v>
      </c>
      <c r="S467" s="306">
        <v>0.13150542974471999</v>
      </c>
      <c r="T467" s="306">
        <v>0.15408998727798501</v>
      </c>
      <c r="U467" s="306">
        <v>0.18660007417201999</v>
      </c>
      <c r="V467" s="306">
        <v>0.21707823872566201</v>
      </c>
      <c r="W467" s="306">
        <v>0.243339464068413</v>
      </c>
      <c r="X467" s="306">
        <v>0.28575915098190302</v>
      </c>
      <c r="Y467" s="306">
        <v>0.31987324357032798</v>
      </c>
      <c r="Z467" s="306">
        <v>0.34808513522148099</v>
      </c>
    </row>
    <row r="468" spans="1:70" x14ac:dyDescent="0.25">
      <c r="A468" s="306" t="s">
        <v>518</v>
      </c>
      <c r="B468" s="306"/>
      <c r="C468" s="306"/>
      <c r="D468" s="306">
        <v>907.02056884765602</v>
      </c>
      <c r="E468" s="306">
        <v>1040.28796386719</v>
      </c>
      <c r="F468" s="306">
        <v>1127.82458496094</v>
      </c>
      <c r="G468" s="306">
        <v>1134.07458496094</v>
      </c>
      <c r="H468" s="306">
        <v>1105.11694335938</v>
      </c>
      <c r="I468" s="306">
        <v>1075.25317382813</v>
      </c>
      <c r="J468" s="306">
        <v>1055.3310546875</v>
      </c>
      <c r="K468" s="306">
        <v>1029.73522949219</v>
      </c>
      <c r="L468" s="306">
        <v>1021.29925537109</v>
      </c>
      <c r="M468" s="306">
        <v>1020.00769042969</v>
      </c>
      <c r="N468" s="306">
        <v>1017.26348876953</v>
      </c>
      <c r="O468" s="306">
        <v>1027.99975585938</v>
      </c>
      <c r="P468" s="306">
        <v>1048.44763183594</v>
      </c>
      <c r="Q468" s="306">
        <v>1069.01257324219</v>
      </c>
      <c r="R468" s="306">
        <v>1085.03747558594</v>
      </c>
      <c r="S468" s="306">
        <v>1108.12109375</v>
      </c>
      <c r="T468" s="306">
        <v>1123.88635253906</v>
      </c>
      <c r="U468" s="306">
        <v>1141.29858398438</v>
      </c>
      <c r="V468" s="306">
        <v>1168.29113769531</v>
      </c>
      <c r="W468" s="306">
        <v>1179.2802734375</v>
      </c>
      <c r="X468" s="306">
        <v>1204.59020996094</v>
      </c>
      <c r="Y468" s="306">
        <v>1227.67260742188</v>
      </c>
      <c r="Z468" s="306">
        <v>1239.47534179688</v>
      </c>
    </row>
    <row r="469" spans="1:70" x14ac:dyDescent="0.25">
      <c r="A469" s="293" t="s">
        <v>1082</v>
      </c>
      <c r="B469" s="253" t="s">
        <v>593</v>
      </c>
      <c r="C469" s="306"/>
      <c r="D469" s="306"/>
      <c r="E469" s="306"/>
      <c r="F469" s="306"/>
      <c r="G469" s="306"/>
      <c r="H469" s="306"/>
      <c r="I469" s="306"/>
      <c r="J469" s="306"/>
      <c r="K469" s="306"/>
      <c r="L469" s="306"/>
      <c r="M469" s="306"/>
      <c r="N469" s="306"/>
      <c r="O469" s="306"/>
      <c r="P469" s="306"/>
      <c r="Q469" s="306"/>
      <c r="R469" s="306"/>
      <c r="S469" s="306"/>
      <c r="T469" s="306"/>
      <c r="U469" s="306"/>
      <c r="V469" s="306"/>
      <c r="W469" s="306"/>
      <c r="X469" s="306"/>
      <c r="Y469" s="306"/>
      <c r="Z469" s="306"/>
    </row>
    <row r="470" spans="1:70" ht="13.8" thickBot="1" x14ac:dyDescent="0.3">
      <c r="A470" s="282" t="s">
        <v>311</v>
      </c>
      <c r="B470" s="253" t="s">
        <v>593</v>
      </c>
      <c r="C470" s="306"/>
      <c r="D470" s="306"/>
      <c r="E470" s="306"/>
      <c r="F470" s="306"/>
      <c r="G470" s="306"/>
      <c r="H470" s="306"/>
      <c r="I470" s="306"/>
      <c r="J470" s="306"/>
      <c r="K470" s="306"/>
      <c r="L470" s="306"/>
      <c r="M470" s="306"/>
      <c r="N470" s="306"/>
      <c r="O470" s="306"/>
      <c r="P470" s="306"/>
      <c r="Q470" s="306"/>
      <c r="R470" s="306"/>
      <c r="S470" s="306"/>
      <c r="T470" s="306"/>
      <c r="U470" s="306"/>
      <c r="V470" s="306"/>
      <c r="W470" s="306"/>
      <c r="X470" s="306"/>
      <c r="Y470" s="306"/>
      <c r="Z470" s="306"/>
    </row>
    <row r="471" spans="1:70" ht="13.8" thickBot="1" x14ac:dyDescent="0.3">
      <c r="A471" s="306" t="s">
        <v>977</v>
      </c>
      <c r="B471" s="306"/>
      <c r="C471" s="306"/>
      <c r="D471" s="306"/>
      <c r="E471" s="306"/>
      <c r="F471" s="306"/>
      <c r="G471" s="306"/>
      <c r="H471" s="306"/>
      <c r="I471" s="306"/>
      <c r="J471" s="306"/>
      <c r="K471" s="306"/>
      <c r="L471" s="306"/>
      <c r="M471" s="306"/>
      <c r="N471" s="306"/>
      <c r="O471" s="306"/>
      <c r="P471" s="306"/>
      <c r="Q471" s="306"/>
      <c r="R471" s="306"/>
      <c r="S471" s="306"/>
      <c r="T471" s="306"/>
      <c r="U471" s="306"/>
      <c r="V471" s="306"/>
      <c r="W471" s="306"/>
      <c r="X471" s="306"/>
      <c r="Y471" s="306"/>
      <c r="Z471" s="306"/>
      <c r="AA471" s="283">
        <f>Z641+($AI$471-$Y$641)/10</f>
        <v>8.1072037368774854</v>
      </c>
      <c r="AB471" s="283">
        <f t="shared" ref="AB471:AH471" si="48">AA471+($AI$471-$Y$641)/10</f>
        <v>8.1552847846985532</v>
      </c>
      <c r="AC471" s="283">
        <f t="shared" si="48"/>
        <v>8.203365832519621</v>
      </c>
      <c r="AD471" s="283">
        <f t="shared" si="48"/>
        <v>8.2514468803406888</v>
      </c>
      <c r="AE471" s="283">
        <f t="shared" si="48"/>
        <v>8.2995279281617567</v>
      </c>
      <c r="AF471" s="283">
        <f t="shared" si="48"/>
        <v>8.3476089759828245</v>
      </c>
      <c r="AG471" s="283">
        <f t="shared" si="48"/>
        <v>8.3956900238038923</v>
      </c>
      <c r="AH471" s="283">
        <f t="shared" si="48"/>
        <v>8.4437710716249601</v>
      </c>
      <c r="AI471" s="284">
        <f>T641*$E$742</f>
        <v>8.4918521194460261</v>
      </c>
      <c r="AJ471" s="283">
        <f>AI471+($AX$471-$AI$471)/15</f>
        <v>8.5879736457897184</v>
      </c>
      <c r="AK471" s="283">
        <f t="shared" ref="AK471:AW471" si="49">AJ471+($AX$471-$AI$471)/15</f>
        <v>8.6840951721334108</v>
      </c>
      <c r="AL471" s="283">
        <f t="shared" si="49"/>
        <v>8.7802166984771031</v>
      </c>
      <c r="AM471" s="283">
        <f t="shared" si="49"/>
        <v>8.8763382248207954</v>
      </c>
      <c r="AN471" s="283">
        <f t="shared" si="49"/>
        <v>8.9724597511644877</v>
      </c>
      <c r="AO471" s="283">
        <f t="shared" si="49"/>
        <v>9.06858127750818</v>
      </c>
      <c r="AP471" s="283">
        <f t="shared" si="49"/>
        <v>9.1647028038518723</v>
      </c>
      <c r="AQ471" s="283">
        <f t="shared" si="49"/>
        <v>9.2608243301955646</v>
      </c>
      <c r="AR471" s="283">
        <f t="shared" si="49"/>
        <v>9.3569458565392569</v>
      </c>
      <c r="AS471" s="283">
        <f t="shared" si="49"/>
        <v>9.4530673828829492</v>
      </c>
      <c r="AT471" s="283">
        <f t="shared" si="49"/>
        <v>9.5491889092266415</v>
      </c>
      <c r="AU471" s="283">
        <f t="shared" si="49"/>
        <v>9.6453104355703339</v>
      </c>
      <c r="AV471" s="283">
        <f t="shared" si="49"/>
        <v>9.7414319619140262</v>
      </c>
      <c r="AW471" s="283">
        <f t="shared" si="49"/>
        <v>9.8375534882577185</v>
      </c>
      <c r="AX471" s="284">
        <f>AI471*$B$742</f>
        <v>9.9336750146014001</v>
      </c>
      <c r="AY471" s="283">
        <f>AX471+($BM$471-$AX$471)/15</f>
        <v>10.032035813725209</v>
      </c>
      <c r="AZ471" s="283">
        <f t="shared" ref="AZ471:BL471" si="50">AY471+($BM$471-$AX$471)/15</f>
        <v>10.130396612849017</v>
      </c>
      <c r="BA471" s="283">
        <f t="shared" si="50"/>
        <v>10.228757411972826</v>
      </c>
      <c r="BB471" s="283">
        <f t="shared" si="50"/>
        <v>10.327118211096634</v>
      </c>
      <c r="BC471" s="283">
        <f t="shared" si="50"/>
        <v>10.425479010220442</v>
      </c>
      <c r="BD471" s="283">
        <f t="shared" si="50"/>
        <v>10.523839809344251</v>
      </c>
      <c r="BE471" s="283">
        <f t="shared" si="50"/>
        <v>10.622200608468059</v>
      </c>
      <c r="BF471" s="283">
        <f t="shared" si="50"/>
        <v>10.720561407591868</v>
      </c>
      <c r="BG471" s="283">
        <f t="shared" si="50"/>
        <v>10.818922206715676</v>
      </c>
      <c r="BH471" s="283">
        <f t="shared" si="50"/>
        <v>10.917283005839485</v>
      </c>
      <c r="BI471" s="283">
        <f t="shared" si="50"/>
        <v>11.015643804963293</v>
      </c>
      <c r="BJ471" s="283">
        <f t="shared" si="50"/>
        <v>11.114004604087102</v>
      </c>
      <c r="BK471" s="283">
        <f t="shared" si="50"/>
        <v>11.21236540321091</v>
      </c>
      <c r="BL471" s="283">
        <f t="shared" si="50"/>
        <v>11.310726202334719</v>
      </c>
      <c r="BM471" s="284">
        <f>AX471*$C$742</f>
        <v>11.409087001458516</v>
      </c>
      <c r="BN471" s="283">
        <f>BM471+($BR$471-$BM$471)/5</f>
        <v>11.522056966057418</v>
      </c>
      <c r="BO471" s="283">
        <f>BN471+($BR$471-$BM$471)/5</f>
        <v>11.63502693065632</v>
      </c>
      <c r="BP471" s="283">
        <f>BO471+($BR$471-$BM$471)/5</f>
        <v>11.747996895255222</v>
      </c>
      <c r="BQ471" s="283">
        <f>BP471+($BR$471-$BM$471)/5</f>
        <v>11.860966859854123</v>
      </c>
      <c r="BR471" s="284">
        <f>BM471*$D$742</f>
        <v>11.973936824453022</v>
      </c>
    </row>
    <row r="472" spans="1:70" ht="13.8" thickBot="1" x14ac:dyDescent="0.3">
      <c r="A472" s="306" t="s">
        <v>630</v>
      </c>
      <c r="B472" s="306"/>
      <c r="C472" s="306"/>
      <c r="D472" s="306"/>
      <c r="E472" s="306"/>
      <c r="F472" s="306"/>
      <c r="G472" s="306"/>
      <c r="H472" s="306"/>
      <c r="I472" s="306"/>
      <c r="J472" s="306"/>
      <c r="K472" s="306"/>
      <c r="L472" s="306"/>
      <c r="M472" s="306"/>
      <c r="N472" s="306"/>
      <c r="O472" s="306"/>
      <c r="P472" s="306"/>
      <c r="Q472" s="306"/>
      <c r="R472" s="306"/>
      <c r="S472" s="306"/>
      <c r="T472" s="306"/>
      <c r="U472" s="306"/>
      <c r="V472" s="306"/>
      <c r="W472" s="306"/>
      <c r="X472" s="306"/>
      <c r="Y472" s="306"/>
      <c r="Z472" s="306"/>
      <c r="AA472" s="285">
        <f>Z642+($AI$472-$Y$642)/10</f>
        <v>22.490795032640289</v>
      </c>
      <c r="AB472" s="285">
        <f t="shared" ref="AB472:AH472" si="51">AA472+($AI$472-$Y$642)/10</f>
        <v>22.394891584604984</v>
      </c>
      <c r="AC472" s="285">
        <f t="shared" si="51"/>
        <v>22.29898813656968</v>
      </c>
      <c r="AD472" s="285">
        <f t="shared" si="51"/>
        <v>22.203084688534375</v>
      </c>
      <c r="AE472" s="285">
        <f t="shared" si="51"/>
        <v>22.10718124049907</v>
      </c>
      <c r="AF472" s="285">
        <f t="shared" si="51"/>
        <v>22.011277792463765</v>
      </c>
      <c r="AG472" s="285">
        <f t="shared" si="51"/>
        <v>21.915374344428461</v>
      </c>
      <c r="AH472" s="285">
        <f t="shared" si="51"/>
        <v>21.819470896393156</v>
      </c>
      <c r="AI472" s="286">
        <f>T642*$E$745</f>
        <v>21.723567448357841</v>
      </c>
      <c r="AJ472" s="285">
        <f>AI472+($AX$472-$AI$472)/15</f>
        <v>21.715027463671497</v>
      </c>
      <c r="AK472" s="285">
        <f t="shared" ref="AK472:AW472" si="52">AJ472+($AX$472-$AI$472)/15</f>
        <v>21.706487478985153</v>
      </c>
      <c r="AL472" s="285">
        <f t="shared" si="52"/>
        <v>21.697947494298809</v>
      </c>
      <c r="AM472" s="285">
        <f t="shared" si="52"/>
        <v>21.689407509612465</v>
      </c>
      <c r="AN472" s="285">
        <f t="shared" si="52"/>
        <v>21.680867524926121</v>
      </c>
      <c r="AO472" s="285">
        <f t="shared" si="52"/>
        <v>21.672327540239777</v>
      </c>
      <c r="AP472" s="285">
        <f t="shared" si="52"/>
        <v>21.663787555553434</v>
      </c>
      <c r="AQ472" s="285">
        <f t="shared" si="52"/>
        <v>21.65524757086709</v>
      </c>
      <c r="AR472" s="285">
        <f t="shared" si="52"/>
        <v>21.646707586180746</v>
      </c>
      <c r="AS472" s="285">
        <f t="shared" si="52"/>
        <v>21.638167601494402</v>
      </c>
      <c r="AT472" s="285">
        <f t="shared" si="52"/>
        <v>21.629627616808058</v>
      </c>
      <c r="AU472" s="285">
        <f t="shared" si="52"/>
        <v>21.621087632121714</v>
      </c>
      <c r="AV472" s="285">
        <f t="shared" si="52"/>
        <v>21.61254764743537</v>
      </c>
      <c r="AW472" s="285">
        <f t="shared" si="52"/>
        <v>21.604007662749027</v>
      </c>
      <c r="AX472" s="286">
        <f>AI472*$B$745</f>
        <v>21.595467678062693</v>
      </c>
      <c r="AY472" s="285">
        <f>AX472+($BM$472-$AX$472)/15</f>
        <v>21.609186144316791</v>
      </c>
      <c r="AZ472" s="285">
        <f t="shared" ref="AZ472:BL472" si="53">AY472+($BM$472-$AX$472)/15</f>
        <v>21.622904610570888</v>
      </c>
      <c r="BA472" s="285">
        <f t="shared" si="53"/>
        <v>21.636623076824986</v>
      </c>
      <c r="BB472" s="285">
        <f t="shared" si="53"/>
        <v>21.650341543079083</v>
      </c>
      <c r="BC472" s="285">
        <f t="shared" si="53"/>
        <v>21.664060009333181</v>
      </c>
      <c r="BD472" s="285">
        <f t="shared" si="53"/>
        <v>21.677778475587278</v>
      </c>
      <c r="BE472" s="285">
        <f t="shared" si="53"/>
        <v>21.691496941841375</v>
      </c>
      <c r="BF472" s="285">
        <f t="shared" si="53"/>
        <v>21.705215408095473</v>
      </c>
      <c r="BG472" s="285">
        <f t="shared" si="53"/>
        <v>21.71893387434957</v>
      </c>
      <c r="BH472" s="285">
        <f t="shared" si="53"/>
        <v>21.732652340603668</v>
      </c>
      <c r="BI472" s="285">
        <f t="shared" si="53"/>
        <v>21.746370806857765</v>
      </c>
      <c r="BJ472" s="285">
        <f t="shared" si="53"/>
        <v>21.760089273111863</v>
      </c>
      <c r="BK472" s="285">
        <f t="shared" si="53"/>
        <v>21.77380773936596</v>
      </c>
      <c r="BL472" s="285">
        <f t="shared" si="53"/>
        <v>21.787526205620058</v>
      </c>
      <c r="BM472" s="286">
        <f>AX472*$C$745</f>
        <v>21.801244671874137</v>
      </c>
      <c r="BN472" s="285">
        <f>BM472+($BR$472-$BM$472)/5</f>
        <v>21.815093857443394</v>
      </c>
      <c r="BO472" s="285">
        <f>BN472+($BR$472-$BM$472)/5</f>
        <v>21.82894304301265</v>
      </c>
      <c r="BP472" s="285">
        <f>BO472+($BR$472-$BM$472)/5</f>
        <v>21.842792228581906</v>
      </c>
      <c r="BQ472" s="285">
        <f>BP472+($BR$472-$BM$472)/5</f>
        <v>21.856641414151163</v>
      </c>
      <c r="BR472" s="286">
        <f>BM472*$D$745</f>
        <v>21.870490599720426</v>
      </c>
    </row>
    <row r="473" spans="1:70" x14ac:dyDescent="0.25">
      <c r="A473" s="306" t="s">
        <v>631</v>
      </c>
      <c r="B473" s="306"/>
      <c r="C473" s="306"/>
      <c r="D473" s="306"/>
      <c r="E473" s="306"/>
      <c r="F473" s="306"/>
      <c r="G473" s="306"/>
      <c r="H473" s="306"/>
      <c r="I473" s="306"/>
      <c r="J473" s="306"/>
      <c r="K473" s="306"/>
      <c r="L473" s="306"/>
      <c r="M473" s="306"/>
      <c r="N473" s="306"/>
      <c r="O473" s="306"/>
      <c r="P473" s="306"/>
      <c r="Q473" s="306"/>
      <c r="R473" s="306"/>
      <c r="S473" s="306"/>
      <c r="T473" s="306"/>
      <c r="U473" s="306"/>
      <c r="V473" s="306"/>
      <c r="W473" s="306"/>
      <c r="X473" s="306"/>
      <c r="Y473" s="306"/>
      <c r="Z473" s="306"/>
    </row>
    <row r="474" spans="1:70" x14ac:dyDescent="0.25">
      <c r="A474" s="306" t="s">
        <v>632</v>
      </c>
      <c r="B474" s="306"/>
      <c r="C474" s="306"/>
      <c r="D474" s="306"/>
      <c r="E474" s="306"/>
      <c r="F474" s="306"/>
      <c r="G474" s="306"/>
      <c r="H474" s="306"/>
      <c r="I474" s="306"/>
      <c r="J474" s="306"/>
      <c r="K474" s="306"/>
      <c r="L474" s="306"/>
      <c r="M474" s="306"/>
      <c r="N474" s="306"/>
      <c r="O474" s="306"/>
      <c r="P474" s="306"/>
      <c r="Q474" s="306"/>
      <c r="R474" s="306"/>
      <c r="S474" s="306"/>
      <c r="T474" s="306"/>
      <c r="U474" s="306"/>
      <c r="V474" s="306"/>
      <c r="W474" s="306"/>
      <c r="X474" s="306"/>
      <c r="Y474" s="306"/>
      <c r="Z474" s="306"/>
    </row>
    <row r="475" spans="1:70" x14ac:dyDescent="0.25">
      <c r="A475" s="306" t="s">
        <v>648</v>
      </c>
      <c r="B475" s="306"/>
      <c r="C475" s="306"/>
      <c r="D475" s="306"/>
      <c r="E475" s="306"/>
      <c r="F475" s="306"/>
      <c r="G475" s="306"/>
      <c r="H475" s="306"/>
      <c r="I475" s="306"/>
      <c r="J475" s="306"/>
      <c r="K475" s="306"/>
      <c r="L475" s="306"/>
      <c r="M475" s="306"/>
      <c r="N475" s="306"/>
      <c r="O475" s="306"/>
      <c r="P475" s="306"/>
      <c r="Q475" s="306"/>
      <c r="R475" s="306"/>
      <c r="S475" s="306"/>
      <c r="T475" s="306"/>
      <c r="U475" s="306"/>
      <c r="V475" s="306"/>
      <c r="W475" s="306"/>
      <c r="X475" s="306"/>
      <c r="Y475" s="306"/>
      <c r="Z475" s="306"/>
    </row>
    <row r="476" spans="1:70" x14ac:dyDescent="0.25">
      <c r="A476" s="306" t="s">
        <v>542</v>
      </c>
      <c r="B476" s="306"/>
      <c r="C476" s="306"/>
      <c r="D476" s="306"/>
      <c r="E476" s="306"/>
      <c r="F476" s="306"/>
      <c r="G476" s="306"/>
      <c r="H476" s="306"/>
      <c r="I476" s="306"/>
      <c r="J476" s="306"/>
      <c r="K476" s="306"/>
      <c r="L476" s="306"/>
      <c r="M476" s="306"/>
      <c r="N476" s="306"/>
      <c r="O476" s="306"/>
      <c r="P476" s="306"/>
      <c r="Q476" s="306"/>
      <c r="R476" s="306"/>
      <c r="S476" s="306"/>
      <c r="T476" s="306"/>
      <c r="U476" s="306"/>
      <c r="V476" s="306"/>
      <c r="W476" s="306"/>
      <c r="X476" s="306"/>
      <c r="Y476" s="306"/>
      <c r="Z476" s="306"/>
    </row>
    <row r="477" spans="1:70" ht="52.5" customHeight="1" x14ac:dyDescent="0.25">
      <c r="A477" s="306" t="s">
        <v>649</v>
      </c>
      <c r="B477" s="306"/>
      <c r="C477" s="306"/>
      <c r="D477" s="306"/>
      <c r="E477" s="306"/>
      <c r="F477" s="306"/>
      <c r="G477" s="306"/>
      <c r="H477" s="306"/>
      <c r="I477" s="306"/>
      <c r="J477" s="306"/>
      <c r="K477" s="306"/>
      <c r="L477" s="306"/>
      <c r="M477" s="306"/>
      <c r="N477" s="306"/>
      <c r="O477" s="306"/>
      <c r="P477" s="306"/>
      <c r="Q477" s="306"/>
      <c r="R477" s="306"/>
      <c r="S477" s="306"/>
      <c r="T477" s="306"/>
      <c r="U477" s="306"/>
      <c r="V477" s="306"/>
      <c r="W477" s="306"/>
      <c r="X477" s="306"/>
      <c r="Y477" s="306"/>
      <c r="Z477" s="306"/>
    </row>
    <row r="478" spans="1:70" x14ac:dyDescent="0.25">
      <c r="A478" s="306" t="s">
        <v>650</v>
      </c>
      <c r="B478" s="306"/>
      <c r="C478" s="306"/>
      <c r="D478" s="306"/>
      <c r="E478" s="306"/>
      <c r="F478" s="306"/>
      <c r="G478" s="306"/>
      <c r="H478" s="306"/>
      <c r="I478" s="306"/>
      <c r="J478" s="306"/>
      <c r="K478" s="306"/>
      <c r="L478" s="306"/>
      <c r="M478" s="306"/>
      <c r="N478" s="306"/>
      <c r="O478" s="306"/>
      <c r="P478" s="306"/>
      <c r="Q478" s="306"/>
      <c r="R478" s="306"/>
      <c r="S478" s="306"/>
      <c r="T478" s="306"/>
      <c r="U478" s="306"/>
      <c r="V478" s="306"/>
      <c r="W478" s="306"/>
      <c r="X478" s="306"/>
      <c r="Y478" s="306"/>
      <c r="Z478" s="306"/>
    </row>
    <row r="479" spans="1:70" ht="13.8" thickBot="1" x14ac:dyDescent="0.3">
      <c r="A479" s="306" t="s">
        <v>651</v>
      </c>
      <c r="B479" s="306"/>
      <c r="C479" s="306"/>
      <c r="D479" s="306"/>
      <c r="E479" s="306"/>
      <c r="F479" s="306"/>
      <c r="G479" s="306"/>
      <c r="H479" s="306"/>
      <c r="I479" s="306"/>
      <c r="J479" s="306"/>
      <c r="K479" s="306"/>
      <c r="L479" s="306"/>
      <c r="M479" s="306"/>
      <c r="N479" s="306"/>
      <c r="O479" s="306"/>
      <c r="P479" s="306"/>
      <c r="Q479" s="306"/>
      <c r="R479" s="306"/>
      <c r="S479" s="306"/>
      <c r="T479" s="306"/>
      <c r="U479" s="306"/>
      <c r="V479" s="306"/>
      <c r="W479" s="306"/>
      <c r="X479" s="306"/>
      <c r="Y479" s="306"/>
      <c r="Z479" s="306"/>
    </row>
    <row r="480" spans="1:70" ht="13.8" thickBot="1" x14ac:dyDescent="0.3">
      <c r="A480" s="306" t="s">
        <v>652</v>
      </c>
      <c r="B480" s="306"/>
      <c r="C480" s="306"/>
      <c r="D480" s="306"/>
      <c r="E480" s="306"/>
      <c r="F480" s="306"/>
      <c r="G480" s="306"/>
      <c r="H480" s="306"/>
      <c r="I480" s="306"/>
      <c r="J480" s="306"/>
      <c r="K480" s="306"/>
      <c r="L480" s="306"/>
      <c r="M480" s="306"/>
      <c r="N480" s="306"/>
      <c r="O480" s="306"/>
      <c r="P480" s="306"/>
      <c r="Q480" s="306"/>
      <c r="R480" s="306"/>
      <c r="S480" s="306"/>
      <c r="T480" s="306"/>
      <c r="U480" s="306"/>
      <c r="V480" s="306"/>
      <c r="W480" s="306"/>
      <c r="X480" s="306"/>
      <c r="Y480" s="306"/>
      <c r="Z480" s="306"/>
      <c r="AA480" s="283">
        <f>Z650+($AI$480-$Y$650)/10</f>
        <v>5.5873463921161282</v>
      </c>
      <c r="AB480" s="283">
        <f t="shared" ref="AB480:AH480" si="54">AA480+($AI$480-$Y$650)/10</f>
        <v>5.6146233040707969</v>
      </c>
      <c r="AC480" s="283">
        <f t="shared" si="54"/>
        <v>5.6419002160254657</v>
      </c>
      <c r="AD480" s="283">
        <f t="shared" si="54"/>
        <v>5.6691771279801344</v>
      </c>
      <c r="AE480" s="283">
        <f t="shared" si="54"/>
        <v>5.6964540399348031</v>
      </c>
      <c r="AF480" s="283">
        <f t="shared" si="54"/>
        <v>5.7237309518894719</v>
      </c>
      <c r="AG480" s="283">
        <f t="shared" si="54"/>
        <v>5.7510078638441406</v>
      </c>
      <c r="AH480" s="283">
        <f t="shared" si="54"/>
        <v>5.7782847757988094</v>
      </c>
      <c r="AI480" s="284">
        <f>T650*$E$742</f>
        <v>5.8055616877534817</v>
      </c>
      <c r="AJ480" s="283">
        <f>AI480+($AX$480-$AI$480)/15</f>
        <v>5.8712763802445851</v>
      </c>
      <c r="AK480" s="283">
        <f t="shared" ref="AK480:AW480" si="55">AJ480+($AX$480-$AI$480)/15</f>
        <v>5.9369910727356885</v>
      </c>
      <c r="AL480" s="283">
        <f t="shared" si="55"/>
        <v>6.0027057652267919</v>
      </c>
      <c r="AM480" s="283">
        <f t="shared" si="55"/>
        <v>6.0684204577178953</v>
      </c>
      <c r="AN480" s="283">
        <f t="shared" si="55"/>
        <v>6.1341351502089987</v>
      </c>
      <c r="AO480" s="283">
        <f t="shared" si="55"/>
        <v>6.1998498427001021</v>
      </c>
      <c r="AP480" s="283">
        <f t="shared" si="55"/>
        <v>6.2655645351912055</v>
      </c>
      <c r="AQ480" s="283">
        <f t="shared" si="55"/>
        <v>6.3312792276823089</v>
      </c>
      <c r="AR480" s="283">
        <f t="shared" si="55"/>
        <v>6.3969939201734123</v>
      </c>
      <c r="AS480" s="283">
        <f t="shared" si="55"/>
        <v>6.4627086126645157</v>
      </c>
      <c r="AT480" s="283">
        <f t="shared" si="55"/>
        <v>6.5284233051556191</v>
      </c>
      <c r="AU480" s="283">
        <f t="shared" si="55"/>
        <v>6.5941379976467225</v>
      </c>
      <c r="AV480" s="283">
        <f t="shared" si="55"/>
        <v>6.6598526901378259</v>
      </c>
      <c r="AW480" s="283">
        <f t="shared" si="55"/>
        <v>6.7255673826289293</v>
      </c>
      <c r="AX480" s="284">
        <f>AI480*$B$742</f>
        <v>6.791282075120038</v>
      </c>
      <c r="AY480" s="283">
        <f>AX480+($BM$480-$AX$480)/15</f>
        <v>6.858527674659193</v>
      </c>
      <c r="AZ480" s="283">
        <f t="shared" ref="AZ480:BL480" si="56">AY480+($BM$480-$AX$480)/15</f>
        <v>6.925773274198348</v>
      </c>
      <c r="BA480" s="283">
        <f t="shared" si="56"/>
        <v>6.993018873737503</v>
      </c>
      <c r="BB480" s="283">
        <f t="shared" si="56"/>
        <v>7.060264473276658</v>
      </c>
      <c r="BC480" s="283">
        <f t="shared" si="56"/>
        <v>7.1275100728158129</v>
      </c>
      <c r="BD480" s="283">
        <f t="shared" si="56"/>
        <v>7.1947556723549679</v>
      </c>
      <c r="BE480" s="283">
        <f t="shared" si="56"/>
        <v>7.2620012718941229</v>
      </c>
      <c r="BF480" s="283">
        <f t="shared" si="56"/>
        <v>7.3292468714332779</v>
      </c>
      <c r="BG480" s="283">
        <f t="shared" si="56"/>
        <v>7.3964924709724329</v>
      </c>
      <c r="BH480" s="283">
        <f t="shared" si="56"/>
        <v>7.4637380705115879</v>
      </c>
      <c r="BI480" s="283">
        <f t="shared" si="56"/>
        <v>7.5309836700507429</v>
      </c>
      <c r="BJ480" s="283">
        <f t="shared" si="56"/>
        <v>7.5982292695898979</v>
      </c>
      <c r="BK480" s="283">
        <f t="shared" si="56"/>
        <v>7.6654748691290528</v>
      </c>
      <c r="BL480" s="283">
        <f t="shared" si="56"/>
        <v>7.7327204686682078</v>
      </c>
      <c r="BM480" s="284">
        <f>AX480*$C$742</f>
        <v>7.7999660682073682</v>
      </c>
      <c r="BN480" s="283">
        <f>BM480+($BR$480-$BM$480)/5</f>
        <v>7.8771994077800587</v>
      </c>
      <c r="BO480" s="283">
        <f>BN480+($BR$480-$BM$480)/5</f>
        <v>7.9544327473527492</v>
      </c>
      <c r="BP480" s="283">
        <f>BO480+($BR$480-$BM$480)/5</f>
        <v>8.0316660869254388</v>
      </c>
      <c r="BQ480" s="283">
        <f>BP480+($BR$480-$BM$480)/5</f>
        <v>8.1088994264981284</v>
      </c>
      <c r="BR480" s="284">
        <f>BM480*$D$742</f>
        <v>8.1861327660708199</v>
      </c>
    </row>
    <row r="481" spans="1:70" x14ac:dyDescent="0.25">
      <c r="A481" s="306" t="s">
        <v>653</v>
      </c>
      <c r="B481" s="306"/>
      <c r="C481" s="306"/>
      <c r="D481" s="306"/>
      <c r="E481" s="306"/>
      <c r="F481" s="306"/>
      <c r="G481" s="306"/>
      <c r="H481" s="306"/>
      <c r="I481" s="306"/>
      <c r="J481" s="306"/>
      <c r="K481" s="306"/>
      <c r="L481" s="306"/>
      <c r="M481" s="306"/>
      <c r="N481" s="306"/>
      <c r="O481" s="306"/>
      <c r="P481" s="306"/>
      <c r="Q481" s="306"/>
      <c r="R481" s="306"/>
      <c r="S481" s="306"/>
      <c r="T481" s="306"/>
      <c r="U481" s="306"/>
      <c r="V481" s="306"/>
      <c r="W481" s="306"/>
      <c r="X481" s="306"/>
      <c r="Y481" s="306"/>
      <c r="Z481" s="306"/>
    </row>
    <row r="482" spans="1:70" ht="13.8" thickBot="1" x14ac:dyDescent="0.3">
      <c r="A482" s="306" t="s">
        <v>654</v>
      </c>
      <c r="B482" s="306"/>
      <c r="C482" s="306"/>
      <c r="D482" s="306"/>
      <c r="E482" s="306"/>
      <c r="F482" s="306"/>
      <c r="G482" s="306"/>
      <c r="H482" s="306"/>
      <c r="I482" s="306"/>
      <c r="J482" s="306"/>
      <c r="K482" s="306"/>
      <c r="L482" s="306"/>
      <c r="M482" s="306"/>
      <c r="N482" s="306"/>
      <c r="O482" s="306"/>
      <c r="P482" s="306"/>
      <c r="Q482" s="306"/>
      <c r="R482" s="306"/>
      <c r="S482" s="306"/>
      <c r="T482" s="306"/>
      <c r="U482" s="306"/>
      <c r="V482" s="306"/>
      <c r="W482" s="306"/>
      <c r="X482" s="306"/>
      <c r="Y482" s="306"/>
      <c r="Z482" s="306"/>
    </row>
    <row r="483" spans="1:70" ht="13.8" thickBot="1" x14ac:dyDescent="0.3">
      <c r="A483" s="306" t="s">
        <v>545</v>
      </c>
      <c r="B483" s="306"/>
      <c r="C483" s="306"/>
      <c r="D483" s="306"/>
      <c r="E483" s="306"/>
      <c r="F483" s="306"/>
      <c r="G483" s="306"/>
      <c r="H483" s="306"/>
      <c r="I483" s="306"/>
      <c r="J483" s="306"/>
      <c r="K483" s="306"/>
      <c r="L483" s="306"/>
      <c r="M483" s="306"/>
      <c r="N483" s="306"/>
      <c r="O483" s="306"/>
      <c r="P483" s="306"/>
      <c r="Q483" s="306"/>
      <c r="R483" s="306"/>
      <c r="S483" s="306"/>
      <c r="T483" s="306"/>
      <c r="U483" s="306"/>
      <c r="V483" s="306"/>
      <c r="W483" s="306"/>
      <c r="X483" s="306"/>
      <c r="Y483" s="306"/>
      <c r="Z483" s="306"/>
      <c r="AA483" s="285">
        <f>Z653+($AI$483-$Y$653)/10</f>
        <v>15.747041087587585</v>
      </c>
      <c r="AB483" s="285">
        <f t="shared" ref="AB483:AH483" si="57">AA483+($AI$483-$Y$653)/10</f>
        <v>15.673905881106727</v>
      </c>
      <c r="AC483" s="285">
        <f t="shared" si="57"/>
        <v>15.600770674625869</v>
      </c>
      <c r="AD483" s="285">
        <f t="shared" si="57"/>
        <v>15.527635468145011</v>
      </c>
      <c r="AE483" s="285">
        <f t="shared" si="57"/>
        <v>15.454500261664153</v>
      </c>
      <c r="AF483" s="285">
        <f t="shared" si="57"/>
        <v>15.381365055183295</v>
      </c>
      <c r="AG483" s="285">
        <f t="shared" si="57"/>
        <v>15.308229848702437</v>
      </c>
      <c r="AH483" s="285">
        <f t="shared" si="57"/>
        <v>15.235094642221579</v>
      </c>
      <c r="AI483" s="286">
        <f>T653*$E$745</f>
        <v>15.161959435740725</v>
      </c>
      <c r="AJ483" s="285">
        <f>AI483+($AX$483-$AI$483)/15</f>
        <v>15.155998955184113</v>
      </c>
      <c r="AK483" s="285">
        <f t="shared" ref="AK483:AW483" si="58">AJ483+($AX$483-$AI$483)/15</f>
        <v>15.150038474627502</v>
      </c>
      <c r="AL483" s="285">
        <f t="shared" si="58"/>
        <v>15.144077994070891</v>
      </c>
      <c r="AM483" s="285">
        <f t="shared" si="58"/>
        <v>15.138117513514279</v>
      </c>
      <c r="AN483" s="285">
        <f t="shared" si="58"/>
        <v>15.132157032957668</v>
      </c>
      <c r="AO483" s="285">
        <f t="shared" si="58"/>
        <v>15.126196552401057</v>
      </c>
      <c r="AP483" s="285">
        <f t="shared" si="58"/>
        <v>15.120236071844445</v>
      </c>
      <c r="AQ483" s="285">
        <f t="shared" si="58"/>
        <v>15.114275591287834</v>
      </c>
      <c r="AR483" s="285">
        <f t="shared" si="58"/>
        <v>15.108315110731223</v>
      </c>
      <c r="AS483" s="285">
        <f t="shared" si="58"/>
        <v>15.102354630174611</v>
      </c>
      <c r="AT483" s="285">
        <f t="shared" si="58"/>
        <v>15.096394149618</v>
      </c>
      <c r="AU483" s="285">
        <f t="shared" si="58"/>
        <v>15.090433669061388</v>
      </c>
      <c r="AV483" s="285">
        <f t="shared" si="58"/>
        <v>15.084473188504777</v>
      </c>
      <c r="AW483" s="285">
        <f t="shared" si="58"/>
        <v>15.078512707948166</v>
      </c>
      <c r="AX483" s="286">
        <f>AI483*$B$745</f>
        <v>15.072552227391549</v>
      </c>
      <c r="AY483" s="285">
        <f>AX483+($BM$483-$AX$483)/15</f>
        <v>15.082127028094042</v>
      </c>
      <c r="AZ483" s="285">
        <f t="shared" ref="AZ483:BL483" si="59">AY483+($BM$483-$AX$483)/15</f>
        <v>15.091701828796536</v>
      </c>
      <c r="BA483" s="285">
        <f t="shared" si="59"/>
        <v>15.101276629499029</v>
      </c>
      <c r="BB483" s="285">
        <f t="shared" si="59"/>
        <v>15.110851430201523</v>
      </c>
      <c r="BC483" s="285">
        <f t="shared" si="59"/>
        <v>15.120426230904016</v>
      </c>
      <c r="BD483" s="285">
        <f t="shared" si="59"/>
        <v>15.130001031606509</v>
      </c>
      <c r="BE483" s="285">
        <f t="shared" si="59"/>
        <v>15.139575832309003</v>
      </c>
      <c r="BF483" s="285">
        <f t="shared" si="59"/>
        <v>15.149150633011496</v>
      </c>
      <c r="BG483" s="285">
        <f t="shared" si="59"/>
        <v>15.15872543371399</v>
      </c>
      <c r="BH483" s="285">
        <f t="shared" si="59"/>
        <v>15.168300234416483</v>
      </c>
      <c r="BI483" s="285">
        <f t="shared" si="59"/>
        <v>15.177875035118976</v>
      </c>
      <c r="BJ483" s="285">
        <f t="shared" si="59"/>
        <v>15.18744983582147</v>
      </c>
      <c r="BK483" s="285">
        <f t="shared" si="59"/>
        <v>15.197024636523963</v>
      </c>
      <c r="BL483" s="285">
        <f t="shared" si="59"/>
        <v>15.206599437226457</v>
      </c>
      <c r="BM483" s="286">
        <f>AX483*$C$745</f>
        <v>15.216174237928941</v>
      </c>
      <c r="BN483" s="285">
        <f>BM483+($BR$483-$BM$483)/5</f>
        <v>15.225840274150585</v>
      </c>
      <c r="BO483" s="285">
        <f>BN483+($BR$483-$BM$483)/5</f>
        <v>15.235506310372228</v>
      </c>
      <c r="BP483" s="285">
        <f>BO483+($BR$483-$BM$483)/5</f>
        <v>15.245172346593872</v>
      </c>
      <c r="BQ483" s="285">
        <f>BP483+($BR$483-$BM$483)/5</f>
        <v>15.254838382815516</v>
      </c>
      <c r="BR483" s="286">
        <f>BM483*$D$745</f>
        <v>15.264504419037157</v>
      </c>
    </row>
    <row r="484" spans="1:70" x14ac:dyDescent="0.25">
      <c r="A484" s="306" t="s">
        <v>655</v>
      </c>
      <c r="B484" s="306"/>
      <c r="C484" s="306"/>
      <c r="D484" s="306"/>
      <c r="E484" s="306"/>
      <c r="F484" s="306"/>
      <c r="G484" s="306"/>
      <c r="H484" s="306"/>
      <c r="I484" s="306"/>
      <c r="J484" s="306"/>
      <c r="K484" s="306"/>
      <c r="L484" s="306"/>
      <c r="M484" s="306"/>
      <c r="N484" s="306"/>
      <c r="O484" s="306"/>
      <c r="P484" s="306"/>
      <c r="Q484" s="306"/>
      <c r="R484" s="306"/>
      <c r="S484" s="306"/>
      <c r="T484" s="306"/>
      <c r="U484" s="306"/>
      <c r="V484" s="306"/>
      <c r="W484" s="306"/>
      <c r="X484" s="306"/>
      <c r="Y484" s="306"/>
      <c r="Z484" s="306"/>
    </row>
    <row r="485" spans="1:70" x14ac:dyDescent="0.25">
      <c r="A485" s="306" t="s">
        <v>656</v>
      </c>
      <c r="B485" s="306"/>
      <c r="C485" s="306"/>
      <c r="D485" s="306"/>
      <c r="E485" s="306"/>
      <c r="F485" s="306"/>
      <c r="G485" s="306"/>
      <c r="H485" s="306"/>
      <c r="I485" s="306"/>
      <c r="J485" s="306"/>
      <c r="K485" s="306"/>
      <c r="L485" s="306"/>
      <c r="M485" s="306"/>
      <c r="N485" s="306"/>
      <c r="O485" s="306"/>
      <c r="P485" s="306"/>
      <c r="Q485" s="306"/>
      <c r="R485" s="306"/>
      <c r="S485" s="306"/>
      <c r="T485" s="306"/>
      <c r="U485" s="306"/>
      <c r="V485" s="306"/>
      <c r="W485" s="306"/>
      <c r="X485" s="306"/>
      <c r="Y485" s="306"/>
      <c r="Z485" s="306"/>
    </row>
    <row r="486" spans="1:70" x14ac:dyDescent="0.25">
      <c r="A486" s="306" t="s">
        <v>657</v>
      </c>
      <c r="B486" s="306"/>
      <c r="C486" s="306"/>
      <c r="D486" s="306"/>
      <c r="E486" s="306"/>
      <c r="F486" s="306"/>
      <c r="G486" s="306"/>
      <c r="H486" s="306"/>
      <c r="I486" s="306"/>
      <c r="J486" s="306"/>
      <c r="K486" s="306"/>
      <c r="L486" s="306"/>
      <c r="M486" s="306"/>
      <c r="N486" s="306"/>
      <c r="O486" s="306"/>
      <c r="P486" s="306"/>
      <c r="Q486" s="306"/>
      <c r="R486" s="306"/>
      <c r="S486" s="306"/>
      <c r="T486" s="306"/>
      <c r="U486" s="306"/>
      <c r="V486" s="306"/>
      <c r="W486" s="306"/>
      <c r="X486" s="306"/>
      <c r="Y486" s="306"/>
      <c r="Z486" s="306"/>
    </row>
    <row r="487" spans="1:70" ht="13.8" thickBot="1" x14ac:dyDescent="0.3">
      <c r="A487" s="306" t="s">
        <v>658</v>
      </c>
      <c r="B487" s="306"/>
      <c r="C487" s="306"/>
      <c r="D487" s="306"/>
      <c r="E487" s="306"/>
      <c r="F487" s="306"/>
      <c r="G487" s="306"/>
      <c r="H487" s="306"/>
      <c r="I487" s="306"/>
      <c r="J487" s="306"/>
      <c r="K487" s="306"/>
      <c r="L487" s="306"/>
      <c r="M487" s="306"/>
      <c r="N487" s="306"/>
      <c r="O487" s="306"/>
      <c r="P487" s="306"/>
      <c r="Q487" s="306"/>
      <c r="R487" s="306"/>
      <c r="S487" s="306"/>
      <c r="T487" s="306"/>
      <c r="U487" s="306"/>
      <c r="V487" s="306"/>
      <c r="W487" s="306"/>
      <c r="X487" s="306"/>
      <c r="Y487" s="306"/>
      <c r="Z487" s="306"/>
    </row>
    <row r="488" spans="1:70" ht="13.8" thickBot="1" x14ac:dyDescent="0.3">
      <c r="A488" s="306" t="s">
        <v>659</v>
      </c>
      <c r="B488" s="306"/>
      <c r="C488" s="306"/>
      <c r="D488" s="306"/>
      <c r="E488" s="306"/>
      <c r="F488" s="306"/>
      <c r="G488" s="306"/>
      <c r="H488" s="306"/>
      <c r="I488" s="306"/>
      <c r="J488" s="306"/>
      <c r="K488" s="306"/>
      <c r="L488" s="306"/>
      <c r="M488" s="306"/>
      <c r="N488" s="306"/>
      <c r="O488" s="306"/>
      <c r="P488" s="306"/>
      <c r="Q488" s="306"/>
      <c r="R488" s="306"/>
      <c r="S488" s="306"/>
      <c r="T488" s="306"/>
      <c r="U488" s="306"/>
      <c r="V488" s="306"/>
      <c r="W488" s="306"/>
      <c r="X488" s="306"/>
      <c r="Y488" s="306"/>
      <c r="Z488" s="306"/>
      <c r="AA488" s="287">
        <f>Z658+($AI$488-$Y$658)/10</f>
        <v>13.224797394153365</v>
      </c>
      <c r="AB488" s="287">
        <f t="shared" ref="AB488:AH488" si="60">AA488+($AI$488-$Y$658)/10</f>
        <v>13.589441040570847</v>
      </c>
      <c r="AC488" s="287">
        <f t="shared" si="60"/>
        <v>13.954084686988329</v>
      </c>
      <c r="AD488" s="287">
        <f t="shared" si="60"/>
        <v>14.318728333405812</v>
      </c>
      <c r="AE488" s="287">
        <f t="shared" si="60"/>
        <v>14.683371979823294</v>
      </c>
      <c r="AF488" s="287">
        <f t="shared" si="60"/>
        <v>15.048015626240776</v>
      </c>
      <c r="AG488" s="287">
        <f t="shared" si="60"/>
        <v>15.412659272658258</v>
      </c>
      <c r="AH488" s="287">
        <f t="shared" si="60"/>
        <v>15.777302919075741</v>
      </c>
      <c r="AI488" s="288">
        <f>T658*$E$744</f>
        <v>16.141946565493228</v>
      </c>
      <c r="AJ488" s="287">
        <f>AI488+($AX$488-$AI$488)/15</f>
        <v>16.312798018423909</v>
      </c>
      <c r="AK488" s="287">
        <f t="shared" ref="AK488:AW488" si="61">AJ488+($AX$488-$AI$488)/15</f>
        <v>16.483649471354589</v>
      </c>
      <c r="AL488" s="287">
        <f t="shared" si="61"/>
        <v>16.654500924285269</v>
      </c>
      <c r="AM488" s="287">
        <f t="shared" si="61"/>
        <v>16.82535237721595</v>
      </c>
      <c r="AN488" s="287">
        <f t="shared" si="61"/>
        <v>16.99620383014663</v>
      </c>
      <c r="AO488" s="287">
        <f t="shared" si="61"/>
        <v>17.16705528307731</v>
      </c>
      <c r="AP488" s="287">
        <f t="shared" si="61"/>
        <v>17.337906736007991</v>
      </c>
      <c r="AQ488" s="287">
        <f t="shared" si="61"/>
        <v>17.508758188938671</v>
      </c>
      <c r="AR488" s="287">
        <f t="shared" si="61"/>
        <v>17.679609641869352</v>
      </c>
      <c r="AS488" s="287">
        <f t="shared" si="61"/>
        <v>17.850461094800032</v>
      </c>
      <c r="AT488" s="287">
        <f t="shared" si="61"/>
        <v>18.021312547730712</v>
      </c>
      <c r="AU488" s="287">
        <f t="shared" si="61"/>
        <v>18.192164000661393</v>
      </c>
      <c r="AV488" s="287">
        <f t="shared" si="61"/>
        <v>18.363015453592073</v>
      </c>
      <c r="AW488" s="287">
        <f t="shared" si="61"/>
        <v>18.533866906522753</v>
      </c>
      <c r="AX488" s="288">
        <f>AI488*$B$744</f>
        <v>18.704718359453445</v>
      </c>
      <c r="AY488" s="287">
        <f>AX488+($BM$488-$AX$488)/15</f>
        <v>18.811222625087144</v>
      </c>
      <c r="AZ488" s="287">
        <f t="shared" ref="AZ488:BL488" si="62">AY488+($BM$488-$AX$488)/15</f>
        <v>18.917726890720843</v>
      </c>
      <c r="BA488" s="287">
        <f t="shared" si="62"/>
        <v>19.024231156354542</v>
      </c>
      <c r="BB488" s="287">
        <f t="shared" si="62"/>
        <v>19.130735421988241</v>
      </c>
      <c r="BC488" s="287">
        <f t="shared" si="62"/>
        <v>19.23723968762194</v>
      </c>
      <c r="BD488" s="287">
        <f t="shared" si="62"/>
        <v>19.34374395325564</v>
      </c>
      <c r="BE488" s="287">
        <f t="shared" si="62"/>
        <v>19.450248218889339</v>
      </c>
      <c r="BF488" s="287">
        <f t="shared" si="62"/>
        <v>19.556752484523038</v>
      </c>
      <c r="BG488" s="287">
        <f t="shared" si="62"/>
        <v>19.663256750156737</v>
      </c>
      <c r="BH488" s="287">
        <f t="shared" si="62"/>
        <v>19.769761015790436</v>
      </c>
      <c r="BI488" s="287">
        <f t="shared" si="62"/>
        <v>19.876265281424136</v>
      </c>
      <c r="BJ488" s="287">
        <f t="shared" si="62"/>
        <v>19.982769547057835</v>
      </c>
      <c r="BK488" s="287">
        <f t="shared" si="62"/>
        <v>20.089273812691534</v>
      </c>
      <c r="BL488" s="287">
        <f t="shared" si="62"/>
        <v>20.195778078325233</v>
      </c>
      <c r="BM488" s="288">
        <f>AX488*$C$744</f>
        <v>20.302282343958908</v>
      </c>
      <c r="BN488" s="287">
        <f>BM488+($BR$488-$BM$488)/5</f>
        <v>20.417883104696291</v>
      </c>
      <c r="BO488" s="287">
        <f>BN488+($BR$488-$BM$488)/5</f>
        <v>20.533483865433674</v>
      </c>
      <c r="BP488" s="287">
        <f>BO488+($BR$488-$BM$488)/5</f>
        <v>20.649084626171057</v>
      </c>
      <c r="BQ488" s="287">
        <f>BP488+($BR$488-$BM$488)/5</f>
        <v>20.76468538690844</v>
      </c>
      <c r="BR488" s="288">
        <f>BM488*$D$744</f>
        <v>20.880286147645826</v>
      </c>
    </row>
    <row r="489" spans="1:70" ht="13.8" thickBot="1" x14ac:dyDescent="0.3">
      <c r="A489" s="306" t="s">
        <v>660</v>
      </c>
      <c r="B489" s="306"/>
      <c r="C489" s="306"/>
      <c r="D489" s="306"/>
      <c r="E489" s="306"/>
      <c r="F489" s="306"/>
      <c r="G489" s="306"/>
      <c r="H489" s="306"/>
      <c r="I489" s="306"/>
      <c r="J489" s="306"/>
      <c r="K489" s="306"/>
      <c r="L489" s="306"/>
      <c r="M489" s="306"/>
      <c r="N489" s="306"/>
      <c r="O489" s="306"/>
      <c r="P489" s="306"/>
      <c r="Q489" s="306"/>
      <c r="R489" s="306"/>
      <c r="S489" s="306"/>
      <c r="T489" s="306"/>
      <c r="U489" s="306"/>
      <c r="V489" s="306"/>
      <c r="W489" s="306"/>
      <c r="X489" s="306"/>
      <c r="Y489" s="306"/>
      <c r="Z489" s="306"/>
    </row>
    <row r="490" spans="1:70" ht="13.8" thickBot="1" x14ac:dyDescent="0.3">
      <c r="A490" s="306" t="s">
        <v>661</v>
      </c>
      <c r="B490" s="306"/>
      <c r="C490" s="306"/>
      <c r="D490" s="306"/>
      <c r="E490" s="306"/>
      <c r="F490" s="306"/>
      <c r="G490" s="306"/>
      <c r="H490" s="306"/>
      <c r="I490" s="306"/>
      <c r="J490" s="306"/>
      <c r="K490" s="306"/>
      <c r="L490" s="306"/>
      <c r="M490" s="306"/>
      <c r="N490" s="306"/>
      <c r="O490" s="306"/>
      <c r="P490" s="306"/>
      <c r="Q490" s="306"/>
      <c r="R490" s="306"/>
      <c r="S490" s="306"/>
      <c r="T490" s="306"/>
      <c r="U490" s="306"/>
      <c r="V490" s="306"/>
      <c r="W490" s="306"/>
      <c r="X490" s="306"/>
      <c r="Y490" s="306"/>
      <c r="Z490" s="306"/>
      <c r="AA490" s="287">
        <f>Z660+($AI$490-$Y$660)/10</f>
        <v>15.4577980437679</v>
      </c>
      <c r="AB490" s="287">
        <f t="shared" ref="AB490:AH490" si="63">AA490+($AI$490-$Y$660)/10</f>
        <v>15.88385635596555</v>
      </c>
      <c r="AC490" s="287">
        <f t="shared" si="63"/>
        <v>16.309914668163202</v>
      </c>
      <c r="AD490" s="287">
        <f t="shared" si="63"/>
        <v>16.735972980360852</v>
      </c>
      <c r="AE490" s="287">
        <f t="shared" si="63"/>
        <v>17.162031292558503</v>
      </c>
      <c r="AF490" s="287">
        <f t="shared" si="63"/>
        <v>17.588089604756153</v>
      </c>
      <c r="AG490" s="287">
        <f t="shared" si="63"/>
        <v>18.014147916953803</v>
      </c>
      <c r="AH490" s="287">
        <f t="shared" si="63"/>
        <v>18.440206229151453</v>
      </c>
      <c r="AI490" s="288">
        <f>T660*$E$744</f>
        <v>18.866264541349103</v>
      </c>
      <c r="AJ490" s="287">
        <f>AI490+($AX$490-$AI$490)/15</f>
        <v>19.065951034869943</v>
      </c>
      <c r="AK490" s="287">
        <f t="shared" ref="AK490:AW490" si="64">AJ490+($AX$490-$AI$490)/15</f>
        <v>19.265637528390783</v>
      </c>
      <c r="AL490" s="287">
        <f t="shared" si="64"/>
        <v>19.465324021911623</v>
      </c>
      <c r="AM490" s="287">
        <f t="shared" si="64"/>
        <v>19.665010515432463</v>
      </c>
      <c r="AN490" s="287">
        <f t="shared" si="64"/>
        <v>19.864697008953303</v>
      </c>
      <c r="AO490" s="287">
        <f t="shared" si="64"/>
        <v>20.064383502474143</v>
      </c>
      <c r="AP490" s="287">
        <f t="shared" si="64"/>
        <v>20.264069995994983</v>
      </c>
      <c r="AQ490" s="287">
        <f t="shared" si="64"/>
        <v>20.463756489515823</v>
      </c>
      <c r="AR490" s="287">
        <f t="shared" si="64"/>
        <v>20.663442983036663</v>
      </c>
      <c r="AS490" s="287">
        <f t="shared" si="64"/>
        <v>20.863129476557503</v>
      </c>
      <c r="AT490" s="287">
        <f t="shared" si="64"/>
        <v>21.062815970078343</v>
      </c>
      <c r="AU490" s="287">
        <f t="shared" si="64"/>
        <v>21.262502463599183</v>
      </c>
      <c r="AV490" s="287">
        <f t="shared" si="64"/>
        <v>21.462188957120024</v>
      </c>
      <c r="AW490" s="287">
        <f t="shared" si="64"/>
        <v>21.661875450640864</v>
      </c>
      <c r="AX490" s="288">
        <f>AI490*$B$744</f>
        <v>21.861561944161682</v>
      </c>
      <c r="AY490" s="287">
        <f>AX490+($BM$490-$AX$490)/15</f>
        <v>21.986041209538687</v>
      </c>
      <c r="AZ490" s="287">
        <f t="shared" ref="AZ490:BL490" si="65">AY490+($BM$490-$AX$490)/15</f>
        <v>22.110520474915692</v>
      </c>
      <c r="BA490" s="287">
        <f t="shared" si="65"/>
        <v>22.234999740292697</v>
      </c>
      <c r="BB490" s="287">
        <f t="shared" si="65"/>
        <v>22.359479005669701</v>
      </c>
      <c r="BC490" s="287">
        <f t="shared" si="65"/>
        <v>22.483958271046706</v>
      </c>
      <c r="BD490" s="287">
        <f t="shared" si="65"/>
        <v>22.608437536423711</v>
      </c>
      <c r="BE490" s="287">
        <f t="shared" si="65"/>
        <v>22.732916801800716</v>
      </c>
      <c r="BF490" s="287">
        <f t="shared" si="65"/>
        <v>22.857396067177721</v>
      </c>
      <c r="BG490" s="287">
        <f t="shared" si="65"/>
        <v>22.981875332554726</v>
      </c>
      <c r="BH490" s="287">
        <f t="shared" si="65"/>
        <v>23.10635459793173</v>
      </c>
      <c r="BI490" s="287">
        <f t="shared" si="65"/>
        <v>23.230833863308735</v>
      </c>
      <c r="BJ490" s="287">
        <f t="shared" si="65"/>
        <v>23.35531312868574</v>
      </c>
      <c r="BK490" s="287">
        <f t="shared" si="65"/>
        <v>23.479792394062745</v>
      </c>
      <c r="BL490" s="287">
        <f t="shared" si="65"/>
        <v>23.60427165943975</v>
      </c>
      <c r="BM490" s="288">
        <f>AX490*$C$744</f>
        <v>23.728750924816747</v>
      </c>
      <c r="BN490" s="287">
        <f>BM490+($BR$490-$BM$490)/5</f>
        <v>23.863861924249427</v>
      </c>
      <c r="BO490" s="287">
        <f>BN490+($BR$490-$BM$490)/5</f>
        <v>23.998972923682107</v>
      </c>
      <c r="BP490" s="287">
        <f>BO490+($BR$490-$BM$490)/5</f>
        <v>24.134083923114787</v>
      </c>
      <c r="BQ490" s="287">
        <f>BP490+($BR$490-$BM$490)/5</f>
        <v>24.269194922547467</v>
      </c>
      <c r="BR490" s="288">
        <f>BM490*$D$744</f>
        <v>24.404305921980139</v>
      </c>
    </row>
    <row r="491" spans="1:70" x14ac:dyDescent="0.25">
      <c r="A491" s="306" t="s">
        <v>663</v>
      </c>
      <c r="B491" s="306"/>
      <c r="C491" s="306"/>
      <c r="D491" s="306"/>
      <c r="E491" s="306"/>
      <c r="F491" s="306"/>
      <c r="G491" s="306"/>
      <c r="H491" s="306"/>
      <c r="I491" s="306"/>
      <c r="J491" s="306"/>
      <c r="K491" s="306"/>
      <c r="L491" s="306"/>
      <c r="M491" s="306"/>
      <c r="N491" s="306"/>
      <c r="O491" s="306"/>
      <c r="P491" s="306"/>
      <c r="Q491" s="306"/>
      <c r="R491" s="306"/>
      <c r="S491" s="306"/>
      <c r="T491" s="306"/>
      <c r="U491" s="306"/>
      <c r="V491" s="306"/>
      <c r="W491" s="306"/>
      <c r="X491" s="306"/>
      <c r="Y491" s="306"/>
      <c r="Z491" s="306"/>
    </row>
    <row r="492" spans="1:70" x14ac:dyDescent="0.25">
      <c r="A492" s="306" t="s">
        <v>927</v>
      </c>
      <c r="B492" s="306"/>
      <c r="C492" s="306"/>
      <c r="D492" s="306"/>
      <c r="E492" s="306"/>
      <c r="F492" s="306"/>
      <c r="G492" s="306"/>
      <c r="H492" s="306"/>
      <c r="I492" s="306"/>
      <c r="J492" s="306"/>
      <c r="K492" s="306"/>
      <c r="L492" s="306"/>
      <c r="M492" s="306"/>
      <c r="N492" s="306"/>
      <c r="O492" s="306"/>
      <c r="P492" s="306"/>
      <c r="Q492" s="306"/>
      <c r="R492" s="306"/>
      <c r="S492" s="306"/>
      <c r="T492" s="306"/>
      <c r="U492" s="306"/>
      <c r="V492" s="306"/>
      <c r="W492" s="306"/>
      <c r="X492" s="306"/>
      <c r="Y492" s="306"/>
      <c r="Z492" s="306"/>
    </row>
    <row r="493" spans="1:70" ht="13.8" thickBot="1" x14ac:dyDescent="0.3">
      <c r="A493" s="306" t="s">
        <v>928</v>
      </c>
      <c r="B493" s="306"/>
      <c r="C493" s="306"/>
      <c r="D493" s="306"/>
      <c r="E493" s="306"/>
      <c r="F493" s="306"/>
      <c r="G493" s="306"/>
      <c r="H493" s="306"/>
      <c r="I493" s="306"/>
      <c r="J493" s="306"/>
      <c r="K493" s="306"/>
      <c r="L493" s="306"/>
      <c r="M493" s="306"/>
      <c r="N493" s="306"/>
      <c r="O493" s="306"/>
      <c r="P493" s="306"/>
      <c r="Q493" s="306"/>
      <c r="R493" s="306"/>
      <c r="S493" s="306"/>
      <c r="T493" s="306"/>
      <c r="U493" s="306"/>
      <c r="V493" s="306"/>
      <c r="W493" s="306"/>
      <c r="X493" s="306"/>
      <c r="Y493" s="306"/>
      <c r="Z493" s="306"/>
    </row>
    <row r="494" spans="1:70" ht="13.8" thickBot="1" x14ac:dyDescent="0.3">
      <c r="A494" s="306" t="s">
        <v>950</v>
      </c>
      <c r="B494" s="306"/>
      <c r="C494" s="306"/>
      <c r="D494" s="306"/>
      <c r="E494" s="306"/>
      <c r="F494" s="306"/>
      <c r="G494" s="306"/>
      <c r="H494" s="306"/>
      <c r="I494" s="306"/>
      <c r="J494" s="306"/>
      <c r="K494" s="306"/>
      <c r="L494" s="306"/>
      <c r="M494" s="306"/>
      <c r="N494" s="306"/>
      <c r="O494" s="306"/>
      <c r="P494" s="306"/>
      <c r="Q494" s="306"/>
      <c r="R494" s="306"/>
      <c r="S494" s="306"/>
      <c r="T494" s="306"/>
      <c r="U494" s="306"/>
      <c r="V494" s="306"/>
      <c r="W494" s="306"/>
      <c r="X494" s="306"/>
      <c r="Y494" s="306"/>
      <c r="Z494" s="306"/>
      <c r="AA494" s="289">
        <f>Z664+($AI$494-$Y$664)/10</f>
        <v>19.493346965415647</v>
      </c>
      <c r="AB494" s="289">
        <f t="shared" ref="AB494:AH494" si="66">AA494+($AI$494-$Y$664)/10</f>
        <v>19.39274662152437</v>
      </c>
      <c r="AC494" s="289">
        <f t="shared" si="66"/>
        <v>19.292146277633094</v>
      </c>
      <c r="AD494" s="289">
        <f t="shared" si="66"/>
        <v>19.191545933741818</v>
      </c>
      <c r="AE494" s="289">
        <f t="shared" si="66"/>
        <v>19.090945589850541</v>
      </c>
      <c r="AF494" s="289">
        <f t="shared" si="66"/>
        <v>18.990345245959265</v>
      </c>
      <c r="AG494" s="289">
        <f t="shared" si="66"/>
        <v>18.889744902067989</v>
      </c>
      <c r="AH494" s="289">
        <f t="shared" si="66"/>
        <v>18.789144558176712</v>
      </c>
      <c r="AI494" s="290">
        <f>T664*$E$747</f>
        <v>18.68854421428545</v>
      </c>
      <c r="AJ494" s="289">
        <f>AI494+($AX$494-$AI$494)/15</f>
        <v>18.700972398006513</v>
      </c>
      <c r="AK494" s="289">
        <f t="shared" ref="AK494:AW494" si="67">AJ494+($AX$494-$AI$494)/15</f>
        <v>18.713400581727576</v>
      </c>
      <c r="AL494" s="289">
        <f t="shared" si="67"/>
        <v>18.72582876544864</v>
      </c>
      <c r="AM494" s="289">
        <f t="shared" si="67"/>
        <v>18.738256949169703</v>
      </c>
      <c r="AN494" s="289">
        <f t="shared" si="67"/>
        <v>18.750685132890766</v>
      </c>
      <c r="AO494" s="289">
        <f t="shared" si="67"/>
        <v>18.763113316611829</v>
      </c>
      <c r="AP494" s="289">
        <f t="shared" si="67"/>
        <v>18.775541500332892</v>
      </c>
      <c r="AQ494" s="289">
        <f t="shared" si="67"/>
        <v>18.787969684053955</v>
      </c>
      <c r="AR494" s="289">
        <f t="shared" si="67"/>
        <v>18.800397867775018</v>
      </c>
      <c r="AS494" s="289">
        <f t="shared" si="67"/>
        <v>18.812826051496081</v>
      </c>
      <c r="AT494" s="289">
        <f t="shared" si="67"/>
        <v>18.825254235217145</v>
      </c>
      <c r="AU494" s="289">
        <f t="shared" si="67"/>
        <v>18.837682418938208</v>
      </c>
      <c r="AV494" s="289">
        <f t="shared" si="67"/>
        <v>18.850110602659271</v>
      </c>
      <c r="AW494" s="289">
        <f t="shared" si="67"/>
        <v>18.862538786380334</v>
      </c>
      <c r="AX494" s="290">
        <f>AI494*$B$747</f>
        <v>18.874966970101411</v>
      </c>
      <c r="AY494" s="289">
        <f>AX494+($BM$494-$AX$494)/15</f>
        <v>18.881381252955478</v>
      </c>
      <c r="AZ494" s="289">
        <f t="shared" ref="AZ494:BL494" si="68">AY494+($BM$494-$AX$494)/15</f>
        <v>18.887795535809545</v>
      </c>
      <c r="BA494" s="289">
        <f t="shared" si="68"/>
        <v>18.894209818663612</v>
      </c>
      <c r="BB494" s="289">
        <f t="shared" si="68"/>
        <v>18.900624101517678</v>
      </c>
      <c r="BC494" s="289">
        <f t="shared" si="68"/>
        <v>18.907038384371745</v>
      </c>
      <c r="BD494" s="289">
        <f t="shared" si="68"/>
        <v>18.913452667225812</v>
      </c>
      <c r="BE494" s="289">
        <f t="shared" si="68"/>
        <v>18.919866950079879</v>
      </c>
      <c r="BF494" s="289">
        <f t="shared" si="68"/>
        <v>18.926281232933945</v>
      </c>
      <c r="BG494" s="289">
        <f t="shared" si="68"/>
        <v>18.932695515788012</v>
      </c>
      <c r="BH494" s="289">
        <f t="shared" si="68"/>
        <v>18.939109798642079</v>
      </c>
      <c r="BI494" s="289">
        <f t="shared" si="68"/>
        <v>18.945524081496146</v>
      </c>
      <c r="BJ494" s="289">
        <f t="shared" si="68"/>
        <v>18.951938364350212</v>
      </c>
      <c r="BK494" s="289">
        <f t="shared" si="68"/>
        <v>18.958352647204279</v>
      </c>
      <c r="BL494" s="289">
        <f t="shared" si="68"/>
        <v>18.964766930058346</v>
      </c>
      <c r="BM494" s="290">
        <f>AX494*$C$747</f>
        <v>18.971181212912409</v>
      </c>
      <c r="BN494" s="289">
        <f>BM494+($BR$494-$BM$494)/5</f>
        <v>18.97762819226703</v>
      </c>
      <c r="BO494" s="289">
        <f>BN494+($BR$494-$BM$494)/5</f>
        <v>18.984075171621651</v>
      </c>
      <c r="BP494" s="289">
        <f>BO494+($BR$494-$BM$494)/5</f>
        <v>18.990522150976272</v>
      </c>
      <c r="BQ494" s="289">
        <f>BP494+($BR$494-$BM$494)/5</f>
        <v>18.996969130330893</v>
      </c>
      <c r="BR494" s="290">
        <f>BM494*$D$747</f>
        <v>19.003416109685507</v>
      </c>
    </row>
    <row r="495" spans="1:70" x14ac:dyDescent="0.25">
      <c r="A495" s="306" t="s">
        <v>951</v>
      </c>
      <c r="B495" s="306"/>
      <c r="C495" s="306"/>
      <c r="D495" s="306"/>
      <c r="E495" s="306"/>
      <c r="F495" s="306"/>
      <c r="G495" s="306"/>
      <c r="H495" s="306"/>
      <c r="I495" s="306"/>
      <c r="J495" s="306"/>
      <c r="K495" s="306"/>
      <c r="L495" s="306"/>
      <c r="M495" s="306"/>
      <c r="N495" s="306"/>
      <c r="O495" s="306"/>
      <c r="P495" s="306"/>
      <c r="Q495" s="306"/>
      <c r="R495" s="306"/>
      <c r="S495" s="306"/>
      <c r="T495" s="306"/>
      <c r="U495" s="306"/>
      <c r="V495" s="306"/>
      <c r="W495" s="306"/>
      <c r="X495" s="306"/>
      <c r="Y495" s="306"/>
      <c r="Z495" s="306"/>
    </row>
    <row r="496" spans="1:70" x14ac:dyDescent="0.25">
      <c r="A496" s="306" t="s">
        <v>976</v>
      </c>
      <c r="B496" s="306"/>
      <c r="C496" s="306"/>
      <c r="D496" s="306"/>
      <c r="E496" s="306"/>
      <c r="F496" s="306"/>
      <c r="G496" s="306"/>
      <c r="H496" s="306"/>
      <c r="I496" s="306"/>
      <c r="J496" s="306"/>
      <c r="K496" s="306"/>
      <c r="L496" s="306"/>
      <c r="M496" s="306"/>
      <c r="N496" s="306"/>
      <c r="O496" s="306"/>
      <c r="P496" s="306"/>
      <c r="Q496" s="306"/>
      <c r="R496" s="306"/>
      <c r="S496" s="306"/>
      <c r="T496" s="306"/>
      <c r="U496" s="306"/>
      <c r="V496" s="306"/>
      <c r="W496" s="306"/>
      <c r="X496" s="306"/>
      <c r="Y496" s="306"/>
      <c r="Z496" s="306"/>
    </row>
    <row r="499" spans="1:70" ht="13.8" thickBot="1" x14ac:dyDescent="0.3"/>
    <row r="500" spans="1:70" x14ac:dyDescent="0.25">
      <c r="A500" s="246" t="s">
        <v>442</v>
      </c>
      <c r="B500" s="247"/>
      <c r="C500" s="247"/>
      <c r="D500" s="248"/>
      <c r="E500" s="247"/>
      <c r="F500" s="247"/>
      <c r="G500" s="247"/>
      <c r="H500" s="247"/>
      <c r="I500" s="247"/>
      <c r="J500" s="247"/>
      <c r="K500" s="247"/>
      <c r="L500" s="247"/>
      <c r="M500" s="247"/>
      <c r="N500" s="247"/>
      <c r="O500" s="247"/>
      <c r="P500" s="247"/>
      <c r="Q500" s="247"/>
      <c r="R500" s="247"/>
      <c r="S500" s="247"/>
      <c r="T500" s="247"/>
      <c r="U500" s="247"/>
      <c r="V500" s="247"/>
      <c r="W500" s="247"/>
      <c r="X500" s="247"/>
      <c r="Y500" s="247"/>
    </row>
    <row r="501" spans="1:70" x14ac:dyDescent="0.25">
      <c r="A501" s="249" t="s">
        <v>443</v>
      </c>
      <c r="B501" s="250"/>
      <c r="C501" s="250"/>
      <c r="D501" s="250"/>
      <c r="E501" s="250"/>
      <c r="F501" s="250"/>
      <c r="G501" s="250"/>
      <c r="H501" s="250"/>
      <c r="I501" s="250"/>
      <c r="J501" s="250"/>
      <c r="K501" s="250"/>
      <c r="L501" s="250"/>
      <c r="M501" s="250"/>
      <c r="N501" s="250"/>
      <c r="O501" s="250"/>
      <c r="P501" s="250"/>
      <c r="Q501" s="250"/>
      <c r="R501" s="250"/>
      <c r="S501" s="250"/>
      <c r="T501" s="250"/>
      <c r="U501" s="250"/>
      <c r="V501" s="250"/>
      <c r="W501" s="250"/>
      <c r="X501" s="250"/>
      <c r="Y501" s="250"/>
    </row>
    <row r="502" spans="1:70" x14ac:dyDescent="0.25">
      <c r="A502" s="249" t="s">
        <v>860</v>
      </c>
      <c r="B502" s="250"/>
      <c r="C502" s="250"/>
      <c r="D502" s="250"/>
      <c r="E502" s="250"/>
      <c r="F502" s="250"/>
      <c r="G502" s="250"/>
      <c r="H502" s="250"/>
      <c r="I502" s="250"/>
      <c r="J502" s="250"/>
      <c r="K502" s="250"/>
      <c r="L502" s="250"/>
      <c r="M502" s="250"/>
      <c r="N502" s="250"/>
      <c r="O502" s="250"/>
      <c r="P502" s="250"/>
      <c r="Q502" s="250"/>
      <c r="R502" s="250"/>
      <c r="S502" s="250"/>
      <c r="T502" s="250"/>
      <c r="U502" s="250"/>
      <c r="V502" s="250"/>
      <c r="W502" s="250"/>
      <c r="X502" s="250"/>
      <c r="Y502" s="250"/>
    </row>
    <row r="503" spans="1:70" x14ac:dyDescent="0.25">
      <c r="A503" s="249" t="s">
        <v>861</v>
      </c>
      <c r="B503" s="250"/>
      <c r="C503" s="250"/>
      <c r="D503" s="250"/>
      <c r="E503" s="250"/>
      <c r="F503" s="250"/>
      <c r="G503" s="250"/>
      <c r="H503" s="250"/>
      <c r="I503" s="250"/>
      <c r="J503" s="250"/>
      <c r="K503" s="250"/>
      <c r="L503" s="250"/>
      <c r="M503" s="250"/>
      <c r="N503" s="250"/>
      <c r="O503" s="250"/>
      <c r="P503" s="250"/>
      <c r="Q503" s="250"/>
      <c r="R503" s="250"/>
      <c r="S503" s="250"/>
      <c r="T503" s="250"/>
      <c r="U503" s="250"/>
      <c r="V503" s="250"/>
      <c r="W503" s="250"/>
      <c r="X503" s="250"/>
      <c r="Y503" s="250"/>
    </row>
    <row r="504" spans="1:70" x14ac:dyDescent="0.25">
      <c r="A504" s="249" t="s">
        <v>444</v>
      </c>
      <c r="B504" s="250"/>
      <c r="C504" s="250"/>
      <c r="D504" s="250"/>
      <c r="E504" s="250"/>
      <c r="F504" s="250"/>
      <c r="G504" s="250"/>
      <c r="H504" s="250"/>
      <c r="I504" s="250"/>
      <c r="J504" s="250"/>
      <c r="K504" s="250"/>
      <c r="L504" s="250"/>
      <c r="M504" s="250"/>
      <c r="N504" s="250"/>
      <c r="O504" s="250"/>
      <c r="P504" s="250"/>
      <c r="Q504" s="250"/>
      <c r="R504" s="250"/>
      <c r="S504" s="250"/>
      <c r="T504" s="250"/>
      <c r="U504" s="250"/>
      <c r="V504" s="250"/>
      <c r="W504" s="250"/>
      <c r="X504" s="250"/>
      <c r="Y504" s="250"/>
    </row>
    <row r="505" spans="1:70" ht="13.8" thickBot="1" x14ac:dyDescent="0.3">
      <c r="A505" s="249" t="s">
        <v>445</v>
      </c>
      <c r="B505" s="250"/>
      <c r="C505" s="250"/>
      <c r="D505" s="250"/>
      <c r="E505" s="250"/>
      <c r="F505" s="250"/>
      <c r="G505" s="250"/>
      <c r="H505" s="250"/>
      <c r="I505" s="250"/>
      <c r="J505" s="250"/>
      <c r="K505" s="250"/>
      <c r="L505" s="250"/>
      <c r="M505" s="250"/>
      <c r="N505" s="250"/>
      <c r="O505" s="250"/>
      <c r="P505" s="250"/>
      <c r="Q505" s="250"/>
      <c r="R505" s="250"/>
      <c r="S505" s="250"/>
      <c r="T505" s="250"/>
      <c r="U505" s="250"/>
      <c r="V505" s="250"/>
      <c r="W505" s="250"/>
      <c r="X505" s="250"/>
      <c r="Y505" s="250"/>
    </row>
    <row r="506" spans="1:70" ht="13.8" thickBot="1" x14ac:dyDescent="0.3">
      <c r="A506" s="251" t="s">
        <v>446</v>
      </c>
      <c r="B506" s="250"/>
      <c r="C506" s="250"/>
      <c r="D506" s="250"/>
      <c r="E506" s="250"/>
      <c r="F506" s="250"/>
      <c r="G506" s="250"/>
      <c r="H506" s="250"/>
      <c r="I506" s="250"/>
      <c r="J506" s="250"/>
      <c r="K506" s="250"/>
      <c r="L506" s="250"/>
      <c r="M506" s="250"/>
      <c r="N506" s="250"/>
      <c r="O506" s="250"/>
      <c r="P506" s="250"/>
      <c r="Q506" s="250"/>
      <c r="R506" s="250"/>
      <c r="S506" s="250"/>
      <c r="T506" s="250"/>
      <c r="U506" s="250"/>
      <c r="V506" s="250"/>
      <c r="W506" s="250"/>
      <c r="X506" s="250"/>
      <c r="Y506" s="250"/>
      <c r="AA506" s="283">
        <f>Z676+($AI$506-$Y$676)/10</f>
        <v>5.5529965108452508</v>
      </c>
      <c r="AB506" s="283">
        <f t="shared" ref="AB506:AH506" si="69">AA506+($AI$506-$Y$676)/10</f>
        <v>5.5809474506703411</v>
      </c>
      <c r="AC506" s="283">
        <f t="shared" si="69"/>
        <v>5.6088983904954315</v>
      </c>
      <c r="AD506" s="283">
        <f t="shared" si="69"/>
        <v>5.6368493303205218</v>
      </c>
      <c r="AE506" s="283">
        <f t="shared" si="69"/>
        <v>5.6648002701456122</v>
      </c>
      <c r="AF506" s="283">
        <f t="shared" si="69"/>
        <v>5.6927512099707025</v>
      </c>
      <c r="AG506" s="283">
        <f t="shared" si="69"/>
        <v>5.7207021497957928</v>
      </c>
      <c r="AH506" s="283">
        <f t="shared" si="69"/>
        <v>5.7486530896208832</v>
      </c>
      <c r="AI506" s="284">
        <f>T676*$E$742</f>
        <v>5.77660402944597</v>
      </c>
      <c r="AJ506" s="283">
        <f>AI506+($AX$506-$AI$506)/15</f>
        <v>5.8419909425225587</v>
      </c>
      <c r="AK506" s="283">
        <f t="shared" ref="AK506:AW506" si="70">AJ506+($AX$506-$AI$506)/15</f>
        <v>5.9073778555991474</v>
      </c>
      <c r="AL506" s="283">
        <f t="shared" si="70"/>
        <v>5.9727647686757361</v>
      </c>
      <c r="AM506" s="283">
        <f t="shared" si="70"/>
        <v>6.0381516817523249</v>
      </c>
      <c r="AN506" s="283">
        <f t="shared" si="70"/>
        <v>6.1035385948289136</v>
      </c>
      <c r="AO506" s="283">
        <f t="shared" si="70"/>
        <v>6.1689255079055023</v>
      </c>
      <c r="AP506" s="283">
        <f t="shared" si="70"/>
        <v>6.234312420982091</v>
      </c>
      <c r="AQ506" s="283">
        <f t="shared" si="70"/>
        <v>6.2996993340586798</v>
      </c>
      <c r="AR506" s="283">
        <f t="shared" si="70"/>
        <v>6.3650862471352685</v>
      </c>
      <c r="AS506" s="283">
        <f t="shared" si="70"/>
        <v>6.4304731602118572</v>
      </c>
      <c r="AT506" s="283">
        <f t="shared" si="70"/>
        <v>6.4958600732884459</v>
      </c>
      <c r="AU506" s="283">
        <f t="shared" si="70"/>
        <v>6.5612469863650347</v>
      </c>
      <c r="AV506" s="283">
        <f t="shared" si="70"/>
        <v>6.6266338994416234</v>
      </c>
      <c r="AW506" s="283">
        <f t="shared" si="70"/>
        <v>6.6920208125182121</v>
      </c>
      <c r="AX506" s="284">
        <f>AI506*$B$742</f>
        <v>6.7574077255948062</v>
      </c>
      <c r="AY506" s="283">
        <f>AX506+($BM$506-$AX$506)/15</f>
        <v>6.8243179096825601</v>
      </c>
      <c r="AZ506" s="283">
        <f t="shared" ref="AZ506:BL506" si="71">AY506+($BM$506-$AX$506)/15</f>
        <v>6.8912280937703141</v>
      </c>
      <c r="BA506" s="283">
        <f t="shared" si="71"/>
        <v>6.958138277858068</v>
      </c>
      <c r="BB506" s="283">
        <f t="shared" si="71"/>
        <v>7.025048461945822</v>
      </c>
      <c r="BC506" s="283">
        <f t="shared" si="71"/>
        <v>7.091958646033576</v>
      </c>
      <c r="BD506" s="283">
        <f t="shared" si="71"/>
        <v>7.1588688301213299</v>
      </c>
      <c r="BE506" s="283">
        <f t="shared" si="71"/>
        <v>7.2257790142090839</v>
      </c>
      <c r="BF506" s="283">
        <f t="shared" si="71"/>
        <v>7.2926891982968378</v>
      </c>
      <c r="BG506" s="283">
        <f t="shared" si="71"/>
        <v>7.3595993823845918</v>
      </c>
      <c r="BH506" s="283">
        <f t="shared" si="71"/>
        <v>7.4265095664723457</v>
      </c>
      <c r="BI506" s="283">
        <f t="shared" si="71"/>
        <v>7.4934197505600997</v>
      </c>
      <c r="BJ506" s="283">
        <f t="shared" si="71"/>
        <v>7.5603299346478536</v>
      </c>
      <c r="BK506" s="283">
        <f t="shared" si="71"/>
        <v>7.6272401187356076</v>
      </c>
      <c r="BL506" s="283">
        <f t="shared" si="71"/>
        <v>7.6941503028233615</v>
      </c>
      <c r="BM506" s="284">
        <f>AX506*$C$742</f>
        <v>7.7610604869111093</v>
      </c>
      <c r="BN506" s="283">
        <f>BM506+($BR$506-$BM$506)/5</f>
        <v>7.8379085930167243</v>
      </c>
      <c r="BO506" s="283">
        <f>BN506+($BR$506-$BM$506)/5</f>
        <v>7.9147566991223393</v>
      </c>
      <c r="BP506" s="283">
        <f>BO506+($BR$506-$BM$506)/5</f>
        <v>7.9916048052279542</v>
      </c>
      <c r="BQ506" s="283">
        <f>BP506+($BR$506-$BM$506)/5</f>
        <v>8.0684529113335692</v>
      </c>
      <c r="BR506" s="284">
        <f>BM506*$D$742</f>
        <v>8.1453010174391842</v>
      </c>
    </row>
    <row r="507" spans="1:70" ht="13.8" thickBot="1" x14ac:dyDescent="0.3">
      <c r="A507" s="249"/>
      <c r="B507" s="250"/>
      <c r="C507" s="250"/>
      <c r="D507" s="250"/>
      <c r="E507" s="250"/>
      <c r="F507" s="250"/>
      <c r="G507" s="250"/>
      <c r="H507" s="250"/>
      <c r="I507" s="250"/>
      <c r="J507" s="250"/>
      <c r="K507" s="250"/>
      <c r="L507" s="250"/>
      <c r="M507" s="250"/>
      <c r="N507" s="250"/>
      <c r="O507" s="250"/>
      <c r="P507" s="250"/>
      <c r="Q507" s="250"/>
      <c r="R507" s="250"/>
      <c r="S507" s="250"/>
      <c r="T507" s="250"/>
      <c r="U507" s="250"/>
      <c r="V507" s="250"/>
      <c r="W507" s="250"/>
      <c r="X507" s="250"/>
      <c r="Y507" s="250"/>
      <c r="AA507" s="291">
        <f>Z677+($AI$507-$Y$677)/10</f>
        <v>1.3364941226202385</v>
      </c>
      <c r="AB507" s="291">
        <f t="shared" ref="AB507:AH507" si="72">AA507+($AI$507-$Y$677)/10</f>
        <v>1.3402060190972878</v>
      </c>
      <c r="AC507" s="291">
        <f t="shared" si="72"/>
        <v>1.343917915574337</v>
      </c>
      <c r="AD507" s="291">
        <f t="shared" si="72"/>
        <v>1.3476298120513863</v>
      </c>
      <c r="AE507" s="291">
        <f t="shared" si="72"/>
        <v>1.3513417085284356</v>
      </c>
      <c r="AF507" s="291">
        <f t="shared" si="72"/>
        <v>1.3550536050054849</v>
      </c>
      <c r="AG507" s="291">
        <f t="shared" si="72"/>
        <v>1.3587655014825342</v>
      </c>
      <c r="AH507" s="291">
        <f t="shared" si="72"/>
        <v>1.3624773979595834</v>
      </c>
      <c r="AI507" s="292">
        <f>T677*$E$740</f>
        <v>1.3661892944366323</v>
      </c>
      <c r="AJ507" s="291">
        <f>AI507+($AX$507-$AI$507)/15</f>
        <v>1.3701947313799723</v>
      </c>
      <c r="AK507" s="291">
        <f t="shared" ref="AK507:AW507" si="73">AJ507+($AX$507-$AI$507)/15</f>
        <v>1.3742001683233123</v>
      </c>
      <c r="AL507" s="291">
        <f t="shared" si="73"/>
        <v>1.3782056052666523</v>
      </c>
      <c r="AM507" s="291">
        <f t="shared" si="73"/>
        <v>1.3822110422099922</v>
      </c>
      <c r="AN507" s="291">
        <f t="shared" si="73"/>
        <v>1.3862164791533322</v>
      </c>
      <c r="AO507" s="291">
        <f t="shared" si="73"/>
        <v>1.3902219160966722</v>
      </c>
      <c r="AP507" s="291">
        <f t="shared" si="73"/>
        <v>1.3942273530400122</v>
      </c>
      <c r="AQ507" s="291">
        <f t="shared" si="73"/>
        <v>1.3982327899833522</v>
      </c>
      <c r="AR507" s="291">
        <f t="shared" si="73"/>
        <v>1.4022382269266922</v>
      </c>
      <c r="AS507" s="291">
        <f t="shared" si="73"/>
        <v>1.4062436638700322</v>
      </c>
      <c r="AT507" s="291">
        <f t="shared" si="73"/>
        <v>1.4102491008133722</v>
      </c>
      <c r="AU507" s="291">
        <f t="shared" si="73"/>
        <v>1.4142545377567122</v>
      </c>
      <c r="AV507" s="291">
        <f t="shared" si="73"/>
        <v>1.4182599747000522</v>
      </c>
      <c r="AW507" s="291">
        <f t="shared" si="73"/>
        <v>1.4222654116433922</v>
      </c>
      <c r="AX507" s="292">
        <f>AI507*$B$740</f>
        <v>1.4262708485867317</v>
      </c>
      <c r="AY507" s="291">
        <f>AX507+($BM$507-$AX$507)/15</f>
        <v>1.428975877834666</v>
      </c>
      <c r="AZ507" s="291">
        <f t="shared" ref="AZ507:BL507" si="74">AY507+($BM$507-$AX$507)/15</f>
        <v>1.4316809070826002</v>
      </c>
      <c r="BA507" s="291">
        <f t="shared" si="74"/>
        <v>1.4343859363305345</v>
      </c>
      <c r="BB507" s="291">
        <f t="shared" si="74"/>
        <v>1.4370909655784687</v>
      </c>
      <c r="BC507" s="291">
        <f t="shared" si="74"/>
        <v>1.439795994826403</v>
      </c>
      <c r="BD507" s="291">
        <f t="shared" si="74"/>
        <v>1.4425010240743372</v>
      </c>
      <c r="BE507" s="291">
        <f t="shared" si="74"/>
        <v>1.4452060533222715</v>
      </c>
      <c r="BF507" s="291">
        <f t="shared" si="74"/>
        <v>1.4479110825702057</v>
      </c>
      <c r="BG507" s="291">
        <f t="shared" si="74"/>
        <v>1.45061611181814</v>
      </c>
      <c r="BH507" s="291">
        <f t="shared" si="74"/>
        <v>1.4533211410660742</v>
      </c>
      <c r="BI507" s="291">
        <f t="shared" si="74"/>
        <v>1.4560261703140085</v>
      </c>
      <c r="BJ507" s="291">
        <f t="shared" si="74"/>
        <v>1.4587311995619427</v>
      </c>
      <c r="BK507" s="291">
        <f t="shared" si="74"/>
        <v>1.461436228809877</v>
      </c>
      <c r="BL507" s="291">
        <f t="shared" si="74"/>
        <v>1.4641412580578113</v>
      </c>
      <c r="BM507" s="292">
        <f>AX507*$C$740</f>
        <v>1.4668462873057471</v>
      </c>
      <c r="BN507" s="291">
        <f>BM507+($BR$507-$BM$507)/5</f>
        <v>1.4696282709053681</v>
      </c>
      <c r="BO507" s="291">
        <f>BN507+($BR$507-$BM$507)/5</f>
        <v>1.4724102545049891</v>
      </c>
      <c r="BP507" s="291">
        <f>BO507+($BR$507-$BM$507)/5</f>
        <v>1.4751922381046101</v>
      </c>
      <c r="BQ507" s="291">
        <f>BP507+($BR$507-$BM$507)/5</f>
        <v>1.4779742217042311</v>
      </c>
      <c r="BR507" s="292">
        <f>BM507*$D$740</f>
        <v>1.4807562053038525</v>
      </c>
    </row>
    <row r="508" spans="1:70" x14ac:dyDescent="0.25">
      <c r="A508" s="252" t="s">
        <v>447</v>
      </c>
      <c r="B508" s="250"/>
      <c r="C508" s="250"/>
      <c r="D508" s="250"/>
      <c r="E508" s="250"/>
      <c r="F508" s="250"/>
      <c r="G508" s="250"/>
      <c r="H508" s="250"/>
      <c r="I508" s="250"/>
      <c r="J508" s="250"/>
      <c r="K508" s="250"/>
      <c r="L508" s="250"/>
      <c r="M508" s="250"/>
      <c r="N508" s="250"/>
      <c r="O508" s="250"/>
      <c r="P508" s="250"/>
      <c r="Q508" s="250"/>
      <c r="R508" s="250"/>
      <c r="S508" s="250"/>
      <c r="T508" s="250"/>
      <c r="U508" s="250"/>
      <c r="V508" s="250"/>
      <c r="W508" s="250"/>
      <c r="X508" s="250"/>
      <c r="Y508" s="250"/>
    </row>
    <row r="509" spans="1:70" x14ac:dyDescent="0.25">
      <c r="A509" s="252" t="s">
        <v>448</v>
      </c>
      <c r="B509" s="250"/>
      <c r="C509" s="250"/>
      <c r="D509" s="250"/>
      <c r="E509" s="250"/>
      <c r="F509" s="250"/>
      <c r="G509" s="250"/>
      <c r="H509" s="250"/>
      <c r="I509" s="250"/>
      <c r="J509" s="250"/>
      <c r="K509" s="250"/>
      <c r="L509" s="250"/>
      <c r="M509" s="250"/>
      <c r="N509" s="250"/>
      <c r="O509" s="250"/>
      <c r="P509" s="250"/>
      <c r="Q509" s="250"/>
      <c r="R509" s="250"/>
      <c r="S509" s="250"/>
      <c r="T509" s="250"/>
      <c r="U509" s="250"/>
      <c r="V509" s="250"/>
      <c r="W509" s="250"/>
      <c r="X509" s="250"/>
      <c r="Y509" s="250"/>
    </row>
    <row r="510" spans="1:70" x14ac:dyDescent="0.25">
      <c r="A510" s="252"/>
      <c r="B510" s="250"/>
      <c r="C510" s="250"/>
      <c r="D510" s="250"/>
      <c r="E510" s="250"/>
      <c r="F510" s="250"/>
      <c r="G510" s="250"/>
      <c r="H510" s="250"/>
      <c r="I510" s="250"/>
      <c r="J510" s="250"/>
      <c r="K510" s="250"/>
      <c r="L510" s="250"/>
      <c r="M510" s="250"/>
      <c r="N510" s="250"/>
      <c r="O510" s="250"/>
      <c r="P510" s="250"/>
      <c r="Q510" s="250"/>
      <c r="R510" s="250"/>
      <c r="S510" s="250"/>
      <c r="T510" s="250"/>
      <c r="U510" s="250"/>
      <c r="V510" s="250"/>
      <c r="W510" s="250"/>
      <c r="X510" s="250"/>
      <c r="Y510" s="250"/>
    </row>
    <row r="511" spans="1:70" x14ac:dyDescent="0.25">
      <c r="A511" s="249" t="s">
        <v>440</v>
      </c>
      <c r="B511" s="250" t="s">
        <v>449</v>
      </c>
      <c r="C511" s="250" t="s">
        <v>450</v>
      </c>
      <c r="D511" s="250" t="s">
        <v>451</v>
      </c>
      <c r="E511" s="250" t="s">
        <v>452</v>
      </c>
      <c r="F511" s="250" t="s">
        <v>453</v>
      </c>
      <c r="G511" s="250" t="s">
        <v>454</v>
      </c>
      <c r="H511" s="250" t="s">
        <v>455</v>
      </c>
      <c r="I511" s="250" t="s">
        <v>456</v>
      </c>
      <c r="J511" s="250" t="s">
        <v>457</v>
      </c>
      <c r="K511" s="250" t="s">
        <v>458</v>
      </c>
      <c r="L511" s="250" t="s">
        <v>459</v>
      </c>
      <c r="M511" s="250" t="s">
        <v>460</v>
      </c>
      <c r="N511" s="250" t="s">
        <v>461</v>
      </c>
      <c r="O511" s="250" t="s">
        <v>462</v>
      </c>
      <c r="P511" s="250" t="s">
        <v>463</v>
      </c>
      <c r="Q511" s="250" t="s">
        <v>464</v>
      </c>
      <c r="R511" s="250" t="s">
        <v>465</v>
      </c>
      <c r="S511" s="250" t="s">
        <v>466</v>
      </c>
      <c r="T511" s="250" t="s">
        <v>467</v>
      </c>
      <c r="U511" s="250" t="s">
        <v>468</v>
      </c>
      <c r="V511" s="250" t="s">
        <v>469</v>
      </c>
      <c r="W511" s="250" t="s">
        <v>470</v>
      </c>
      <c r="X511" s="250" t="s">
        <v>471</v>
      </c>
      <c r="Y511" s="250" t="s">
        <v>472</v>
      </c>
      <c r="Z511">
        <v>2026</v>
      </c>
    </row>
    <row r="512" spans="1:70" x14ac:dyDescent="0.25">
      <c r="A512" s="249" t="s">
        <v>440</v>
      </c>
      <c r="B512" s="250" t="s">
        <v>440</v>
      </c>
      <c r="C512" s="250" t="s">
        <v>440</v>
      </c>
      <c r="D512" s="250" t="s">
        <v>440</v>
      </c>
      <c r="E512" s="250" t="s">
        <v>440</v>
      </c>
      <c r="F512" s="250" t="s">
        <v>440</v>
      </c>
      <c r="G512" s="250" t="s">
        <v>440</v>
      </c>
      <c r="H512" s="250" t="s">
        <v>440</v>
      </c>
      <c r="I512" s="250" t="s">
        <v>440</v>
      </c>
      <c r="J512" s="250" t="s">
        <v>440</v>
      </c>
      <c r="K512" s="250" t="s">
        <v>440</v>
      </c>
      <c r="L512" s="250" t="s">
        <v>440</v>
      </c>
      <c r="M512" s="250" t="s">
        <v>440</v>
      </c>
      <c r="N512" s="250" t="s">
        <v>440</v>
      </c>
      <c r="O512" s="250" t="s">
        <v>440</v>
      </c>
      <c r="P512" s="250" t="s">
        <v>440</v>
      </c>
      <c r="Q512" s="250" t="s">
        <v>440</v>
      </c>
      <c r="R512" s="250" t="s">
        <v>440</v>
      </c>
      <c r="S512" s="250" t="s">
        <v>440</v>
      </c>
      <c r="T512" s="250" t="s">
        <v>440</v>
      </c>
      <c r="U512" s="250" t="s">
        <v>440</v>
      </c>
      <c r="V512" s="250" t="s">
        <v>440</v>
      </c>
      <c r="W512" s="250" t="s">
        <v>440</v>
      </c>
      <c r="X512" s="250" t="s">
        <v>440</v>
      </c>
      <c r="Y512" s="250" t="s">
        <v>440</v>
      </c>
    </row>
    <row r="513" spans="1:26" x14ac:dyDescent="0.25">
      <c r="A513" s="249" t="s">
        <v>440</v>
      </c>
      <c r="B513" s="250" t="s">
        <v>440</v>
      </c>
      <c r="C513" s="250" t="s">
        <v>440</v>
      </c>
      <c r="D513" s="250" t="s">
        <v>440</v>
      </c>
      <c r="E513" s="250" t="s">
        <v>440</v>
      </c>
      <c r="F513" s="250" t="s">
        <v>440</v>
      </c>
      <c r="G513" s="250" t="s">
        <v>440</v>
      </c>
      <c r="H513" s="250" t="s">
        <v>440</v>
      </c>
      <c r="I513" s="250" t="s">
        <v>440</v>
      </c>
      <c r="J513" s="250" t="s">
        <v>440</v>
      </c>
      <c r="K513" s="250" t="s">
        <v>440</v>
      </c>
      <c r="L513" s="250" t="s">
        <v>440</v>
      </c>
      <c r="M513" s="250" t="s">
        <v>440</v>
      </c>
      <c r="N513" s="250" t="s">
        <v>440</v>
      </c>
      <c r="O513" s="250" t="s">
        <v>440</v>
      </c>
      <c r="P513" s="250" t="s">
        <v>440</v>
      </c>
      <c r="Q513" s="250" t="s">
        <v>440</v>
      </c>
      <c r="R513" s="250" t="s">
        <v>440</v>
      </c>
      <c r="S513" s="250" t="s">
        <v>440</v>
      </c>
      <c r="T513" s="250" t="s">
        <v>440</v>
      </c>
      <c r="U513" s="250" t="s">
        <v>440</v>
      </c>
      <c r="V513" s="250" t="s">
        <v>440</v>
      </c>
      <c r="W513" s="250" t="s">
        <v>440</v>
      </c>
      <c r="X513" s="250" t="s">
        <v>440</v>
      </c>
      <c r="Y513" s="250" t="s">
        <v>440</v>
      </c>
    </row>
    <row r="514" spans="1:26" x14ac:dyDescent="0.25">
      <c r="A514" s="249" t="s">
        <v>473</v>
      </c>
      <c r="B514" s="253">
        <v>15.0220499038696</v>
      </c>
      <c r="C514" s="253">
        <v>15.811363220214799</v>
      </c>
      <c r="D514" s="253">
        <v>16.4251308441162</v>
      </c>
      <c r="E514" s="253">
        <v>16.464759826660199</v>
      </c>
      <c r="F514" s="253">
        <v>15.680528640747101</v>
      </c>
      <c r="G514" s="253">
        <v>15.0112085342407</v>
      </c>
      <c r="H514" s="253">
        <v>14.5817928314209</v>
      </c>
      <c r="I514" s="253">
        <v>14.458288192749</v>
      </c>
      <c r="J514" s="253">
        <v>14.326377868652299</v>
      </c>
      <c r="K514" s="253">
        <v>14.293612480163601</v>
      </c>
      <c r="L514" s="253">
        <v>14.4205980300903</v>
      </c>
      <c r="M514" s="253">
        <v>14.6031141281128</v>
      </c>
      <c r="N514" s="253">
        <v>14.8352861404419</v>
      </c>
      <c r="O514" s="253">
        <v>14.979790687561</v>
      </c>
      <c r="P514" s="253">
        <v>15.0010738372803</v>
      </c>
      <c r="Q514" s="253">
        <v>15.073490142822299</v>
      </c>
      <c r="R514" s="253">
        <v>15.2468109130859</v>
      </c>
      <c r="S514" s="253">
        <v>15.482013702392599</v>
      </c>
      <c r="T514" s="253">
        <v>15.6422672271729</v>
      </c>
      <c r="U514" s="253">
        <v>15.809124946594199</v>
      </c>
      <c r="V514" s="253">
        <v>15.869408607482899</v>
      </c>
      <c r="W514" s="253">
        <v>15.910493850708001</v>
      </c>
      <c r="X514" s="253">
        <v>16.000511169433601</v>
      </c>
      <c r="Y514" s="253">
        <v>16.127393722534201</v>
      </c>
    </row>
    <row r="515" spans="1:26" x14ac:dyDescent="0.25">
      <c r="A515" s="249" t="s">
        <v>474</v>
      </c>
      <c r="B515" s="253">
        <v>8.3285751342773402</v>
      </c>
      <c r="C515" s="253">
        <v>9.67810153961182</v>
      </c>
      <c r="D515" s="253">
        <v>10.6516561508179</v>
      </c>
      <c r="E515" s="253">
        <v>10.5737972259521</v>
      </c>
      <c r="F515" s="253">
        <v>9.7301187515258807</v>
      </c>
      <c r="G515" s="253">
        <v>9.2126417160034197</v>
      </c>
      <c r="H515" s="253">
        <v>8.7946681976318395</v>
      </c>
      <c r="I515" s="253">
        <v>8.5506849288940394</v>
      </c>
      <c r="J515" s="253">
        <v>8.3542766571044904</v>
      </c>
      <c r="K515" s="253">
        <v>8.2684001922607404</v>
      </c>
      <c r="L515" s="253">
        <v>8.3419942855834996</v>
      </c>
      <c r="M515" s="253">
        <v>8.4596767425537092</v>
      </c>
      <c r="N515" s="253">
        <v>8.6078786849975604</v>
      </c>
      <c r="O515" s="253">
        <v>8.7398357391357404</v>
      </c>
      <c r="P515" s="253">
        <v>8.7483062744140607</v>
      </c>
      <c r="Q515" s="253">
        <v>8.7686567306518608</v>
      </c>
      <c r="R515" s="253">
        <v>8.8867673873901403</v>
      </c>
      <c r="S515" s="253">
        <v>9.0631914138793892</v>
      </c>
      <c r="T515" s="253">
        <v>9.2055320739746094</v>
      </c>
      <c r="U515" s="253">
        <v>9.3421277999877894</v>
      </c>
      <c r="V515" s="253">
        <v>9.4150266647338903</v>
      </c>
      <c r="W515" s="253">
        <v>9.4582109451293892</v>
      </c>
      <c r="X515" s="253">
        <v>9.5390539169311506</v>
      </c>
      <c r="Y515" s="253">
        <v>9.6245632171630895</v>
      </c>
    </row>
    <row r="516" spans="1:26" x14ac:dyDescent="0.25">
      <c r="A516" s="249" t="s">
        <v>475</v>
      </c>
      <c r="B516" s="253">
        <v>10.0436496734619</v>
      </c>
      <c r="C516" s="253">
        <v>11.266843795776399</v>
      </c>
      <c r="D516" s="253">
        <v>13.0600261688232</v>
      </c>
      <c r="E516" s="253">
        <v>12.5262813568115</v>
      </c>
      <c r="F516" s="253">
        <v>11.260459899902299</v>
      </c>
      <c r="G516" s="253">
        <v>10.814398765564</v>
      </c>
      <c r="H516" s="253">
        <v>10.6458578109741</v>
      </c>
      <c r="I516" s="253">
        <v>10.453662872314499</v>
      </c>
      <c r="J516" s="253">
        <v>10.443992614746101</v>
      </c>
      <c r="K516" s="253">
        <v>10.420529365539601</v>
      </c>
      <c r="L516" s="253">
        <v>10.4911556243896</v>
      </c>
      <c r="M516" s="253">
        <v>10.5971431732178</v>
      </c>
      <c r="N516" s="253">
        <v>10.650529861450201</v>
      </c>
      <c r="O516" s="253">
        <v>10.7566242218018</v>
      </c>
      <c r="P516" s="253">
        <v>10.8697347640991</v>
      </c>
      <c r="Q516" s="253">
        <v>10.955939292907701</v>
      </c>
      <c r="R516" s="253">
        <v>11.0780487060547</v>
      </c>
      <c r="S516" s="253">
        <v>11.222780227661101</v>
      </c>
      <c r="T516" s="253">
        <v>11.364427566528301</v>
      </c>
      <c r="U516" s="253">
        <v>11.5109758377075</v>
      </c>
      <c r="V516" s="253">
        <v>11.6184797286987</v>
      </c>
      <c r="W516" s="253">
        <v>11.7467203140259</v>
      </c>
      <c r="X516" s="253">
        <v>11.8437652587891</v>
      </c>
      <c r="Y516" s="253">
        <v>11.9311771392822</v>
      </c>
    </row>
    <row r="517" spans="1:26" x14ac:dyDescent="0.25">
      <c r="A517" s="249" t="s">
        <v>476</v>
      </c>
      <c r="B517" s="253">
        <v>8.3698368072509801</v>
      </c>
      <c r="C517" s="253">
        <v>9.5702075958252006</v>
      </c>
      <c r="D517" s="253">
        <v>10.537187576293899</v>
      </c>
      <c r="E517" s="253">
        <v>10.120927810668899</v>
      </c>
      <c r="F517" s="253">
        <v>9.0704116821289098</v>
      </c>
      <c r="G517" s="253">
        <v>8.6811342239379901</v>
      </c>
      <c r="H517" s="253">
        <v>8.4951152801513707</v>
      </c>
      <c r="I517" s="253">
        <v>8.3145399093627894</v>
      </c>
      <c r="J517" s="253">
        <v>8.2864685058593803</v>
      </c>
      <c r="K517" s="253">
        <v>8.2537784576415998</v>
      </c>
      <c r="L517" s="253">
        <v>8.2966070175170898</v>
      </c>
      <c r="M517" s="253">
        <v>8.3739995956420898</v>
      </c>
      <c r="N517" s="253">
        <v>8.4385089874267596</v>
      </c>
      <c r="O517" s="253">
        <v>8.4884243011474592</v>
      </c>
      <c r="P517" s="253">
        <v>8.5346355438232404</v>
      </c>
      <c r="Q517" s="253">
        <v>8.5863618850708008</v>
      </c>
      <c r="R517" s="253">
        <v>8.7058753967285192</v>
      </c>
      <c r="S517" s="253">
        <v>8.7835302352905291</v>
      </c>
      <c r="T517" s="253">
        <v>8.8462095260620099</v>
      </c>
      <c r="U517" s="253">
        <v>8.9105930328369105</v>
      </c>
      <c r="V517" s="253">
        <v>8.9716310501098597</v>
      </c>
      <c r="W517" s="253">
        <v>9.0270709991455096</v>
      </c>
      <c r="X517" s="253">
        <v>9.0740833282470703</v>
      </c>
      <c r="Y517" s="253">
        <v>9.1169166564941406</v>
      </c>
    </row>
    <row r="518" spans="1:26" x14ac:dyDescent="0.25">
      <c r="A518" s="249" t="s">
        <v>477</v>
      </c>
      <c r="B518" s="253">
        <v>12.976583480835</v>
      </c>
      <c r="C518" s="253">
        <v>14.582922935485801</v>
      </c>
      <c r="D518" s="253">
        <v>17.5701904296875</v>
      </c>
      <c r="E518" s="253">
        <v>17.073207855224599</v>
      </c>
      <c r="F518" s="253">
        <v>15.3619232177734</v>
      </c>
      <c r="G518" s="253">
        <v>14.740796089172401</v>
      </c>
      <c r="H518" s="253">
        <v>14.555371284484901</v>
      </c>
      <c r="I518" s="253">
        <v>14.281338691711399</v>
      </c>
      <c r="J518" s="253">
        <v>14.253823280334499</v>
      </c>
      <c r="K518" s="253">
        <v>14.190848350524901</v>
      </c>
      <c r="L518" s="253">
        <v>14.252662658691399</v>
      </c>
      <c r="M518" s="253">
        <v>14.348473548889199</v>
      </c>
      <c r="N518" s="253">
        <v>14.316626548767101</v>
      </c>
      <c r="O518" s="253">
        <v>14.447472572326699</v>
      </c>
      <c r="P518" s="253">
        <v>14.6025552749634</v>
      </c>
      <c r="Q518" s="253">
        <v>14.6705665588379</v>
      </c>
      <c r="R518" s="253">
        <v>14.712552070617701</v>
      </c>
      <c r="S518" s="253">
        <v>14.8757133483887</v>
      </c>
      <c r="T518" s="253">
        <v>15.056845664978001</v>
      </c>
      <c r="U518" s="253">
        <v>15.2477731704712</v>
      </c>
      <c r="V518" s="253">
        <v>15.3445425033569</v>
      </c>
      <c r="W518" s="253">
        <v>15.4947566986084</v>
      </c>
      <c r="X518" s="253">
        <v>15.580441474914601</v>
      </c>
      <c r="Y518" s="253">
        <v>15.645468711853001</v>
      </c>
    </row>
    <row r="519" spans="1:26" x14ac:dyDescent="0.25">
      <c r="A519" s="249" t="s">
        <v>478</v>
      </c>
      <c r="B519" s="253">
        <v>7.8179483413696298</v>
      </c>
      <c r="C519" s="253">
        <v>9.2187824249267596</v>
      </c>
      <c r="D519" s="253">
        <v>9.9373922348022496</v>
      </c>
      <c r="E519" s="253">
        <v>10.0359506607056</v>
      </c>
      <c r="F519" s="253">
        <v>9.3121318817138707</v>
      </c>
      <c r="G519" s="253">
        <v>8.7750911712646502</v>
      </c>
      <c r="H519" s="253">
        <v>8.2899227142334002</v>
      </c>
      <c r="I519" s="253">
        <v>8.0357856750488299</v>
      </c>
      <c r="J519" s="253">
        <v>7.7935147285461399</v>
      </c>
      <c r="K519" s="253">
        <v>7.6957306861877397</v>
      </c>
      <c r="L519" s="253">
        <v>7.7737927436828604</v>
      </c>
      <c r="M519" s="253">
        <v>7.89709520339966</v>
      </c>
      <c r="N519" s="253">
        <v>8.0722961425781303</v>
      </c>
      <c r="O519" s="253">
        <v>8.21258449554443</v>
      </c>
      <c r="P519" s="253">
        <v>8.1957035064697301</v>
      </c>
      <c r="Q519" s="253">
        <v>8.2030982971191406</v>
      </c>
      <c r="R519" s="253">
        <v>8.3247480392456108</v>
      </c>
      <c r="S519" s="253">
        <v>8.5131444931030291</v>
      </c>
      <c r="T519" s="253">
        <v>8.6595201492309606</v>
      </c>
      <c r="U519" s="253">
        <v>8.7975921630859393</v>
      </c>
      <c r="V519" s="253">
        <v>8.8660669326782209</v>
      </c>
      <c r="W519" s="253">
        <v>8.8930187225341797</v>
      </c>
      <c r="X519" s="253">
        <v>8.9751634597778303</v>
      </c>
      <c r="Y519" s="253">
        <v>9.0651559829711896</v>
      </c>
    </row>
    <row r="520" spans="1:26" x14ac:dyDescent="0.25">
      <c r="A520" s="249" t="s">
        <v>479</v>
      </c>
      <c r="B520" s="253">
        <v>25.222642898559599</v>
      </c>
      <c r="C520" s="253">
        <v>25.415189743041999</v>
      </c>
      <c r="D520" s="253">
        <v>25.1893119812012</v>
      </c>
      <c r="E520" s="253">
        <v>25.147850036621101</v>
      </c>
      <c r="F520" s="253">
        <v>24.3894958496094</v>
      </c>
      <c r="G520" s="253">
        <v>23.460399627685501</v>
      </c>
      <c r="H520" s="253">
        <v>22.990982055664102</v>
      </c>
      <c r="I520" s="253">
        <v>23.018142700195298</v>
      </c>
      <c r="J520" s="253">
        <v>22.960025787353501</v>
      </c>
      <c r="K520" s="253">
        <v>22.974227905273398</v>
      </c>
      <c r="L520" s="253">
        <v>23.1215305328369</v>
      </c>
      <c r="M520" s="253">
        <v>23.312740325927699</v>
      </c>
      <c r="N520" s="253">
        <v>23.5714206695557</v>
      </c>
      <c r="O520" s="253">
        <v>23.632020950317401</v>
      </c>
      <c r="P520" s="253">
        <v>23.589054107666001</v>
      </c>
      <c r="Q520" s="253">
        <v>23.650138854980501</v>
      </c>
      <c r="R520" s="253">
        <v>23.8146667480469</v>
      </c>
      <c r="S520" s="253">
        <v>24.0346794128418</v>
      </c>
      <c r="T520" s="253">
        <v>24.122148513793899</v>
      </c>
      <c r="U520" s="253">
        <v>24.230636596679702</v>
      </c>
      <c r="V520" s="253">
        <v>24.181154251098601</v>
      </c>
      <c r="W520" s="253">
        <v>24.130558013916001</v>
      </c>
      <c r="X520" s="253">
        <v>24.148235321044901</v>
      </c>
      <c r="Y520" s="253">
        <v>24.238166809081999</v>
      </c>
    </row>
    <row r="521" spans="1:26" x14ac:dyDescent="0.25">
      <c r="A521" s="249" t="s">
        <v>440</v>
      </c>
      <c r="B521" s="253" t="s">
        <v>440</v>
      </c>
      <c r="C521" s="253" t="s">
        <v>440</v>
      </c>
      <c r="D521" s="253" t="s">
        <v>440</v>
      </c>
      <c r="E521" s="253" t="s">
        <v>440</v>
      </c>
      <c r="F521" s="253" t="s">
        <v>440</v>
      </c>
      <c r="G521" s="253" t="s">
        <v>440</v>
      </c>
      <c r="H521" s="253" t="s">
        <v>440</v>
      </c>
      <c r="I521" s="253" t="s">
        <v>440</v>
      </c>
      <c r="J521" s="253" t="s">
        <v>440</v>
      </c>
      <c r="K521" s="253" t="s">
        <v>440</v>
      </c>
      <c r="L521" s="253" t="s">
        <v>440</v>
      </c>
      <c r="M521" s="253" t="s">
        <v>440</v>
      </c>
      <c r="N521" s="253" t="s">
        <v>440</v>
      </c>
      <c r="O521" s="253" t="s">
        <v>440</v>
      </c>
      <c r="P521" s="253" t="s">
        <v>440</v>
      </c>
      <c r="Q521" s="253" t="s">
        <v>440</v>
      </c>
      <c r="R521" s="253" t="s">
        <v>440</v>
      </c>
      <c r="S521" s="253" t="s">
        <v>440</v>
      </c>
      <c r="T521" s="253" t="s">
        <v>440</v>
      </c>
      <c r="U521" s="253" t="s">
        <v>440</v>
      </c>
      <c r="V521" s="253" t="s">
        <v>440</v>
      </c>
      <c r="W521" s="253" t="s">
        <v>440</v>
      </c>
      <c r="X521" s="253" t="s">
        <v>440</v>
      </c>
      <c r="Y521" s="253" t="s">
        <v>440</v>
      </c>
    </row>
    <row r="522" spans="1:26" x14ac:dyDescent="0.25">
      <c r="A522" s="249" t="s">
        <v>480</v>
      </c>
      <c r="B522" s="253">
        <v>15.064169883728001</v>
      </c>
      <c r="C522" s="253">
        <v>15.629265785217299</v>
      </c>
      <c r="D522" s="253">
        <v>15.835299491882299</v>
      </c>
      <c r="E522" s="253">
        <v>15.918291091918899</v>
      </c>
      <c r="F522" s="253">
        <v>15.0829524993896</v>
      </c>
      <c r="G522" s="253">
        <v>14.3196773529053</v>
      </c>
      <c r="H522" s="253">
        <v>13.910519599914601</v>
      </c>
      <c r="I522" s="253">
        <v>13.8424997329712</v>
      </c>
      <c r="J522" s="253">
        <v>13.762632369995099</v>
      </c>
      <c r="K522" s="253">
        <v>13.8186712265015</v>
      </c>
      <c r="L522" s="253">
        <v>14.058515548706101</v>
      </c>
      <c r="M522" s="253">
        <v>14.316973686218301</v>
      </c>
      <c r="N522" s="253">
        <v>14.661353111267101</v>
      </c>
      <c r="O522" s="253">
        <v>14.869439125061</v>
      </c>
      <c r="P522" s="253">
        <v>14.9301090240479</v>
      </c>
      <c r="Q522" s="253">
        <v>15.044508934021</v>
      </c>
      <c r="R522" s="253">
        <v>15.2485342025757</v>
      </c>
      <c r="S522" s="253">
        <v>15.517853736877401</v>
      </c>
      <c r="T522" s="253">
        <v>15.7009220123291</v>
      </c>
      <c r="U522" s="253">
        <v>15.889198303222701</v>
      </c>
      <c r="V522" s="253">
        <v>15.933961868286101</v>
      </c>
      <c r="W522" s="253">
        <v>15.975202560424799</v>
      </c>
      <c r="X522" s="253">
        <v>16.0630493164063</v>
      </c>
      <c r="Y522" s="253">
        <v>16.195989608764599</v>
      </c>
    </row>
    <row r="523" spans="1:26" x14ac:dyDescent="0.25">
      <c r="A523" s="249" t="s">
        <v>474</v>
      </c>
      <c r="B523" s="253">
        <v>6.5697088241577104</v>
      </c>
      <c r="C523" s="253">
        <v>7.9157042503356898</v>
      </c>
      <c r="D523" s="253">
        <v>8.3734645843505895</v>
      </c>
      <c r="E523" s="253">
        <v>8.3683490753173793</v>
      </c>
      <c r="F523" s="253">
        <v>7.7444124221801802</v>
      </c>
      <c r="G523" s="253">
        <v>7.3380589485168501</v>
      </c>
      <c r="H523" s="253">
        <v>7.0368156433105504</v>
      </c>
      <c r="I523" s="253">
        <v>6.9020848274231001</v>
      </c>
      <c r="J523" s="253">
        <v>6.8100509643554696</v>
      </c>
      <c r="K523" s="253">
        <v>6.84179735183716</v>
      </c>
      <c r="L523" s="253">
        <v>6.8974781036376998</v>
      </c>
      <c r="M523" s="253">
        <v>6.9808845520019496</v>
      </c>
      <c r="N523" s="253">
        <v>7.1057710647582999</v>
      </c>
      <c r="O523" s="253">
        <v>7.20139837265015</v>
      </c>
      <c r="P523" s="253">
        <v>7.18692874908447</v>
      </c>
      <c r="Q523" s="253">
        <v>7.1932849884033203</v>
      </c>
      <c r="R523" s="253">
        <v>7.2944316864013699</v>
      </c>
      <c r="S523" s="253">
        <v>7.4377117156982404</v>
      </c>
      <c r="T523" s="253">
        <v>7.5399260520935103</v>
      </c>
      <c r="U523" s="253">
        <v>7.6392593383789098</v>
      </c>
      <c r="V523" s="253">
        <v>7.6873850822448704</v>
      </c>
      <c r="W523" s="253">
        <v>7.6958703994751003</v>
      </c>
      <c r="X523" s="253">
        <v>7.7559337615966797</v>
      </c>
      <c r="Y523" s="253">
        <v>7.8220491409301802</v>
      </c>
    </row>
    <row r="524" spans="1:26" x14ac:dyDescent="0.25">
      <c r="A524" s="249" t="s">
        <v>475</v>
      </c>
      <c r="B524" s="253">
        <v>6.9482707977294904</v>
      </c>
      <c r="C524" s="253">
        <v>8.0266513824462908</v>
      </c>
      <c r="D524" s="253">
        <v>8.9197750091552699</v>
      </c>
      <c r="E524" s="253">
        <v>8.6532449722290004</v>
      </c>
      <c r="F524" s="253">
        <v>7.9109911918640101</v>
      </c>
      <c r="G524" s="253">
        <v>7.48618364334106</v>
      </c>
      <c r="H524" s="253">
        <v>7.32971286773682</v>
      </c>
      <c r="I524" s="253">
        <v>7.1282916069030797</v>
      </c>
      <c r="J524" s="253">
        <v>7.1344366073608398</v>
      </c>
      <c r="K524" s="253">
        <v>7.2035880088806197</v>
      </c>
      <c r="L524" s="253">
        <v>7.21549415588379</v>
      </c>
      <c r="M524" s="253">
        <v>7.2433881759643599</v>
      </c>
      <c r="N524" s="253">
        <v>7.2548027038574201</v>
      </c>
      <c r="O524" s="253">
        <v>7.2826437950134304</v>
      </c>
      <c r="P524" s="253">
        <v>7.3254833221435502</v>
      </c>
      <c r="Q524" s="253">
        <v>7.3667011260986301</v>
      </c>
      <c r="R524" s="253">
        <v>7.4382300376892099</v>
      </c>
      <c r="S524" s="253">
        <v>7.5099358558654803</v>
      </c>
      <c r="T524" s="253">
        <v>7.5474686622619602</v>
      </c>
      <c r="U524" s="253">
        <v>7.6315479278564498</v>
      </c>
      <c r="V524" s="253">
        <v>7.69354152679443</v>
      </c>
      <c r="W524" s="253">
        <v>7.7161302566528303</v>
      </c>
      <c r="X524" s="253">
        <v>7.7569241523742702</v>
      </c>
      <c r="Y524" s="253">
        <v>7.8363184928893999</v>
      </c>
    </row>
    <row r="525" spans="1:26" x14ac:dyDescent="0.25">
      <c r="A525" s="249" t="s">
        <v>476</v>
      </c>
      <c r="B525" s="253">
        <v>6.1493649482727104</v>
      </c>
      <c r="C525" s="253">
        <v>7.03082323074341</v>
      </c>
      <c r="D525" s="253">
        <v>7.7272844314575204</v>
      </c>
      <c r="E525" s="253">
        <v>7.4210705757141104</v>
      </c>
      <c r="F525" s="253">
        <v>6.8826036453247097</v>
      </c>
      <c r="G525" s="253">
        <v>6.5409913063049299</v>
      </c>
      <c r="H525" s="253">
        <v>6.4167842864990199</v>
      </c>
      <c r="I525" s="253">
        <v>6.2535924911498997</v>
      </c>
      <c r="J525" s="253">
        <v>6.2965154647827104</v>
      </c>
      <c r="K525" s="253">
        <v>6.4007697105407697</v>
      </c>
      <c r="L525" s="253">
        <v>6.4218788146972701</v>
      </c>
      <c r="M525" s="253">
        <v>6.4483299255371103</v>
      </c>
      <c r="N525" s="253">
        <v>6.4679012298584002</v>
      </c>
      <c r="O525" s="253">
        <v>6.4912290573120099</v>
      </c>
      <c r="P525" s="253">
        <v>6.52826023101807</v>
      </c>
      <c r="Q525" s="253">
        <v>6.5738272666931197</v>
      </c>
      <c r="R525" s="253">
        <v>6.6604804992675799</v>
      </c>
      <c r="S525" s="253">
        <v>6.7330570220947301</v>
      </c>
      <c r="T525" s="253">
        <v>6.75683689117432</v>
      </c>
      <c r="U525" s="253">
        <v>6.8434348106384304</v>
      </c>
      <c r="V525" s="253">
        <v>6.9099073410034197</v>
      </c>
      <c r="W525" s="253">
        <v>6.9186587333679199</v>
      </c>
      <c r="X525" s="253">
        <v>6.9633812904357901</v>
      </c>
      <c r="Y525" s="253">
        <v>7.0585165023803702</v>
      </c>
    </row>
    <row r="526" spans="1:26" x14ac:dyDescent="0.25">
      <c r="A526" s="249" t="s">
        <v>481</v>
      </c>
      <c r="B526" s="253">
        <v>4.2683343887329102</v>
      </c>
      <c r="C526" s="253">
        <v>4.9646224975585902</v>
      </c>
      <c r="D526" s="253">
        <v>5.0606441497802699</v>
      </c>
      <c r="E526" s="253">
        <v>5.3499689102172896</v>
      </c>
      <c r="F526" s="253">
        <v>5.0606269836425799</v>
      </c>
      <c r="G526" s="253">
        <v>4.6454811096191397</v>
      </c>
      <c r="H526" s="253">
        <v>4.44089698791504</v>
      </c>
      <c r="I526" s="253">
        <v>4.3064308166503897</v>
      </c>
      <c r="J526" s="253">
        <v>4.2577414512634304</v>
      </c>
      <c r="K526" s="253">
        <v>4.3118896484375</v>
      </c>
      <c r="L526" s="253">
        <v>4.3638815879821804</v>
      </c>
      <c r="M526" s="253">
        <v>4.4166550636291504</v>
      </c>
      <c r="N526" s="253">
        <v>4.4711151123046902</v>
      </c>
      <c r="O526" s="253">
        <v>4.5238728523254403</v>
      </c>
      <c r="P526" s="253">
        <v>4.5756058692932102</v>
      </c>
      <c r="Q526" s="253">
        <v>4.6275658607482901</v>
      </c>
      <c r="R526" s="253">
        <v>4.6890521049499503</v>
      </c>
      <c r="S526" s="253">
        <v>4.7516570091247603</v>
      </c>
      <c r="T526" s="253">
        <v>4.8052668571472203</v>
      </c>
      <c r="U526" s="253">
        <v>4.8599562644958496</v>
      </c>
      <c r="V526" s="253">
        <v>4.9139251708984402</v>
      </c>
      <c r="W526" s="253">
        <v>4.9674754142761204</v>
      </c>
      <c r="X526" s="253">
        <v>5.0218071937561</v>
      </c>
      <c r="Y526" s="253">
        <v>5.0773591995239302</v>
      </c>
    </row>
    <row r="527" spans="1:26" x14ac:dyDescent="0.25">
      <c r="A527" s="274" t="s">
        <v>478</v>
      </c>
      <c r="B527" s="253">
        <v>6.6170339584350604</v>
      </c>
      <c r="C527" s="253">
        <v>8.0769119262695295</v>
      </c>
      <c r="D527" s="253">
        <v>8.4474086761474592</v>
      </c>
      <c r="E527" s="253">
        <v>8.5042705535888707</v>
      </c>
      <c r="F527" s="253">
        <v>7.8856530189514196</v>
      </c>
      <c r="G527" s="253">
        <v>7.4673976898193404</v>
      </c>
      <c r="H527" s="253">
        <v>7.1177520751953098</v>
      </c>
      <c r="I527" s="253">
        <v>6.9923906326293901</v>
      </c>
      <c r="J527" s="253">
        <v>6.8716683387756303</v>
      </c>
      <c r="K527" s="253">
        <v>6.8934268951415998</v>
      </c>
      <c r="L527" s="253">
        <v>6.9598770141601598</v>
      </c>
      <c r="M527" s="253">
        <v>7.0576272010803196</v>
      </c>
      <c r="N527" s="253">
        <v>7.21203565597534</v>
      </c>
      <c r="O527" s="253">
        <v>7.32529544830322</v>
      </c>
      <c r="P527" s="253">
        <v>7.2944836616516104</v>
      </c>
      <c r="Q527" s="253">
        <v>7.2903637886047399</v>
      </c>
      <c r="R527" s="253">
        <v>7.3995337486267099</v>
      </c>
      <c r="S527" s="253">
        <v>7.56237888336182</v>
      </c>
      <c r="T527" s="253">
        <v>7.6814393997192401</v>
      </c>
      <c r="U527" s="253">
        <v>7.78521823883057</v>
      </c>
      <c r="V527" s="253">
        <v>7.8287162780761701</v>
      </c>
      <c r="W527" s="253">
        <v>7.8313083648681596</v>
      </c>
      <c r="X527" s="253">
        <v>7.8953433036804199</v>
      </c>
      <c r="Y527" s="253">
        <v>7.9576945304870597</v>
      </c>
      <c r="Z527" s="283">
        <f>Y527+($AI$357-$Y$527)/10</f>
        <v>8.0099991534203383</v>
      </c>
    </row>
    <row r="528" spans="1:26" x14ac:dyDescent="0.25">
      <c r="A528" s="276" t="s">
        <v>479</v>
      </c>
      <c r="B528" s="253">
        <v>23.353584289550799</v>
      </c>
      <c r="C528" s="253">
        <v>23.2374382019043</v>
      </c>
      <c r="D528" s="253">
        <v>23.0415229797363</v>
      </c>
      <c r="E528" s="253">
        <v>22.938554763793899</v>
      </c>
      <c r="F528" s="253">
        <v>21.8424968719482</v>
      </c>
      <c r="G528" s="253">
        <v>20.6924953460693</v>
      </c>
      <c r="H528" s="253">
        <v>20.1292018890381</v>
      </c>
      <c r="I528" s="253">
        <v>20.063879013061499</v>
      </c>
      <c r="J528" s="253">
        <v>19.9343872070313</v>
      </c>
      <c r="K528" s="253">
        <v>19.938108444213899</v>
      </c>
      <c r="L528" s="253">
        <v>20.262083053588899</v>
      </c>
      <c r="M528" s="253">
        <v>20.589830398559599</v>
      </c>
      <c r="N528" s="253">
        <v>21.038742065429702</v>
      </c>
      <c r="O528" s="253">
        <v>21.2544975280762</v>
      </c>
      <c r="P528" s="253">
        <v>21.300868988037099</v>
      </c>
      <c r="Q528" s="253">
        <v>21.4323215484619</v>
      </c>
      <c r="R528" s="253">
        <v>21.647081375122099</v>
      </c>
      <c r="S528" s="253">
        <v>21.937980651855501</v>
      </c>
      <c r="T528" s="253">
        <v>22.104045867919901</v>
      </c>
      <c r="U528" s="253">
        <v>22.281753540039102</v>
      </c>
      <c r="V528" s="253">
        <v>22.24875831604</v>
      </c>
      <c r="W528" s="253">
        <v>22.2471523284912</v>
      </c>
      <c r="X528" s="253">
        <v>22.287950515747099</v>
      </c>
      <c r="Y528" s="253">
        <v>22.4030246734619</v>
      </c>
      <c r="Z528" s="285">
        <f>Y528+($AI$358-$Y$528)/10</f>
        <v>22.313820934181763</v>
      </c>
    </row>
    <row r="529" spans="1:71" x14ac:dyDescent="0.25">
      <c r="A529" s="249" t="s">
        <v>440</v>
      </c>
      <c r="B529" s="253" t="s">
        <v>440</v>
      </c>
      <c r="C529" s="253" t="s">
        <v>440</v>
      </c>
      <c r="D529" s="253" t="s">
        <v>440</v>
      </c>
      <c r="E529" s="253" t="s">
        <v>440</v>
      </c>
      <c r="F529" s="253" t="s">
        <v>440</v>
      </c>
      <c r="G529" s="253" t="s">
        <v>440</v>
      </c>
      <c r="H529" s="253" t="s">
        <v>440</v>
      </c>
      <c r="I529" s="253" t="s">
        <v>440</v>
      </c>
      <c r="J529" s="253" t="s">
        <v>440</v>
      </c>
      <c r="K529" s="253" t="s">
        <v>440</v>
      </c>
      <c r="L529" s="253" t="s">
        <v>440</v>
      </c>
      <c r="M529" s="253" t="s">
        <v>440</v>
      </c>
      <c r="N529" s="253" t="s">
        <v>440</v>
      </c>
      <c r="O529" s="253" t="s">
        <v>440</v>
      </c>
      <c r="P529" s="253" t="s">
        <v>440</v>
      </c>
      <c r="Q529" s="253" t="s">
        <v>440</v>
      </c>
      <c r="R529" s="253" t="s">
        <v>440</v>
      </c>
      <c r="S529" s="253" t="s">
        <v>440</v>
      </c>
      <c r="T529" s="253" t="s">
        <v>440</v>
      </c>
      <c r="U529" s="253" t="s">
        <v>440</v>
      </c>
      <c r="V529" s="253" t="s">
        <v>440</v>
      </c>
      <c r="W529" s="253" t="s">
        <v>440</v>
      </c>
      <c r="X529" s="253" t="s">
        <v>440</v>
      </c>
      <c r="Y529" s="253" t="s">
        <v>440</v>
      </c>
    </row>
    <row r="530" spans="1:71" ht="13.8" thickBot="1" x14ac:dyDescent="0.3">
      <c r="A530" s="249" t="s">
        <v>482</v>
      </c>
      <c r="B530" s="253">
        <v>6.3922061920165998</v>
      </c>
      <c r="C530" s="253">
        <v>7.7839651107788104</v>
      </c>
      <c r="D530" s="253">
        <v>8.7301359176635707</v>
      </c>
      <c r="E530" s="253">
        <v>8.5276689529418892</v>
      </c>
      <c r="F530" s="253">
        <v>7.7321057319641104</v>
      </c>
      <c r="G530" s="253">
        <v>7.2916359901428196</v>
      </c>
      <c r="H530" s="253">
        <v>7.0938224792480504</v>
      </c>
      <c r="I530" s="253">
        <v>6.9649901390075701</v>
      </c>
      <c r="J530" s="253">
        <v>6.8520793914794904</v>
      </c>
      <c r="K530" s="253">
        <v>6.8315567970275897</v>
      </c>
      <c r="L530" s="253">
        <v>6.8953166007995597</v>
      </c>
      <c r="M530" s="253">
        <v>6.99013376235962</v>
      </c>
      <c r="N530" s="253">
        <v>7.1103782653808603</v>
      </c>
      <c r="O530" s="253">
        <v>7.2379879951477104</v>
      </c>
      <c r="P530" s="253">
        <v>7.276611328125</v>
      </c>
      <c r="Q530" s="253">
        <v>7.3343372344970703</v>
      </c>
      <c r="R530" s="253">
        <v>7.4634890556335396</v>
      </c>
      <c r="S530" s="253">
        <v>7.6215224266052202</v>
      </c>
      <c r="T530" s="253">
        <v>7.7529444694518999</v>
      </c>
      <c r="U530" s="253">
        <v>7.8803434371948198</v>
      </c>
      <c r="V530" s="253">
        <v>7.9471721649169904</v>
      </c>
      <c r="W530" s="253">
        <v>7.99715328216553</v>
      </c>
      <c r="X530" s="253">
        <v>8.05676174163818</v>
      </c>
      <c r="Y530" s="253">
        <v>8.1260271072387695</v>
      </c>
    </row>
    <row r="531" spans="1:71" ht="13.8" thickBot="1" x14ac:dyDescent="0.3">
      <c r="A531" s="249" t="s">
        <v>483</v>
      </c>
      <c r="B531" s="253">
        <v>4.9298634529113796</v>
      </c>
      <c r="C531" s="253">
        <v>6.4939708709716797</v>
      </c>
      <c r="D531" s="253">
        <v>7.4592456817626998</v>
      </c>
      <c r="E531" s="253">
        <v>7.2321572303771999</v>
      </c>
      <c r="F531" s="253">
        <v>6.3973078727722203</v>
      </c>
      <c r="G531" s="253">
        <v>5.9808039665222203</v>
      </c>
      <c r="H531" s="253">
        <v>5.7940292358398402</v>
      </c>
      <c r="I531" s="253">
        <v>5.64864206314087</v>
      </c>
      <c r="J531" s="253">
        <v>5.54791307449341</v>
      </c>
      <c r="K531" s="253">
        <v>5.5448842048645002</v>
      </c>
      <c r="L531" s="253">
        <v>5.5862631797790501</v>
      </c>
      <c r="M531" s="253">
        <v>5.6484580039978001</v>
      </c>
      <c r="N531" s="253">
        <v>5.7157526016235396</v>
      </c>
      <c r="O531" s="253">
        <v>5.8273496627807599</v>
      </c>
      <c r="P531" s="253">
        <v>5.8644676208496103</v>
      </c>
      <c r="Q531" s="253">
        <v>5.9049983024597203</v>
      </c>
      <c r="R531" s="253">
        <v>6.0105843544006303</v>
      </c>
      <c r="S531" s="253">
        <v>6.1420850753784197</v>
      </c>
      <c r="T531" s="253">
        <v>6.2661328315734899</v>
      </c>
      <c r="U531" s="253">
        <v>6.3902029991149902</v>
      </c>
      <c r="V531" s="253">
        <v>6.4639844894409197</v>
      </c>
      <c r="W531" s="253">
        <v>6.5222811698913601</v>
      </c>
      <c r="X531" s="253">
        <v>6.5781168937683097</v>
      </c>
      <c r="Y531" s="253">
        <v>6.6401424407959002</v>
      </c>
      <c r="AA531" s="296">
        <f>Z701+($AI$531-$Y$701)/10</f>
        <v>1.6707610713595051</v>
      </c>
      <c r="AB531" s="296">
        <f t="shared" ref="AB531:AH531" si="75">AA531+($AI$531-$Y$701)/10</f>
        <v>1.7872284374395671</v>
      </c>
      <c r="AC531" s="296">
        <f t="shared" si="75"/>
        <v>1.903695803519629</v>
      </c>
      <c r="AD531" s="296">
        <f t="shared" si="75"/>
        <v>2.0201631695996909</v>
      </c>
      <c r="AE531" s="296">
        <f t="shared" si="75"/>
        <v>2.1366305356797528</v>
      </c>
      <c r="AF531" s="296">
        <f t="shared" si="75"/>
        <v>2.2530979017598147</v>
      </c>
      <c r="AG531" s="296">
        <f t="shared" si="75"/>
        <v>2.3695652678398766</v>
      </c>
      <c r="AH531" s="296">
        <f t="shared" si="75"/>
        <v>2.4860326339199386</v>
      </c>
      <c r="AI531" s="301">
        <v>2.6025</v>
      </c>
      <c r="AJ531" s="296">
        <f>AI531+($BM$531-$AI$531)/30</f>
        <v>2.6824166666666667</v>
      </c>
      <c r="AK531" s="296">
        <f t="shared" ref="AK531:BR531" si="76">AJ531+($BM$531-$AI$531)/30</f>
        <v>2.7623333333333333</v>
      </c>
      <c r="AL531" s="296">
        <f t="shared" si="76"/>
        <v>2.8422499999999999</v>
      </c>
      <c r="AM531" s="296">
        <f t="shared" si="76"/>
        <v>2.9221666666666666</v>
      </c>
      <c r="AN531" s="296">
        <f t="shared" si="76"/>
        <v>3.0020833333333332</v>
      </c>
      <c r="AO531" s="296">
        <f t="shared" si="76"/>
        <v>3.0819999999999999</v>
      </c>
      <c r="AP531" s="296">
        <f t="shared" si="76"/>
        <v>3.1619166666666665</v>
      </c>
      <c r="AQ531" s="296">
        <f t="shared" si="76"/>
        <v>3.2418333333333331</v>
      </c>
      <c r="AR531" s="296">
        <f t="shared" si="76"/>
        <v>3.3217499999999998</v>
      </c>
      <c r="AS531" s="296">
        <f t="shared" si="76"/>
        <v>3.4016666666666664</v>
      </c>
      <c r="AT531" s="296">
        <f t="shared" si="76"/>
        <v>3.481583333333333</v>
      </c>
      <c r="AU531" s="296">
        <f t="shared" si="76"/>
        <v>3.5614999999999997</v>
      </c>
      <c r="AV531" s="296">
        <f t="shared" si="76"/>
        <v>3.6414166666666663</v>
      </c>
      <c r="AW531" s="296">
        <f t="shared" si="76"/>
        <v>3.7213333333333329</v>
      </c>
      <c r="AX531" s="296">
        <f t="shared" si="76"/>
        <v>3.8012499999999996</v>
      </c>
      <c r="AY531" s="296">
        <f t="shared" si="76"/>
        <v>3.8811666666666662</v>
      </c>
      <c r="AZ531" s="296">
        <f t="shared" si="76"/>
        <v>3.9610833333333328</v>
      </c>
      <c r="BA531" s="296">
        <f t="shared" si="76"/>
        <v>4.0409999999999995</v>
      </c>
      <c r="BB531" s="296">
        <f t="shared" si="76"/>
        <v>4.1209166666666661</v>
      </c>
      <c r="BC531" s="296">
        <f t="shared" si="76"/>
        <v>4.2008333333333328</v>
      </c>
      <c r="BD531" s="296">
        <f t="shared" si="76"/>
        <v>4.2807499999999994</v>
      </c>
      <c r="BE531" s="296">
        <f t="shared" si="76"/>
        <v>4.360666666666666</v>
      </c>
      <c r="BF531" s="296">
        <f t="shared" si="76"/>
        <v>4.4405833333333327</v>
      </c>
      <c r="BG531" s="296">
        <f t="shared" si="76"/>
        <v>4.5204999999999993</v>
      </c>
      <c r="BH531" s="296">
        <f t="shared" si="76"/>
        <v>4.6004166666666659</v>
      </c>
      <c r="BI531" s="296">
        <f t="shared" si="76"/>
        <v>4.6803333333333326</v>
      </c>
      <c r="BJ531" s="296">
        <f t="shared" si="76"/>
        <v>4.7602499999999992</v>
      </c>
      <c r="BK531" s="296">
        <f t="shared" si="76"/>
        <v>4.8401666666666658</v>
      </c>
      <c r="BL531" s="296">
        <f t="shared" si="76"/>
        <v>4.9200833333333325</v>
      </c>
      <c r="BM531" s="299">
        <v>5</v>
      </c>
      <c r="BN531" s="296">
        <f t="shared" si="76"/>
        <v>5.0799166666666666</v>
      </c>
      <c r="BO531" s="296">
        <f t="shared" si="76"/>
        <v>5.1598333333333333</v>
      </c>
      <c r="BP531" s="296">
        <f t="shared" si="76"/>
        <v>5.2397499999999999</v>
      </c>
      <c r="BQ531" s="296">
        <f t="shared" si="76"/>
        <v>5.3196666666666665</v>
      </c>
      <c r="BR531" s="296">
        <f t="shared" si="76"/>
        <v>5.3995833333333332</v>
      </c>
    </row>
    <row r="532" spans="1:71" x14ac:dyDescent="0.25">
      <c r="A532" s="249" t="s">
        <v>475</v>
      </c>
      <c r="B532" s="253">
        <v>6.5291514396667498</v>
      </c>
      <c r="C532" s="253">
        <v>8.2850980758666992</v>
      </c>
      <c r="D532" s="253">
        <v>9.8001232147216797</v>
      </c>
      <c r="E532" s="253">
        <v>9.3072748184204102</v>
      </c>
      <c r="F532" s="253">
        <v>8.1255960464477504</v>
      </c>
      <c r="G532" s="253">
        <v>7.6394152641296396</v>
      </c>
      <c r="H532" s="253">
        <v>7.5353851318359402</v>
      </c>
      <c r="I532" s="253">
        <v>7.29905128479004</v>
      </c>
      <c r="J532" s="253">
        <v>7.2437157630920401</v>
      </c>
      <c r="K532" s="253">
        <v>7.2615475654602104</v>
      </c>
      <c r="L532" s="253">
        <v>7.28952884674072</v>
      </c>
      <c r="M532" s="253">
        <v>7.3323044776916504</v>
      </c>
      <c r="N532" s="253">
        <v>7.3129158020019496</v>
      </c>
      <c r="O532" s="253">
        <v>7.4180650711059597</v>
      </c>
      <c r="P532" s="253">
        <v>7.5101509094238299</v>
      </c>
      <c r="Q532" s="253">
        <v>7.5518846511840803</v>
      </c>
      <c r="R532" s="253">
        <v>7.6326026916503897</v>
      </c>
      <c r="S532" s="253">
        <v>7.7444272041320801</v>
      </c>
      <c r="T532" s="253">
        <v>7.8752341270446804</v>
      </c>
      <c r="U532" s="253">
        <v>8.0334920883178693</v>
      </c>
      <c r="V532" s="253">
        <v>8.1469945907592791</v>
      </c>
      <c r="W532" s="253">
        <v>8.2539978027343803</v>
      </c>
      <c r="X532" s="253">
        <v>8.3047761917114293</v>
      </c>
      <c r="Y532" s="253">
        <v>8.3638219833374006</v>
      </c>
      <c r="AA532" s="299">
        <v>8.7353999999999985</v>
      </c>
      <c r="AB532" s="299">
        <v>8.7353999999999985</v>
      </c>
      <c r="AC532" s="299">
        <v>8.7353999999999985</v>
      </c>
      <c r="AD532" s="299">
        <v>8.7353999999999985</v>
      </c>
      <c r="AE532" s="299">
        <v>8.7353999999999985</v>
      </c>
      <c r="AF532" s="299">
        <v>8.7353999999999985</v>
      </c>
      <c r="AG532" s="299">
        <v>8.7353999999999985</v>
      </c>
      <c r="AH532" s="299">
        <v>8.2799999999999994</v>
      </c>
      <c r="AI532" s="299">
        <v>8.2799999999999994</v>
      </c>
      <c r="AJ532" s="289">
        <f>AI532+($AX$532-$AI$532)/15</f>
        <v>8.2855063337213686</v>
      </c>
      <c r="AK532" s="289">
        <f t="shared" ref="AK532:AW532" si="77">AJ532+($AX$532-$AI$532)/15</f>
        <v>8.2910126674427378</v>
      </c>
      <c r="AL532" s="289">
        <f t="shared" si="77"/>
        <v>8.296519001164107</v>
      </c>
      <c r="AM532" s="289">
        <f t="shared" si="77"/>
        <v>8.3020253348854762</v>
      </c>
      <c r="AN532" s="289">
        <f t="shared" si="77"/>
        <v>8.3075316686068454</v>
      </c>
      <c r="AO532" s="289">
        <f t="shared" si="77"/>
        <v>8.3130380023282147</v>
      </c>
      <c r="AP532" s="289">
        <f t="shared" si="77"/>
        <v>8.3185443360495839</v>
      </c>
      <c r="AQ532" s="289">
        <f t="shared" si="77"/>
        <v>8.3240506697709531</v>
      </c>
      <c r="AR532" s="289">
        <f t="shared" si="77"/>
        <v>8.3295570034923223</v>
      </c>
      <c r="AS532" s="289">
        <f t="shared" si="77"/>
        <v>8.3350633372136915</v>
      </c>
      <c r="AT532" s="289">
        <f t="shared" si="77"/>
        <v>8.3405696709350607</v>
      </c>
      <c r="AU532" s="289">
        <f t="shared" si="77"/>
        <v>8.34607600465643</v>
      </c>
      <c r="AV532" s="289">
        <f t="shared" si="77"/>
        <v>8.3515823383777992</v>
      </c>
      <c r="AW532" s="289">
        <f t="shared" si="77"/>
        <v>8.3570886720991684</v>
      </c>
      <c r="AX532" s="294">
        <f>AI532*$B$747</f>
        <v>8.3625950058205305</v>
      </c>
      <c r="AY532" s="289">
        <f>AX532+($BM$532-$AX$532)/15</f>
        <v>8.3654368677345836</v>
      </c>
      <c r="AZ532" s="289">
        <f t="shared" ref="AZ532:BL532" si="78">AY532+($BM$532-$AX$532)/15</f>
        <v>8.3682787296486367</v>
      </c>
      <c r="BA532" s="289">
        <f t="shared" si="78"/>
        <v>8.3711205915626898</v>
      </c>
      <c r="BB532" s="289">
        <f t="shared" si="78"/>
        <v>8.373962453476743</v>
      </c>
      <c r="BC532" s="289">
        <f t="shared" si="78"/>
        <v>8.3768043153907961</v>
      </c>
      <c r="BD532" s="289">
        <f t="shared" si="78"/>
        <v>8.3796461773048492</v>
      </c>
      <c r="BE532" s="289">
        <f t="shared" si="78"/>
        <v>8.3824880392189023</v>
      </c>
      <c r="BF532" s="289">
        <f t="shared" si="78"/>
        <v>8.3853299011329554</v>
      </c>
      <c r="BG532" s="289">
        <f t="shared" si="78"/>
        <v>8.3881717630470085</v>
      </c>
      <c r="BH532" s="289">
        <f t="shared" si="78"/>
        <v>8.3910136249610616</v>
      </c>
      <c r="BI532" s="289">
        <f t="shared" si="78"/>
        <v>8.3938554868751147</v>
      </c>
      <c r="BJ532" s="289">
        <f t="shared" si="78"/>
        <v>8.3966973487891678</v>
      </c>
      <c r="BK532" s="289">
        <f t="shared" si="78"/>
        <v>8.399539210703221</v>
      </c>
      <c r="BL532" s="289">
        <f t="shared" si="78"/>
        <v>8.4023810726172741</v>
      </c>
      <c r="BM532" s="294">
        <f>AX532*$C$747</f>
        <v>8.4052229345313236</v>
      </c>
      <c r="BN532" s="289">
        <f>BM532+($BR$532-$BM$532)/5</f>
        <v>8.4080792827007791</v>
      </c>
      <c r="BO532" s="289">
        <f>BN532+($BR$532-$BM$532)/5</f>
        <v>8.4109356308702345</v>
      </c>
      <c r="BP532" s="289">
        <f>BO532+($BR$532-$BM$532)/5</f>
        <v>8.41379197903969</v>
      </c>
      <c r="BQ532" s="289">
        <f>BP532+($BR$532-$BM$532)/5</f>
        <v>8.4166483272091455</v>
      </c>
      <c r="BR532" s="294">
        <f>BM532*$D$747</f>
        <v>8.4195046753785974</v>
      </c>
    </row>
    <row r="533" spans="1:71" x14ac:dyDescent="0.25">
      <c r="A533" s="249" t="s">
        <v>476</v>
      </c>
      <c r="B533" s="253">
        <v>6.3323707580566397</v>
      </c>
      <c r="C533" s="253">
        <v>7.2384452819824201</v>
      </c>
      <c r="D533" s="253">
        <v>7.96527099609375</v>
      </c>
      <c r="E533" s="253">
        <v>7.6527137756347701</v>
      </c>
      <c r="F533" s="253">
        <v>7.15256595611572</v>
      </c>
      <c r="G533" s="253">
        <v>6.8207654953002903</v>
      </c>
      <c r="H533" s="253">
        <v>6.8779778480529803</v>
      </c>
      <c r="I533" s="253">
        <v>6.7174663543701199</v>
      </c>
      <c r="J533" s="253">
        <v>6.78255271911621</v>
      </c>
      <c r="K533" s="253">
        <v>7.1339807510376003</v>
      </c>
      <c r="L533" s="253">
        <v>7.1601362228393599</v>
      </c>
      <c r="M533" s="253">
        <v>7.1876134872436497</v>
      </c>
      <c r="N533" s="253">
        <v>7.1760501861572301</v>
      </c>
      <c r="O533" s="253">
        <v>7.19400835037231</v>
      </c>
      <c r="P533" s="253">
        <v>7.2192950248718297</v>
      </c>
      <c r="Q533" s="253">
        <v>7.2771706581115696</v>
      </c>
      <c r="R533" s="253">
        <v>7.32332468032837</v>
      </c>
      <c r="S533" s="253">
        <v>7.37906789779663</v>
      </c>
      <c r="T533" s="253">
        <v>7.3721222877502397</v>
      </c>
      <c r="U533" s="253">
        <v>7.4461221694946298</v>
      </c>
      <c r="V533" s="253">
        <v>7.5145907402038601</v>
      </c>
      <c r="W533" s="253">
        <v>7.4954967498779297</v>
      </c>
      <c r="X533" s="253">
        <v>7.5633401870727504</v>
      </c>
      <c r="Y533" s="253">
        <v>7.7325506210327104</v>
      </c>
      <c r="AA533" s="300">
        <v>4.78</v>
      </c>
      <c r="AB533" s="300">
        <v>4.78</v>
      </c>
      <c r="AC533" s="300">
        <v>4.78</v>
      </c>
      <c r="AD533" s="300">
        <v>4.78</v>
      </c>
      <c r="AE533" s="300">
        <v>4.78</v>
      </c>
      <c r="AF533" s="300">
        <v>4.78</v>
      </c>
      <c r="AG533" s="300">
        <v>4.78</v>
      </c>
      <c r="AH533" s="300">
        <v>4.78</v>
      </c>
      <c r="AI533" s="300">
        <v>4.78</v>
      </c>
      <c r="AJ533" s="300">
        <v>4.78</v>
      </c>
      <c r="AK533" s="300">
        <v>4.78</v>
      </c>
      <c r="AL533" s="300">
        <v>4.78</v>
      </c>
      <c r="AM533" s="300">
        <v>4.78</v>
      </c>
      <c r="AN533" s="300">
        <v>4.78</v>
      </c>
      <c r="AO533" s="300">
        <v>4.78</v>
      </c>
      <c r="AP533" s="300">
        <v>4.78</v>
      </c>
      <c r="AQ533" s="300">
        <v>4.78</v>
      </c>
      <c r="AR533" s="300">
        <v>4.78</v>
      </c>
      <c r="AS533" s="300">
        <v>4.78</v>
      </c>
      <c r="AT533" s="300">
        <v>4.78</v>
      </c>
      <c r="AU533" s="300">
        <v>4.78</v>
      </c>
      <c r="AV533" s="300">
        <v>4.78</v>
      </c>
      <c r="AW533" s="300">
        <v>4.78</v>
      </c>
      <c r="AX533" s="300">
        <v>4.78</v>
      </c>
      <c r="AY533" s="300">
        <v>4.78</v>
      </c>
      <c r="AZ533" s="300">
        <v>4.78</v>
      </c>
      <c r="BA533" s="300">
        <v>4.78</v>
      </c>
      <c r="BB533" s="300">
        <v>4.78</v>
      </c>
      <c r="BC533" s="300">
        <v>4.78</v>
      </c>
      <c r="BD533" s="300">
        <v>4.78</v>
      </c>
      <c r="BE533" s="300">
        <v>4.78</v>
      </c>
      <c r="BF533" s="300">
        <v>4.78</v>
      </c>
      <c r="BG533" s="300">
        <v>4.78</v>
      </c>
      <c r="BH533" s="300">
        <v>4.78</v>
      </c>
      <c r="BI533" s="300">
        <v>4.78</v>
      </c>
      <c r="BJ533" s="300">
        <v>4.78</v>
      </c>
      <c r="BK533" s="300">
        <v>4.78</v>
      </c>
      <c r="BL533" s="300">
        <v>4.78</v>
      </c>
      <c r="BM533" s="300">
        <v>4.78</v>
      </c>
      <c r="BN533" s="300">
        <v>4.78</v>
      </c>
      <c r="BO533" s="300">
        <v>4.78</v>
      </c>
      <c r="BP533" s="300">
        <v>4.78</v>
      </c>
      <c r="BQ533" s="300">
        <v>4.78</v>
      </c>
      <c r="BR533" s="300">
        <v>4.78</v>
      </c>
      <c r="BS533" s="222"/>
    </row>
    <row r="534" spans="1:71" x14ac:dyDescent="0.25">
      <c r="A534" s="249" t="s">
        <v>477</v>
      </c>
      <c r="B534" s="253">
        <v>8.4833917617797905</v>
      </c>
      <c r="C534" s="253">
        <v>12.566796302795399</v>
      </c>
      <c r="D534" s="253">
        <v>15.1470994949341</v>
      </c>
      <c r="E534" s="253">
        <v>13.2375335693359</v>
      </c>
      <c r="F534" s="253">
        <v>11.1595468521118</v>
      </c>
      <c r="G534" s="253">
        <v>10.509430885314901</v>
      </c>
      <c r="H534" s="253">
        <v>10.3245944976807</v>
      </c>
      <c r="I534" s="253">
        <v>10.044970512390099</v>
      </c>
      <c r="J534" s="253">
        <v>10.0157480239868</v>
      </c>
      <c r="K534" s="253">
        <v>9.9449577331543004</v>
      </c>
      <c r="L534" s="253">
        <v>10.002993583679199</v>
      </c>
      <c r="M534" s="253">
        <v>10.097089767456101</v>
      </c>
      <c r="N534" s="253">
        <v>10.020875930786101</v>
      </c>
      <c r="O534" s="253">
        <v>10.2241611480713</v>
      </c>
      <c r="P534" s="253">
        <v>10.3367824554443</v>
      </c>
      <c r="Q534" s="253">
        <v>10.319104194641101</v>
      </c>
      <c r="R534" s="253">
        <v>10.409514427185099</v>
      </c>
      <c r="S534" s="253">
        <v>10.552604675293001</v>
      </c>
      <c r="T534" s="253">
        <v>10.737306594848601</v>
      </c>
      <c r="U534" s="253">
        <v>10.9299325942993</v>
      </c>
      <c r="V534" s="253">
        <v>11.0452260971069</v>
      </c>
      <c r="W534" s="253">
        <v>11.198148727416999</v>
      </c>
      <c r="X534" s="253">
        <v>11.303442955017101</v>
      </c>
      <c r="Y534" s="253">
        <v>11.352322578430201</v>
      </c>
      <c r="AA534" s="299" t="e">
        <f t="shared" ref="AA534:AG534" si="79">AA533*GJ_p_MMBtu</f>
        <v>#NAME?</v>
      </c>
      <c r="AB534" s="299" t="e">
        <f t="shared" si="79"/>
        <v>#NAME?</v>
      </c>
      <c r="AC534" s="299" t="e">
        <f t="shared" si="79"/>
        <v>#NAME?</v>
      </c>
      <c r="AD534" s="299" t="e">
        <f t="shared" si="79"/>
        <v>#NAME?</v>
      </c>
      <c r="AE534" s="299" t="e">
        <f t="shared" si="79"/>
        <v>#NAME?</v>
      </c>
      <c r="AF534" s="299" t="e">
        <f t="shared" si="79"/>
        <v>#NAME?</v>
      </c>
      <c r="AG534" s="299" t="e">
        <f t="shared" si="79"/>
        <v>#NAME?</v>
      </c>
      <c r="AH534" s="299" t="e">
        <f t="shared" ref="AH534:BM534" si="80">AH533*GJ_p_MMBtu</f>
        <v>#NAME?</v>
      </c>
      <c r="AI534" s="299" t="e">
        <f t="shared" si="80"/>
        <v>#NAME?</v>
      </c>
      <c r="AJ534" s="299" t="e">
        <f t="shared" si="80"/>
        <v>#NAME?</v>
      </c>
      <c r="AK534" s="299" t="e">
        <f t="shared" si="80"/>
        <v>#NAME?</v>
      </c>
      <c r="AL534" s="299" t="e">
        <f t="shared" si="80"/>
        <v>#NAME?</v>
      </c>
      <c r="AM534" s="299" t="e">
        <f t="shared" si="80"/>
        <v>#NAME?</v>
      </c>
      <c r="AN534" s="299" t="e">
        <f t="shared" si="80"/>
        <v>#NAME?</v>
      </c>
      <c r="AO534" s="299" t="e">
        <f t="shared" si="80"/>
        <v>#NAME?</v>
      </c>
      <c r="AP534" s="299" t="e">
        <f t="shared" si="80"/>
        <v>#NAME?</v>
      </c>
      <c r="AQ534" s="299" t="e">
        <f t="shared" si="80"/>
        <v>#NAME?</v>
      </c>
      <c r="AR534" s="299" t="e">
        <f t="shared" si="80"/>
        <v>#NAME?</v>
      </c>
      <c r="AS534" s="299" t="e">
        <f t="shared" si="80"/>
        <v>#NAME?</v>
      </c>
      <c r="AT534" s="299" t="e">
        <f t="shared" si="80"/>
        <v>#NAME?</v>
      </c>
      <c r="AU534" s="299" t="e">
        <f t="shared" si="80"/>
        <v>#NAME?</v>
      </c>
      <c r="AV534" s="299" t="e">
        <f t="shared" si="80"/>
        <v>#NAME?</v>
      </c>
      <c r="AW534" s="299" t="e">
        <f t="shared" si="80"/>
        <v>#NAME?</v>
      </c>
      <c r="AX534" s="299" t="e">
        <f t="shared" si="80"/>
        <v>#NAME?</v>
      </c>
      <c r="AY534" s="299" t="e">
        <f t="shared" si="80"/>
        <v>#NAME?</v>
      </c>
      <c r="AZ534" s="299" t="e">
        <f t="shared" si="80"/>
        <v>#NAME?</v>
      </c>
      <c r="BA534" s="299" t="e">
        <f t="shared" si="80"/>
        <v>#NAME?</v>
      </c>
      <c r="BB534" s="299" t="e">
        <f t="shared" si="80"/>
        <v>#NAME?</v>
      </c>
      <c r="BC534" s="299" t="e">
        <f t="shared" si="80"/>
        <v>#NAME?</v>
      </c>
      <c r="BD534" s="299" t="e">
        <f t="shared" si="80"/>
        <v>#NAME?</v>
      </c>
      <c r="BE534" s="299" t="e">
        <f t="shared" si="80"/>
        <v>#NAME?</v>
      </c>
      <c r="BF534" s="299" t="e">
        <f t="shared" si="80"/>
        <v>#NAME?</v>
      </c>
      <c r="BG534" s="299" t="e">
        <f t="shared" si="80"/>
        <v>#NAME?</v>
      </c>
      <c r="BH534" s="299" t="e">
        <f t="shared" si="80"/>
        <v>#NAME?</v>
      </c>
      <c r="BI534" s="299" t="e">
        <f t="shared" si="80"/>
        <v>#NAME?</v>
      </c>
      <c r="BJ534" s="299" t="e">
        <f t="shared" si="80"/>
        <v>#NAME?</v>
      </c>
      <c r="BK534" s="299" t="e">
        <f t="shared" si="80"/>
        <v>#NAME?</v>
      </c>
      <c r="BL534" s="299" t="e">
        <f t="shared" si="80"/>
        <v>#NAME?</v>
      </c>
      <c r="BM534" s="299" t="e">
        <f t="shared" si="80"/>
        <v>#NAME?</v>
      </c>
      <c r="BN534" s="299" t="e">
        <f>BN533*GJ_p_MMBtu</f>
        <v>#NAME?</v>
      </c>
      <c r="BO534" s="299" t="e">
        <f>BO533*GJ_p_MMBtu</f>
        <v>#NAME?</v>
      </c>
      <c r="BP534" s="299" t="e">
        <f>BP533*GJ_p_MMBtu</f>
        <v>#NAME?</v>
      </c>
      <c r="BQ534" s="299" t="e">
        <f>BQ533*GJ_p_MMBtu</f>
        <v>#NAME?</v>
      </c>
      <c r="BR534" s="299" t="e">
        <f>BR533*GJ_p_MMBtu</f>
        <v>#NAME?</v>
      </c>
    </row>
    <row r="535" spans="1:71" ht="51" customHeight="1" x14ac:dyDescent="0.25">
      <c r="A535" s="249" t="s">
        <v>481</v>
      </c>
      <c r="B535" s="253">
        <v>3.9384419918060298</v>
      </c>
      <c r="C535" s="253">
        <v>4.5867881774902299</v>
      </c>
      <c r="D535" s="253">
        <v>4.6800308227539098</v>
      </c>
      <c r="E535" s="253">
        <v>4.9388971328735396</v>
      </c>
      <c r="F535" s="253">
        <v>4.6724338531494096</v>
      </c>
      <c r="G535" s="253">
        <v>4.2573971748352104</v>
      </c>
      <c r="H535" s="253">
        <v>4.0660681724548304</v>
      </c>
      <c r="I535" s="253">
        <v>3.9201312065124498</v>
      </c>
      <c r="J535" s="253">
        <v>3.8699574470520002</v>
      </c>
      <c r="K535" s="253">
        <v>3.9242179393768302</v>
      </c>
      <c r="L535" s="253">
        <v>3.9701111316680899</v>
      </c>
      <c r="M535" s="253">
        <v>4.0123748779296902</v>
      </c>
      <c r="N535" s="253">
        <v>4.03127193450928</v>
      </c>
      <c r="O535" s="253">
        <v>4.0987625122070304</v>
      </c>
      <c r="P535" s="253">
        <v>4.1393604278564498</v>
      </c>
      <c r="Q535" s="253">
        <v>4.1877317428588903</v>
      </c>
      <c r="R535" s="253">
        <v>4.2278647422790501</v>
      </c>
      <c r="S535" s="253">
        <v>4.2813539505004901</v>
      </c>
      <c r="T535" s="253">
        <v>4.3376803398132298</v>
      </c>
      <c r="U535" s="253">
        <v>4.4096555709838903</v>
      </c>
      <c r="V535" s="253">
        <v>4.4638853073120099</v>
      </c>
      <c r="W535" s="253">
        <v>4.5156707763671902</v>
      </c>
      <c r="X535" s="253">
        <v>4.5648870468139604</v>
      </c>
      <c r="Y535" s="253">
        <v>4.6165790557861301</v>
      </c>
      <c r="AA535" s="253"/>
      <c r="AB535" s="253"/>
      <c r="AC535" s="253"/>
      <c r="AD535" s="253"/>
      <c r="AE535" s="253"/>
      <c r="AF535" s="253"/>
      <c r="AG535" s="253"/>
      <c r="AH535" s="253"/>
    </row>
    <row r="536" spans="1:71" x14ac:dyDescent="0.25">
      <c r="A536" s="274" t="s">
        <v>484</v>
      </c>
      <c r="B536" s="253">
        <v>3.88655662536621</v>
      </c>
      <c r="C536" s="253">
        <v>5.55936574935913</v>
      </c>
      <c r="D536" s="253">
        <v>6.0491561889648402</v>
      </c>
      <c r="E536" s="253">
        <v>6.0767245292663601</v>
      </c>
      <c r="F536" s="253">
        <v>5.4288315773010298</v>
      </c>
      <c r="G536" s="253">
        <v>4.9784579277038601</v>
      </c>
      <c r="H536" s="253">
        <v>4.6095819473266602</v>
      </c>
      <c r="I536" s="253">
        <v>4.5152282714843803</v>
      </c>
      <c r="J536" s="253">
        <v>4.3734540939331099</v>
      </c>
      <c r="K536" s="253">
        <v>4.3719940185546902</v>
      </c>
      <c r="L536" s="253">
        <v>4.4435229301452601</v>
      </c>
      <c r="M536" s="253">
        <v>4.5411396026611301</v>
      </c>
      <c r="N536" s="253">
        <v>4.7005810737609899</v>
      </c>
      <c r="O536" s="253">
        <v>4.81768798828125</v>
      </c>
      <c r="P536" s="253">
        <v>4.7900476455688503</v>
      </c>
      <c r="Q536" s="253">
        <v>4.8231658935546902</v>
      </c>
      <c r="R536" s="253">
        <v>4.9558763504028303</v>
      </c>
      <c r="S536" s="253">
        <v>5.1147346496581996</v>
      </c>
      <c r="T536" s="253">
        <v>5.2329874038696298</v>
      </c>
      <c r="U536" s="253">
        <v>5.3250308036804199</v>
      </c>
      <c r="V536" s="253">
        <v>5.3559622764587402</v>
      </c>
      <c r="W536" s="253">
        <v>5.3499736785888699</v>
      </c>
      <c r="X536" s="253">
        <v>5.4079699516296396</v>
      </c>
      <c r="Y536" s="253">
        <v>5.4724006652831996</v>
      </c>
      <c r="Z536" s="283">
        <f>Y536+($AI$366-$Y$536)/10</f>
        <v>5.502911815190215</v>
      </c>
    </row>
    <row r="537" spans="1:71" x14ac:dyDescent="0.25">
      <c r="A537" s="249" t="s">
        <v>485</v>
      </c>
      <c r="B537" s="253">
        <v>1.88388228416443</v>
      </c>
      <c r="C537" s="253">
        <v>1.8499996662139899</v>
      </c>
      <c r="D537" s="253">
        <v>1.9631321430206301</v>
      </c>
      <c r="E537" s="253">
        <v>1.9065624475479099</v>
      </c>
      <c r="F537" s="253">
        <v>1.8876701593398999</v>
      </c>
      <c r="G537" s="253">
        <v>1.8568421602249101</v>
      </c>
      <c r="H537" s="253">
        <v>1.8503668308258101</v>
      </c>
      <c r="I537" s="253">
        <v>1.8461718559265099</v>
      </c>
      <c r="J537" s="253">
        <v>1.81827020645142</v>
      </c>
      <c r="K537" s="253">
        <v>1.79229772090912</v>
      </c>
      <c r="L537" s="253">
        <v>1.7775920629501301</v>
      </c>
      <c r="M537" s="253">
        <v>1.7720992565155</v>
      </c>
      <c r="N537" s="253">
        <v>1.7673192024230999</v>
      </c>
      <c r="O537" s="253">
        <v>1.76388168334961</v>
      </c>
      <c r="P537" s="253">
        <v>1.7582092285156301</v>
      </c>
      <c r="Q537" s="253">
        <v>1.7531107664108301</v>
      </c>
      <c r="R537" s="253">
        <v>1.7537478208541899</v>
      </c>
      <c r="S537" s="253">
        <v>1.7550060749053999</v>
      </c>
      <c r="T537" s="253">
        <v>1.75110328197479</v>
      </c>
      <c r="U537" s="253">
        <v>1.741095662117</v>
      </c>
      <c r="V537" s="253">
        <v>1.72283828258514</v>
      </c>
      <c r="W537" s="253">
        <v>1.7066173553466799</v>
      </c>
      <c r="X537" s="253">
        <v>1.6973831653595</v>
      </c>
      <c r="Y537" s="253">
        <v>1.68216860294342</v>
      </c>
    </row>
    <row r="538" spans="1:71" x14ac:dyDescent="0.25">
      <c r="A538" s="249" t="s">
        <v>486</v>
      </c>
      <c r="B538" s="253">
        <v>1.5976041555404701</v>
      </c>
      <c r="C538" s="253">
        <v>1.5543407201767001</v>
      </c>
      <c r="D538" s="253">
        <v>1.5665656328201301</v>
      </c>
      <c r="E538" s="253">
        <v>1.6037170886993399</v>
      </c>
      <c r="F538" s="253">
        <v>1.59409379959106</v>
      </c>
      <c r="G538" s="253">
        <v>1.5766631364822401</v>
      </c>
      <c r="H538" s="253">
        <v>1.5775339603424099</v>
      </c>
      <c r="I538" s="253">
        <v>1.5708864927291899</v>
      </c>
      <c r="J538" s="253">
        <v>1.5649564266204801</v>
      </c>
      <c r="K538" s="253">
        <v>1.56413578987122</v>
      </c>
      <c r="L538" s="253">
        <v>1.5547889471054099</v>
      </c>
      <c r="M538" s="253">
        <v>1.54732978343964</v>
      </c>
      <c r="N538" s="253">
        <v>1.54787278175354</v>
      </c>
      <c r="O538" s="253">
        <v>1.5495419502258301</v>
      </c>
      <c r="P538" s="253">
        <v>1.5494637489318801</v>
      </c>
      <c r="Q538" s="253">
        <v>1.5568271875381501</v>
      </c>
      <c r="R538" s="253">
        <v>1.55967605113983</v>
      </c>
      <c r="S538" s="253">
        <v>1.5613601207733201</v>
      </c>
      <c r="T538" s="253">
        <v>1.5625598430633501</v>
      </c>
      <c r="U538" s="253">
        <v>1.5681461095809901</v>
      </c>
      <c r="V538" s="253">
        <v>1.5708984136581401</v>
      </c>
      <c r="W538" s="253">
        <v>1.6035954952239999</v>
      </c>
      <c r="X538" s="253">
        <v>1.60524129867554</v>
      </c>
      <c r="Y538" s="253">
        <v>1.6024739742279099</v>
      </c>
    </row>
    <row r="539" spans="1:71" x14ac:dyDescent="0.25">
      <c r="A539" s="276" t="s">
        <v>479</v>
      </c>
      <c r="B539" s="253">
        <v>14.734835624694799</v>
      </c>
      <c r="C539" s="253">
        <v>15.0261535644531</v>
      </c>
      <c r="D539" s="253">
        <v>15.7151737213135</v>
      </c>
      <c r="E539" s="253">
        <v>15.5977983474731</v>
      </c>
      <c r="F539" s="253">
        <v>15.0554456710815</v>
      </c>
      <c r="G539" s="253">
        <v>14.415571212768601</v>
      </c>
      <c r="H539" s="253">
        <v>14.123340606689499</v>
      </c>
      <c r="I539" s="253">
        <v>14.033378601074199</v>
      </c>
      <c r="J539" s="253">
        <v>13.8423414230347</v>
      </c>
      <c r="K539" s="253">
        <v>13.6992740631104</v>
      </c>
      <c r="L539" s="253">
        <v>13.8484916687012</v>
      </c>
      <c r="M539" s="253">
        <v>14.089280128479</v>
      </c>
      <c r="N539" s="253">
        <v>14.438159942626999</v>
      </c>
      <c r="O539" s="253">
        <v>14.622407913208001</v>
      </c>
      <c r="P539" s="253">
        <v>14.680962562561</v>
      </c>
      <c r="Q539" s="253">
        <v>14.817166328430201</v>
      </c>
      <c r="R539" s="253">
        <v>15.035754203796399</v>
      </c>
      <c r="S539" s="253">
        <v>15.3131446838379</v>
      </c>
      <c r="T539" s="253">
        <v>15.467190742492701</v>
      </c>
      <c r="U539" s="253">
        <v>15.608844757080099</v>
      </c>
      <c r="V539" s="253">
        <v>15.623446464538601</v>
      </c>
      <c r="W539" s="253">
        <v>15.6070909500122</v>
      </c>
      <c r="X539" s="253">
        <v>15.6627254486084</v>
      </c>
      <c r="Y539" s="253">
        <v>15.7515544891357</v>
      </c>
      <c r="Z539" s="285">
        <f>Y539+($AI$369-$Y$539)/10</f>
        <v>15.681619149325263</v>
      </c>
    </row>
    <row r="540" spans="1:71" x14ac:dyDescent="0.25">
      <c r="A540" s="249" t="s">
        <v>440</v>
      </c>
      <c r="B540" s="253" t="s">
        <v>440</v>
      </c>
      <c r="C540" s="253" t="s">
        <v>440</v>
      </c>
      <c r="D540" s="253" t="s">
        <v>440</v>
      </c>
      <c r="E540" s="253" t="s">
        <v>440</v>
      </c>
      <c r="F540" s="253" t="s">
        <v>440</v>
      </c>
      <c r="G540" s="253" t="s">
        <v>440</v>
      </c>
      <c r="H540" s="253" t="s">
        <v>440</v>
      </c>
      <c r="I540" s="253" t="s">
        <v>440</v>
      </c>
      <c r="J540" s="253" t="s">
        <v>440</v>
      </c>
      <c r="K540" s="253" t="s">
        <v>440</v>
      </c>
      <c r="L540" s="253" t="s">
        <v>440</v>
      </c>
      <c r="M540" s="253" t="s">
        <v>440</v>
      </c>
      <c r="N540" s="253" t="s">
        <v>440</v>
      </c>
      <c r="O540" s="253" t="s">
        <v>440</v>
      </c>
      <c r="P540" s="253" t="s">
        <v>440</v>
      </c>
      <c r="Q540" s="253" t="s">
        <v>440</v>
      </c>
      <c r="R540" s="253" t="s">
        <v>440</v>
      </c>
      <c r="S540" s="253" t="s">
        <v>440</v>
      </c>
      <c r="T540" s="253" t="s">
        <v>440</v>
      </c>
      <c r="U540" s="253" t="s">
        <v>440</v>
      </c>
      <c r="V540" s="253" t="s">
        <v>440</v>
      </c>
      <c r="W540" s="253" t="s">
        <v>440</v>
      </c>
      <c r="X540" s="253" t="s">
        <v>440</v>
      </c>
      <c r="Y540" s="253" t="s">
        <v>440</v>
      </c>
    </row>
    <row r="541" spans="1:71" x14ac:dyDescent="0.25">
      <c r="A541" s="249" t="s">
        <v>487</v>
      </c>
      <c r="B541" s="253">
        <v>10.068477630615201</v>
      </c>
      <c r="C541" s="253">
        <v>11.4567165374756</v>
      </c>
      <c r="D541" s="253">
        <v>12.984972000122101</v>
      </c>
      <c r="E541" s="253">
        <v>12.646059036254901</v>
      </c>
      <c r="F541" s="253">
        <v>12.0215864181519</v>
      </c>
      <c r="G541" s="253">
        <v>11.451254844665501</v>
      </c>
      <c r="H541" s="253">
        <v>11.2903280258179</v>
      </c>
      <c r="I541" s="253">
        <v>11.054517745971699</v>
      </c>
      <c r="J541" s="253">
        <v>10.953487396240201</v>
      </c>
      <c r="K541" s="253">
        <v>10.9616088867188</v>
      </c>
      <c r="L541" s="253">
        <v>10.9120273590088</v>
      </c>
      <c r="M541" s="253">
        <v>10.9370317459106</v>
      </c>
      <c r="N541" s="253">
        <v>10.932166099548301</v>
      </c>
      <c r="O541" s="253">
        <v>10.949841499328601</v>
      </c>
      <c r="P541" s="253">
        <v>10.9948740005493</v>
      </c>
      <c r="Q541" s="253">
        <v>11.046938896179199</v>
      </c>
      <c r="R541" s="253">
        <v>11.074780464172401</v>
      </c>
      <c r="S541" s="253">
        <v>11.117128372192401</v>
      </c>
      <c r="T541" s="253">
        <v>11.155697822570801</v>
      </c>
      <c r="U541" s="253">
        <v>11.209436416626</v>
      </c>
      <c r="V541" s="253">
        <v>11.2737817764282</v>
      </c>
      <c r="W541" s="253">
        <v>11.3331050872803</v>
      </c>
      <c r="X541" s="253">
        <v>11.350456237793001</v>
      </c>
      <c r="Y541" s="253">
        <v>11.462995529174799</v>
      </c>
    </row>
    <row r="542" spans="1:71" x14ac:dyDescent="0.25">
      <c r="A542" s="249" t="s">
        <v>483</v>
      </c>
      <c r="B542" s="253">
        <v>10.0396184921265</v>
      </c>
      <c r="C542" s="253">
        <v>11.4297380447388</v>
      </c>
      <c r="D542" s="253">
        <v>12.961000442504901</v>
      </c>
      <c r="E542" s="253">
        <v>12.6219329833984</v>
      </c>
      <c r="F542" s="253">
        <v>11.9984340667725</v>
      </c>
      <c r="G542" s="253">
        <v>11.4290685653687</v>
      </c>
      <c r="H542" s="253">
        <v>11.2685947418213</v>
      </c>
      <c r="I542" s="253">
        <v>11.0320892333984</v>
      </c>
      <c r="J542" s="253">
        <v>10.930870056152299</v>
      </c>
      <c r="K542" s="253">
        <v>10.938961982727101</v>
      </c>
      <c r="L542" s="253">
        <v>10.8886499404907</v>
      </c>
      <c r="M542" s="253">
        <v>10.913072586059601</v>
      </c>
      <c r="N542" s="253">
        <v>10.9073333740234</v>
      </c>
      <c r="O542" s="253">
        <v>10.9247722625732</v>
      </c>
      <c r="P542" s="253">
        <v>10.969937324523899</v>
      </c>
      <c r="Q542" s="253">
        <v>11.021965980529799</v>
      </c>
      <c r="R542" s="253">
        <v>11.049379348754901</v>
      </c>
      <c r="S542" s="253">
        <v>11.0911350250244</v>
      </c>
      <c r="T542" s="253">
        <v>11.129392623901399</v>
      </c>
      <c r="U542" s="253">
        <v>11.182910919189499</v>
      </c>
      <c r="V542" s="253">
        <v>11.247509956359901</v>
      </c>
      <c r="W542" s="253">
        <v>11.307147026061999</v>
      </c>
      <c r="X542" s="253">
        <v>11.324338912963899</v>
      </c>
      <c r="Y542" s="253">
        <v>11.436959266662599</v>
      </c>
    </row>
    <row r="543" spans="1:71" x14ac:dyDescent="0.25">
      <c r="A543" s="249" t="s">
        <v>475</v>
      </c>
      <c r="B543" s="253">
        <v>10.0409812927246</v>
      </c>
      <c r="C543" s="253">
        <v>11.431476593017599</v>
      </c>
      <c r="D543" s="253">
        <v>12.9638833999634</v>
      </c>
      <c r="E543" s="253">
        <v>12.6248769760132</v>
      </c>
      <c r="F543" s="253">
        <v>12.0015964508057</v>
      </c>
      <c r="G543" s="253">
        <v>11.432228088378899</v>
      </c>
      <c r="H543" s="253">
        <v>11.2722625732422</v>
      </c>
      <c r="I543" s="253">
        <v>11.0358724594116</v>
      </c>
      <c r="J543" s="253">
        <v>10.934929847717299</v>
      </c>
      <c r="K543" s="253">
        <v>10.9432172775269</v>
      </c>
      <c r="L543" s="253">
        <v>10.892875671386699</v>
      </c>
      <c r="M543" s="253">
        <v>10.9173030853271</v>
      </c>
      <c r="N543" s="253">
        <v>10.911340713501</v>
      </c>
      <c r="O543" s="253">
        <v>10.928663253784199</v>
      </c>
      <c r="P543" s="253">
        <v>10.9740562438965</v>
      </c>
      <c r="Q543" s="253">
        <v>11.026309967041</v>
      </c>
      <c r="R543" s="253">
        <v>11.0536193847656</v>
      </c>
      <c r="S543" s="253">
        <v>11.0952548980713</v>
      </c>
      <c r="T543" s="253">
        <v>11.1333513259888</v>
      </c>
      <c r="U543" s="253">
        <v>11.1867895126343</v>
      </c>
      <c r="V543" s="253">
        <v>11.251508712768601</v>
      </c>
      <c r="W543" s="253">
        <v>11.3113117218018</v>
      </c>
      <c r="X543" s="253">
        <v>11.328408241271999</v>
      </c>
      <c r="Y543" s="253">
        <v>11.4412240982056</v>
      </c>
    </row>
    <row r="544" spans="1:71" x14ac:dyDescent="0.25">
      <c r="A544" s="280" t="s">
        <v>488</v>
      </c>
      <c r="B544" s="253">
        <v>9.5535230636596697</v>
      </c>
      <c r="C544" s="253">
        <v>10.9202365875244</v>
      </c>
      <c r="D544" s="253">
        <v>12.0208587646484</v>
      </c>
      <c r="E544" s="253">
        <v>11.5461339950562</v>
      </c>
      <c r="F544" s="253">
        <v>11.286841392517101</v>
      </c>
      <c r="G544" s="253">
        <v>11.003821372985801</v>
      </c>
      <c r="H544" s="253">
        <v>10.8476676940918</v>
      </c>
      <c r="I544" s="253">
        <v>10.675346374511699</v>
      </c>
      <c r="J544" s="253">
        <v>10.7599039077759</v>
      </c>
      <c r="K544" s="253">
        <v>10.8244476318359</v>
      </c>
      <c r="L544" s="253">
        <v>10.807107925415</v>
      </c>
      <c r="M544" s="253">
        <v>10.788902282714799</v>
      </c>
      <c r="N544" s="253">
        <v>10.7359352111816</v>
      </c>
      <c r="O544" s="253">
        <v>10.7108716964722</v>
      </c>
      <c r="P544" s="253">
        <v>10.6978845596313</v>
      </c>
      <c r="Q544" s="253">
        <v>10.720422744751</v>
      </c>
      <c r="R544" s="253">
        <v>10.715018272399901</v>
      </c>
      <c r="S544" s="253">
        <v>10.7237329483032</v>
      </c>
      <c r="T544" s="253">
        <v>10.658562660217299</v>
      </c>
      <c r="U544" s="253">
        <v>10.6896152496338</v>
      </c>
      <c r="V544" s="253">
        <v>10.7133436203003</v>
      </c>
      <c r="W544" s="253">
        <v>10.6396188735962</v>
      </c>
      <c r="X544" s="253">
        <v>10.6814889907837</v>
      </c>
      <c r="Y544" s="253">
        <v>10.8466644287109</v>
      </c>
      <c r="Z544" s="287">
        <f>Y544+($AI$374-$Y$544)/10</f>
        <v>11.215393895691953</v>
      </c>
    </row>
    <row r="545" spans="1:26" x14ac:dyDescent="0.25">
      <c r="A545" s="249" t="s">
        <v>489</v>
      </c>
      <c r="B545" s="253">
        <v>6.0538434982299796</v>
      </c>
      <c r="C545" s="253">
        <v>6.4578518867492702</v>
      </c>
      <c r="D545" s="253">
        <v>8.1168746948242205</v>
      </c>
      <c r="E545" s="253">
        <v>7.6875572204589799</v>
      </c>
      <c r="F545" s="253">
        <v>7.0150871276855504</v>
      </c>
      <c r="G545" s="253">
        <v>6.5790328979492196</v>
      </c>
      <c r="H545" s="253">
        <v>6.5712537765502903</v>
      </c>
      <c r="I545" s="253">
        <v>6.42602443695068</v>
      </c>
      <c r="J545" s="253">
        <v>6.2476048469543501</v>
      </c>
      <c r="K545" s="253">
        <v>6.2184038162231401</v>
      </c>
      <c r="L545" s="253">
        <v>6.2436552047729501</v>
      </c>
      <c r="M545" s="253">
        <v>6.2858424186706499</v>
      </c>
      <c r="N545" s="253">
        <v>6.2737250328064</v>
      </c>
      <c r="O545" s="253">
        <v>6.2926135063171396</v>
      </c>
      <c r="P545" s="253">
        <v>6.3336305618286097</v>
      </c>
      <c r="Q545" s="253">
        <v>6.3623290061950701</v>
      </c>
      <c r="R545" s="253">
        <v>6.4419050216674796</v>
      </c>
      <c r="S545" s="253">
        <v>6.5377755165100098</v>
      </c>
      <c r="T545" s="253">
        <v>6.5789065361022896</v>
      </c>
      <c r="U545" s="253">
        <v>6.7034192085266104</v>
      </c>
      <c r="V545" s="253">
        <v>6.8036813735961896</v>
      </c>
      <c r="W545" s="253">
        <v>6.8691210746765101</v>
      </c>
      <c r="X545" s="253">
        <v>6.8930430412292498</v>
      </c>
      <c r="Y545" s="253">
        <v>6.9258189201354998</v>
      </c>
    </row>
    <row r="546" spans="1:26" x14ac:dyDescent="0.25">
      <c r="A546" s="280" t="s">
        <v>490</v>
      </c>
      <c r="B546" s="253">
        <v>11.3207235336304</v>
      </c>
      <c r="C546" s="253">
        <v>12.9284992218018</v>
      </c>
      <c r="D546" s="253">
        <v>14.6530704498291</v>
      </c>
      <c r="E546" s="253">
        <v>14.346965789794901</v>
      </c>
      <c r="F546" s="253">
        <v>13.634911537170399</v>
      </c>
      <c r="G546" s="253">
        <v>12.9354457855225</v>
      </c>
      <c r="H546" s="253">
        <v>12.7248182296753</v>
      </c>
      <c r="I546" s="253">
        <v>12.444727897644</v>
      </c>
      <c r="J546" s="253">
        <v>12.3216390609741</v>
      </c>
      <c r="K546" s="253">
        <v>12.333900451660201</v>
      </c>
      <c r="L546" s="253">
        <v>12.228641510009799</v>
      </c>
      <c r="M546" s="253">
        <v>12.2244319915771</v>
      </c>
      <c r="N546" s="253">
        <v>12.232741355896</v>
      </c>
      <c r="O546" s="253">
        <v>12.2594261169434</v>
      </c>
      <c r="P546" s="253">
        <v>12.3207359313965</v>
      </c>
      <c r="Q546" s="253">
        <v>12.3872022628784</v>
      </c>
      <c r="R546" s="253">
        <v>12.4125566482544</v>
      </c>
      <c r="S546" s="253">
        <v>12.451280593872101</v>
      </c>
      <c r="T546" s="253">
        <v>12.520702362060501</v>
      </c>
      <c r="U546" s="253">
        <v>12.5581102371216</v>
      </c>
      <c r="V546" s="253">
        <v>12.622034072876</v>
      </c>
      <c r="W546" s="253">
        <v>12.7203483581543</v>
      </c>
      <c r="X546" s="253">
        <v>12.7153625488281</v>
      </c>
      <c r="Y546" s="253">
        <v>12.8139133453369</v>
      </c>
      <c r="Z546" s="287">
        <f>Y546+($AI$376-$Y$546)/10</f>
        <v>13.239838295522954</v>
      </c>
    </row>
    <row r="547" spans="1:26" x14ac:dyDescent="0.25">
      <c r="A547" s="249" t="s">
        <v>481</v>
      </c>
      <c r="B547" s="253">
        <v>3.83150410652161</v>
      </c>
      <c r="C547" s="253">
        <v>4.4939312934875497</v>
      </c>
      <c r="D547" s="253">
        <v>4.5839381217956499</v>
      </c>
      <c r="E547" s="253">
        <v>4.8374905586242702</v>
      </c>
      <c r="F547" s="253">
        <v>4.5451078414917001</v>
      </c>
      <c r="G547" s="253">
        <v>4.1204147338867196</v>
      </c>
      <c r="H547" s="253">
        <v>3.9213058948516801</v>
      </c>
      <c r="I547" s="253">
        <v>3.7859048843383798</v>
      </c>
      <c r="J547" s="253">
        <v>3.7380118370056201</v>
      </c>
      <c r="K547" s="253">
        <v>3.79148626327515</v>
      </c>
      <c r="L547" s="253">
        <v>3.8454215526580802</v>
      </c>
      <c r="M547" s="253">
        <v>3.8996179103851301</v>
      </c>
      <c r="N547" s="253">
        <v>3.9557838439941402</v>
      </c>
      <c r="O547" s="253">
        <v>4.0096635818481401</v>
      </c>
      <c r="P547" s="253">
        <v>4.0587000846862802</v>
      </c>
      <c r="Q547" s="253">
        <v>4.1115031242370597</v>
      </c>
      <c r="R547" s="253">
        <v>4.1679596900939897</v>
      </c>
      <c r="S547" s="253">
        <v>4.2270021438598597</v>
      </c>
      <c r="T547" s="253">
        <v>4.2823433876037598</v>
      </c>
      <c r="U547" s="253">
        <v>4.3368558883667001</v>
      </c>
      <c r="V547" s="253">
        <v>4.3924484252929696</v>
      </c>
      <c r="W547" s="253">
        <v>4.4465680122375497</v>
      </c>
      <c r="X547" s="253">
        <v>4.5027370452880904</v>
      </c>
      <c r="Y547" s="253">
        <v>4.5619544982910201</v>
      </c>
    </row>
    <row r="548" spans="1:26" x14ac:dyDescent="0.25">
      <c r="A548" s="249" t="s">
        <v>491</v>
      </c>
      <c r="B548" s="253">
        <v>15.146578788757299</v>
      </c>
      <c r="C548" s="253">
        <v>16.654964447021499</v>
      </c>
      <c r="D548" s="253">
        <v>20.603065490722699</v>
      </c>
      <c r="E548" s="253">
        <v>20.419296264648398</v>
      </c>
      <c r="F548" s="253">
        <v>16.382719039916999</v>
      </c>
      <c r="G548" s="253">
        <v>15.8189392089844</v>
      </c>
      <c r="H548" s="253">
        <v>15.6014108657837</v>
      </c>
      <c r="I548" s="253">
        <v>15.311073303222701</v>
      </c>
      <c r="J548" s="253">
        <v>15.2448682785034</v>
      </c>
      <c r="K548" s="253">
        <v>15.179443359375</v>
      </c>
      <c r="L548" s="253">
        <v>15.2014074325562</v>
      </c>
      <c r="M548" s="253">
        <v>15.2481698989868</v>
      </c>
      <c r="N548" s="253">
        <v>15.181710243225099</v>
      </c>
      <c r="O548" s="253">
        <v>15.278540611267101</v>
      </c>
      <c r="P548" s="253">
        <v>15.3825387954712</v>
      </c>
      <c r="Q548" s="253">
        <v>15.370577812194799</v>
      </c>
      <c r="R548" s="253">
        <v>15.3893880844116</v>
      </c>
      <c r="S548" s="253">
        <v>15.510032653808601</v>
      </c>
      <c r="T548" s="253">
        <v>15.6597127914429</v>
      </c>
      <c r="U548" s="253">
        <v>15.774450302124</v>
      </c>
      <c r="V548" s="253">
        <v>15.847083091735801</v>
      </c>
      <c r="W548" s="253">
        <v>16.037206649780298</v>
      </c>
      <c r="X548" s="253">
        <v>16.107362747192401</v>
      </c>
      <c r="Y548" s="253">
        <v>16.244932174682599</v>
      </c>
    </row>
    <row r="549" spans="1:26" x14ac:dyDescent="0.25">
      <c r="A549" s="249" t="s">
        <v>492</v>
      </c>
      <c r="B549" s="253">
        <v>7.2317700386047399</v>
      </c>
      <c r="C549" s="253">
        <v>9.0444478988647496</v>
      </c>
      <c r="D549" s="253">
        <v>9.7142534255981392</v>
      </c>
      <c r="E549" s="253">
        <v>9.7951860427856392</v>
      </c>
      <c r="F549" s="253">
        <v>9.2951183319091797</v>
      </c>
      <c r="G549" s="253">
        <v>8.9833269119262695</v>
      </c>
      <c r="H549" s="253">
        <v>8.7195968627929705</v>
      </c>
      <c r="I549" s="253">
        <v>8.6326360702514595</v>
      </c>
      <c r="J549" s="253">
        <v>8.5613536834716797</v>
      </c>
      <c r="K549" s="253">
        <v>8.6190090179443395</v>
      </c>
      <c r="L549" s="253">
        <v>8.7080965042114293</v>
      </c>
      <c r="M549" s="253">
        <v>8.8271207809448207</v>
      </c>
      <c r="N549" s="253">
        <v>8.9910020828247106</v>
      </c>
      <c r="O549" s="253">
        <v>9.1132879257202095</v>
      </c>
      <c r="P549" s="253">
        <v>9.1042909622192401</v>
      </c>
      <c r="Q549" s="253">
        <v>9.1039905548095703</v>
      </c>
      <c r="R549" s="253">
        <v>9.2009325027465803</v>
      </c>
      <c r="S549" s="253">
        <v>9.3432521820068395</v>
      </c>
      <c r="T549" s="253">
        <v>9.4465293884277308</v>
      </c>
      <c r="U549" s="253">
        <v>9.5402717590331996</v>
      </c>
      <c r="V549" s="253">
        <v>9.5791873931884801</v>
      </c>
      <c r="W549" s="253">
        <v>9.5845136642456108</v>
      </c>
      <c r="X549" s="253">
        <v>9.6436891555786097</v>
      </c>
      <c r="Y549" s="253">
        <v>9.694091796875</v>
      </c>
    </row>
    <row r="550" spans="1:26" x14ac:dyDescent="0.25">
      <c r="A550" s="282" t="s">
        <v>497</v>
      </c>
      <c r="B550" s="253">
        <v>14.6543264389038</v>
      </c>
      <c r="C550" s="253">
        <v>16.232709884643601</v>
      </c>
      <c r="D550" s="253">
        <v>19.6646022796631</v>
      </c>
      <c r="E550" s="253">
        <v>19.5902194976807</v>
      </c>
      <c r="F550" s="253">
        <v>19.473403930664102</v>
      </c>
      <c r="G550" s="253">
        <v>18.312351226806602</v>
      </c>
      <c r="H550" s="253">
        <v>18.154972076416001</v>
      </c>
      <c r="I550" s="253">
        <v>17.744245529174801</v>
      </c>
      <c r="J550" s="253">
        <v>17.108533859252901</v>
      </c>
      <c r="K550" s="253">
        <v>16.985416412353501</v>
      </c>
      <c r="L550" s="253">
        <v>16.891477584838899</v>
      </c>
      <c r="M550" s="253">
        <v>17.106473922729499</v>
      </c>
      <c r="N550" s="253">
        <v>17.298709869384801</v>
      </c>
      <c r="O550" s="253">
        <v>17.370653152465799</v>
      </c>
      <c r="P550" s="253">
        <v>17.404756546020501</v>
      </c>
      <c r="Q550" s="253">
        <v>17.4316711425781</v>
      </c>
      <c r="R550" s="253">
        <v>17.495216369628899</v>
      </c>
      <c r="S550" s="253">
        <v>17.111986160278299</v>
      </c>
      <c r="T550" s="253">
        <v>17.221326828002901</v>
      </c>
      <c r="U550" s="253">
        <v>17.6731853485107</v>
      </c>
      <c r="V550" s="253">
        <v>17.676996231079102</v>
      </c>
      <c r="W550" s="253">
        <v>17.866504669189499</v>
      </c>
      <c r="X550" s="253">
        <v>17.993064880371101</v>
      </c>
      <c r="Y550" s="253">
        <v>18.128524780273398</v>
      </c>
      <c r="Z550" s="289">
        <f>Y550+($AI$380-$Y$550)/10</f>
        <v>18.036478922002154</v>
      </c>
    </row>
    <row r="551" spans="1:26" x14ac:dyDescent="0.25">
      <c r="A551" s="249" t="s">
        <v>479</v>
      </c>
      <c r="B551" s="253">
        <v>20.034517288208001</v>
      </c>
      <c r="C551" s="253">
        <v>20.636144638061499</v>
      </c>
      <c r="D551" s="253">
        <v>21.1998176574707</v>
      </c>
      <c r="E551" s="253">
        <v>20.923387527465799</v>
      </c>
      <c r="F551" s="253">
        <v>19.967187881469702</v>
      </c>
      <c r="G551" s="253">
        <v>19.089002609252901</v>
      </c>
      <c r="H551" s="253">
        <v>18.799640655517599</v>
      </c>
      <c r="I551" s="253">
        <v>18.828804016113299</v>
      </c>
      <c r="J551" s="253">
        <v>18.807792663574201</v>
      </c>
      <c r="K551" s="253">
        <v>18.831340789794901</v>
      </c>
      <c r="L551" s="253">
        <v>19.0241508483887</v>
      </c>
      <c r="M551" s="253">
        <v>19.232509613037099</v>
      </c>
      <c r="N551" s="253">
        <v>19.521226882934599</v>
      </c>
      <c r="O551" s="253">
        <v>19.590469360351602</v>
      </c>
      <c r="P551" s="253">
        <v>19.544775009155298</v>
      </c>
      <c r="Q551" s="253">
        <v>19.5792236328125</v>
      </c>
      <c r="R551" s="253">
        <v>19.706111907958999</v>
      </c>
      <c r="S551" s="253">
        <v>19.899772644043001</v>
      </c>
      <c r="T551" s="253">
        <v>19.988050460815401</v>
      </c>
      <c r="U551" s="253">
        <v>20.054973602294901</v>
      </c>
      <c r="V551" s="253">
        <v>19.979206085205099</v>
      </c>
      <c r="W551" s="253">
        <v>19.890190124511701</v>
      </c>
      <c r="X551" s="253">
        <v>19.9172687530518</v>
      </c>
      <c r="Y551" s="253">
        <v>19.9590148925781</v>
      </c>
    </row>
    <row r="552" spans="1:26" x14ac:dyDescent="0.25">
      <c r="A552" s="249" t="s">
        <v>440</v>
      </c>
      <c r="B552" s="253" t="s">
        <v>440</v>
      </c>
      <c r="C552" s="253" t="s">
        <v>440</v>
      </c>
      <c r="D552" s="253" t="s">
        <v>440</v>
      </c>
      <c r="E552" s="253" t="s">
        <v>440</v>
      </c>
      <c r="F552" s="253" t="s">
        <v>440</v>
      </c>
      <c r="G552" s="253" t="s">
        <v>440</v>
      </c>
      <c r="H552" s="253" t="s">
        <v>440</v>
      </c>
      <c r="I552" s="253" t="s">
        <v>440</v>
      </c>
      <c r="J552" s="253" t="s">
        <v>440</v>
      </c>
      <c r="K552" s="253" t="s">
        <v>440</v>
      </c>
      <c r="L552" s="253" t="s">
        <v>440</v>
      </c>
      <c r="M552" s="253" t="s">
        <v>440</v>
      </c>
      <c r="N552" s="253" t="s">
        <v>440</v>
      </c>
      <c r="O552" s="253" t="s">
        <v>440</v>
      </c>
      <c r="P552" s="253" t="s">
        <v>440</v>
      </c>
      <c r="Q552" s="253" t="s">
        <v>440</v>
      </c>
      <c r="R552" s="253" t="s">
        <v>440</v>
      </c>
      <c r="S552" s="253" t="s">
        <v>440</v>
      </c>
      <c r="T552" s="253" t="s">
        <v>440</v>
      </c>
      <c r="U552" s="253" t="s">
        <v>440</v>
      </c>
      <c r="V552" s="253" t="s">
        <v>440</v>
      </c>
      <c r="W552" s="253" t="s">
        <v>440</v>
      </c>
      <c r="X552" s="253" t="s">
        <v>440</v>
      </c>
      <c r="Y552" s="253" t="s">
        <v>440</v>
      </c>
    </row>
    <row r="553" spans="1:26" x14ac:dyDescent="0.25">
      <c r="A553" s="249" t="s">
        <v>498</v>
      </c>
      <c r="B553" s="253">
        <v>10.2607097625732</v>
      </c>
      <c r="C553" s="253">
        <v>11.4965677261353</v>
      </c>
      <c r="D553" s="253">
        <v>12.498481750488301</v>
      </c>
      <c r="E553" s="253">
        <v>12.3126974105835</v>
      </c>
      <c r="F553" s="253">
        <v>11.5857706069946</v>
      </c>
      <c r="G553" s="253">
        <v>11.0374755859375</v>
      </c>
      <c r="H553" s="253">
        <v>10.8027191162109</v>
      </c>
      <c r="I553" s="253">
        <v>10.6485815048218</v>
      </c>
      <c r="J553" s="253">
        <v>10.5555610656738</v>
      </c>
      <c r="K553" s="253">
        <v>10.564617156982401</v>
      </c>
      <c r="L553" s="253">
        <v>10.6249675750732</v>
      </c>
      <c r="M553" s="253">
        <v>10.7333173751831</v>
      </c>
      <c r="N553" s="253">
        <v>10.851320266723601</v>
      </c>
      <c r="O553" s="253">
        <v>10.9544372558594</v>
      </c>
      <c r="P553" s="253">
        <v>11.0046529769897</v>
      </c>
      <c r="Q553" s="253">
        <v>11.070010185241699</v>
      </c>
      <c r="R553" s="253">
        <v>11.175311088561999</v>
      </c>
      <c r="S553" s="253">
        <v>11.313448905944799</v>
      </c>
      <c r="T553" s="253">
        <v>11.4217777252197</v>
      </c>
      <c r="U553" s="253">
        <v>11.534593582153301</v>
      </c>
      <c r="V553" s="253">
        <v>11.6029949188232</v>
      </c>
      <c r="W553" s="253">
        <v>11.660957336425801</v>
      </c>
      <c r="X553" s="253">
        <v>11.7183265686035</v>
      </c>
      <c r="Y553" s="253">
        <v>11.827390670776399</v>
      </c>
    </row>
    <row r="554" spans="1:26" x14ac:dyDescent="0.25">
      <c r="A554" s="249" t="s">
        <v>483</v>
      </c>
      <c r="B554" s="253">
        <v>7.8488264083862296</v>
      </c>
      <c r="C554" s="253">
        <v>9.3171482086181605</v>
      </c>
      <c r="D554" s="253">
        <v>10.5270042419434</v>
      </c>
      <c r="E554" s="253">
        <v>10.2914838790894</v>
      </c>
      <c r="F554" s="253">
        <v>9.5772314071655291</v>
      </c>
      <c r="G554" s="253">
        <v>9.0944671630859393</v>
      </c>
      <c r="H554" s="253">
        <v>8.8957033157348597</v>
      </c>
      <c r="I554" s="253">
        <v>8.7092790603637695</v>
      </c>
      <c r="J554" s="253">
        <v>8.6138839721679705</v>
      </c>
      <c r="K554" s="253">
        <v>8.6225843429565394</v>
      </c>
      <c r="L554" s="253">
        <v>8.6363019943237305</v>
      </c>
      <c r="M554" s="253">
        <v>8.7009534835815394</v>
      </c>
      <c r="N554" s="253">
        <v>8.7555856704711896</v>
      </c>
      <c r="O554" s="253">
        <v>8.8331260681152308</v>
      </c>
      <c r="P554" s="253">
        <v>8.8750228881835902</v>
      </c>
      <c r="Q554" s="253">
        <v>8.9212465286254901</v>
      </c>
      <c r="R554" s="253">
        <v>8.9933633804321307</v>
      </c>
      <c r="S554" s="253">
        <v>9.0904560089111293</v>
      </c>
      <c r="T554" s="253">
        <v>9.1763067245483398</v>
      </c>
      <c r="U554" s="253">
        <v>9.2688179016113299</v>
      </c>
      <c r="V554" s="253">
        <v>9.3425512313842791</v>
      </c>
      <c r="W554" s="253">
        <v>9.4030828475952095</v>
      </c>
      <c r="X554" s="253">
        <v>9.4481410980224592</v>
      </c>
      <c r="Y554" s="253">
        <v>9.5455484390258807</v>
      </c>
    </row>
    <row r="555" spans="1:26" x14ac:dyDescent="0.25">
      <c r="A555" s="249" t="s">
        <v>479</v>
      </c>
      <c r="B555" s="253">
        <v>21.599882125854499</v>
      </c>
      <c r="C555" s="253">
        <v>21.735733032226602</v>
      </c>
      <c r="D555" s="253">
        <v>21.728578567504901</v>
      </c>
      <c r="E555" s="253">
        <v>21.659519195556602</v>
      </c>
      <c r="F555" s="253">
        <v>20.859115600585898</v>
      </c>
      <c r="G555" s="253">
        <v>19.947565078735401</v>
      </c>
      <c r="H555" s="253">
        <v>19.5044040679932</v>
      </c>
      <c r="I555" s="253">
        <v>19.468164443969702</v>
      </c>
      <c r="J555" s="253">
        <v>19.363897323608398</v>
      </c>
      <c r="K555" s="253">
        <v>19.340778350830099</v>
      </c>
      <c r="L555" s="253">
        <v>19.565423965454102</v>
      </c>
      <c r="M555" s="253">
        <v>19.829431533813501</v>
      </c>
      <c r="N555" s="253">
        <v>20.184032440185501</v>
      </c>
      <c r="O555" s="253">
        <v>20.348131179809599</v>
      </c>
      <c r="P555" s="253">
        <v>20.384618759155298</v>
      </c>
      <c r="Q555" s="253">
        <v>20.4941310882568</v>
      </c>
      <c r="R555" s="253">
        <v>20.6934413909912</v>
      </c>
      <c r="S555" s="253">
        <v>20.961088180541999</v>
      </c>
      <c r="T555" s="253">
        <v>21.1064147949219</v>
      </c>
      <c r="U555" s="253">
        <v>21.2582683563232</v>
      </c>
      <c r="V555" s="253">
        <v>21.2429523468018</v>
      </c>
      <c r="W555" s="253">
        <v>21.2300205230713</v>
      </c>
      <c r="X555" s="253">
        <v>21.277418136596701</v>
      </c>
      <c r="Y555" s="253">
        <v>21.3841457366943</v>
      </c>
    </row>
    <row r="556" spans="1:26" x14ac:dyDescent="0.25">
      <c r="A556" s="249" t="s">
        <v>440</v>
      </c>
      <c r="B556" s="253" t="s">
        <v>440</v>
      </c>
      <c r="C556" s="253" t="s">
        <v>440</v>
      </c>
      <c r="D556" s="253" t="s">
        <v>440</v>
      </c>
      <c r="E556" s="253" t="s">
        <v>440</v>
      </c>
      <c r="F556" s="253" t="s">
        <v>440</v>
      </c>
      <c r="G556" s="253" t="s">
        <v>440</v>
      </c>
      <c r="H556" s="253" t="s">
        <v>440</v>
      </c>
      <c r="I556" s="253" t="s">
        <v>440</v>
      </c>
      <c r="J556" s="253" t="s">
        <v>440</v>
      </c>
      <c r="K556" s="253" t="s">
        <v>440</v>
      </c>
      <c r="L556" s="253" t="s">
        <v>440</v>
      </c>
      <c r="M556" s="253" t="s">
        <v>440</v>
      </c>
      <c r="N556" s="253" t="s">
        <v>440</v>
      </c>
      <c r="O556" s="253" t="s">
        <v>440</v>
      </c>
      <c r="P556" s="253" t="s">
        <v>440</v>
      </c>
      <c r="Q556" s="253" t="s">
        <v>440</v>
      </c>
      <c r="R556" s="253" t="s">
        <v>440</v>
      </c>
      <c r="S556" s="253" t="s">
        <v>440</v>
      </c>
      <c r="T556" s="253" t="s">
        <v>440</v>
      </c>
      <c r="U556" s="253" t="s">
        <v>440</v>
      </c>
      <c r="V556" s="253" t="s">
        <v>440</v>
      </c>
      <c r="W556" s="253" t="s">
        <v>440</v>
      </c>
      <c r="X556" s="253" t="s">
        <v>440</v>
      </c>
      <c r="Y556" s="253" t="s">
        <v>440</v>
      </c>
    </row>
    <row r="557" spans="1:26" x14ac:dyDescent="0.25">
      <c r="A557" s="249" t="s">
        <v>499</v>
      </c>
      <c r="B557" s="253" t="s">
        <v>440</v>
      </c>
      <c r="C557" s="253" t="s">
        <v>440</v>
      </c>
      <c r="D557" s="253" t="s">
        <v>440</v>
      </c>
      <c r="E557" s="253" t="s">
        <v>440</v>
      </c>
      <c r="F557" s="253" t="s">
        <v>440</v>
      </c>
      <c r="G557" s="253" t="s">
        <v>440</v>
      </c>
      <c r="H557" s="253" t="s">
        <v>440</v>
      </c>
      <c r="I557" s="253" t="s">
        <v>440</v>
      </c>
      <c r="J557" s="253" t="s">
        <v>440</v>
      </c>
      <c r="K557" s="253" t="s">
        <v>440</v>
      </c>
      <c r="L557" s="253" t="s">
        <v>440</v>
      </c>
      <c r="M557" s="253" t="s">
        <v>440</v>
      </c>
      <c r="N557" s="253" t="s">
        <v>440</v>
      </c>
      <c r="O557" s="253" t="s">
        <v>440</v>
      </c>
      <c r="P557" s="253" t="s">
        <v>440</v>
      </c>
      <c r="Q557" s="253" t="s">
        <v>440</v>
      </c>
      <c r="R557" s="253" t="s">
        <v>440</v>
      </c>
      <c r="S557" s="253" t="s">
        <v>440</v>
      </c>
      <c r="T557" s="253" t="s">
        <v>440</v>
      </c>
      <c r="U557" s="253" t="s">
        <v>440</v>
      </c>
      <c r="V557" s="253" t="s">
        <v>440</v>
      </c>
      <c r="W557" s="253" t="s">
        <v>440</v>
      </c>
      <c r="X557" s="253" t="s">
        <v>440</v>
      </c>
      <c r="Y557" s="253" t="s">
        <v>440</v>
      </c>
    </row>
    <row r="558" spans="1:26" x14ac:dyDescent="0.25">
      <c r="A558" s="249" t="s">
        <v>500</v>
      </c>
      <c r="B558" s="253">
        <v>1.8996955156326301</v>
      </c>
      <c r="C558" s="253">
        <v>2.2409727573394802</v>
      </c>
      <c r="D558" s="253">
        <v>2.4238619804382302</v>
      </c>
      <c r="E558" s="253">
        <v>2.3792355060577401</v>
      </c>
      <c r="F558" s="253">
        <v>2.2243471145629901</v>
      </c>
      <c r="G558" s="253">
        <v>2.11745405197144</v>
      </c>
      <c r="H558" s="253">
        <v>2.0720956325531001</v>
      </c>
      <c r="I558" s="253">
        <v>2.06648945808411</v>
      </c>
      <c r="J558" s="253">
        <v>2.0576293468475302</v>
      </c>
      <c r="K558" s="253">
        <v>2.0898380279540998</v>
      </c>
      <c r="L558" s="253">
        <v>2.13185787200928</v>
      </c>
      <c r="M558" s="253">
        <v>2.1827101707458501</v>
      </c>
      <c r="N558" s="253">
        <v>2.2442750930786102</v>
      </c>
      <c r="O558" s="253">
        <v>2.2846662998199498</v>
      </c>
      <c r="P558" s="253">
        <v>2.2886507511138898</v>
      </c>
      <c r="Q558" s="253">
        <v>2.31255102157593</v>
      </c>
      <c r="R558" s="253">
        <v>2.3658699989318799</v>
      </c>
      <c r="S558" s="253">
        <v>2.41897773742676</v>
      </c>
      <c r="T558" s="253">
        <v>2.4451649188995401</v>
      </c>
      <c r="U558" s="253">
        <v>2.4616906642913801</v>
      </c>
      <c r="V558" s="253">
        <v>2.4596512317657502</v>
      </c>
      <c r="W558" s="253">
        <v>2.4499151706695601</v>
      </c>
      <c r="X558" s="253">
        <v>2.46315670013428</v>
      </c>
      <c r="Y558" s="253">
        <v>2.4591720104217498</v>
      </c>
    </row>
    <row r="559" spans="1:26" x14ac:dyDescent="0.25">
      <c r="A559" s="249" t="s">
        <v>502</v>
      </c>
      <c r="B559" s="253">
        <v>4.3748912811279297</v>
      </c>
      <c r="C559" s="253">
        <v>5.2786889076232901</v>
      </c>
      <c r="D559" s="253">
        <v>5.9517397880554199</v>
      </c>
      <c r="E559" s="253">
        <v>5.8145914077758798</v>
      </c>
      <c r="F559" s="253">
        <v>5.36482858657837</v>
      </c>
      <c r="G559" s="253">
        <v>4.9555935859680202</v>
      </c>
      <c r="H559" s="253">
        <v>4.76583051681519</v>
      </c>
      <c r="I559" s="253">
        <v>4.6106519699096697</v>
      </c>
      <c r="J559" s="253">
        <v>4.5544371604919398</v>
      </c>
      <c r="K559" s="253">
        <v>4.5760931968689</v>
      </c>
      <c r="L559" s="253">
        <v>4.6005949974060103</v>
      </c>
      <c r="M559" s="253">
        <v>4.65545606613159</v>
      </c>
      <c r="N559" s="253">
        <v>4.7050404548645002</v>
      </c>
      <c r="O559" s="253">
        <v>4.76641750335693</v>
      </c>
      <c r="P559" s="253">
        <v>4.8219771385192898</v>
      </c>
      <c r="Q559" s="253">
        <v>4.8744759559631303</v>
      </c>
      <c r="R559" s="253">
        <v>4.9555630683898899</v>
      </c>
      <c r="S559" s="253">
        <v>5.0235657691955602</v>
      </c>
      <c r="T559" s="253">
        <v>5.0990805625915501</v>
      </c>
      <c r="U559" s="253">
        <v>5.1768889427185103</v>
      </c>
      <c r="V559" s="253">
        <v>5.2447147369384801</v>
      </c>
      <c r="W559" s="253">
        <v>5.3197603225707999</v>
      </c>
      <c r="X559" s="253">
        <v>5.3696103096008301</v>
      </c>
      <c r="Y559" s="253">
        <v>5.4173326492309597</v>
      </c>
    </row>
    <row r="560" spans="1:26" x14ac:dyDescent="0.25">
      <c r="A560" s="249" t="s">
        <v>476</v>
      </c>
      <c r="B560" s="253">
        <v>5.6938004493713397</v>
      </c>
      <c r="C560" s="253">
        <v>6.4773354530334499</v>
      </c>
      <c r="D560" s="253">
        <v>7.1750502586364702</v>
      </c>
      <c r="E560" s="253">
        <v>6.8899459838867196</v>
      </c>
      <c r="F560" s="253">
        <v>6.2672758102417001</v>
      </c>
      <c r="G560" s="253">
        <v>5.8609590530395499</v>
      </c>
      <c r="H560" s="253">
        <v>5.6430783271789604</v>
      </c>
      <c r="I560" s="253">
        <v>5.4534807205200204</v>
      </c>
      <c r="J560" s="253">
        <v>5.3617582321167001</v>
      </c>
      <c r="K560" s="253">
        <v>5.3288640975952104</v>
      </c>
      <c r="L560" s="253">
        <v>5.3712139129638699</v>
      </c>
      <c r="M560" s="253">
        <v>5.41644287109375</v>
      </c>
      <c r="N560" s="253">
        <v>5.4747476577758798</v>
      </c>
      <c r="O560" s="253">
        <v>5.5268063545227104</v>
      </c>
      <c r="P560" s="253">
        <v>5.5894103050231898</v>
      </c>
      <c r="Q560" s="253">
        <v>5.6297807693481401</v>
      </c>
      <c r="R560" s="253">
        <v>5.7926478385925302</v>
      </c>
      <c r="S560" s="253">
        <v>5.9167857170104998</v>
      </c>
      <c r="T560" s="253">
        <v>6.0082931518554696</v>
      </c>
      <c r="U560" s="253">
        <v>6.11431789398193</v>
      </c>
      <c r="V560" s="253">
        <v>6.21482229232788</v>
      </c>
      <c r="W560" s="253">
        <v>6.2930455207824698</v>
      </c>
      <c r="X560" s="253">
        <v>6.3174986839294398</v>
      </c>
      <c r="Y560" s="253">
        <v>6.3298768997192401</v>
      </c>
    </row>
    <row r="561" spans="1:26" x14ac:dyDescent="0.25">
      <c r="A561" s="249" t="s">
        <v>481</v>
      </c>
      <c r="B561" s="253">
        <v>3.9850425720214799</v>
      </c>
      <c r="C561" s="253">
        <v>4.7911210060119602</v>
      </c>
      <c r="D561" s="253">
        <v>5.5054435729980504</v>
      </c>
      <c r="E561" s="253">
        <v>5.3836607933044398</v>
      </c>
      <c r="F561" s="253">
        <v>4.9928164482116699</v>
      </c>
      <c r="G561" s="253">
        <v>4.5735058784484899</v>
      </c>
      <c r="H561" s="253">
        <v>4.37508344650269</v>
      </c>
      <c r="I561" s="253">
        <v>4.2357888221740696</v>
      </c>
      <c r="J561" s="253">
        <v>4.1871180534362802</v>
      </c>
      <c r="K561" s="253">
        <v>4.2367839813232404</v>
      </c>
      <c r="L561" s="253">
        <v>4.2823972702026403</v>
      </c>
      <c r="M561" s="253">
        <v>4.3351020812988299</v>
      </c>
      <c r="N561" s="253">
        <v>4.38077735900879</v>
      </c>
      <c r="O561" s="253">
        <v>4.4392328262329102</v>
      </c>
      <c r="P561" s="253">
        <v>4.4927945137023899</v>
      </c>
      <c r="Q561" s="253">
        <v>4.5466628074645996</v>
      </c>
      <c r="R561" s="253">
        <v>4.5988087654113796</v>
      </c>
      <c r="S561" s="253">
        <v>4.6550941467285201</v>
      </c>
      <c r="T561" s="253">
        <v>4.7130184173584002</v>
      </c>
      <c r="U561" s="253">
        <v>4.7694864273071298</v>
      </c>
      <c r="V561" s="253">
        <v>4.8261427879333496</v>
      </c>
      <c r="W561" s="253">
        <v>4.8835220336914098</v>
      </c>
      <c r="X561" s="253">
        <v>4.9410810470581099</v>
      </c>
      <c r="Y561" s="253">
        <v>5.0030183792114302</v>
      </c>
    </row>
    <row r="562" spans="1:26" x14ac:dyDescent="0.25">
      <c r="A562" s="274" t="s">
        <v>478</v>
      </c>
      <c r="B562" s="253">
        <v>3.6857740879058798</v>
      </c>
      <c r="C562" s="253">
        <v>5.4593739509582502</v>
      </c>
      <c r="D562" s="253">
        <v>5.9836626052856401</v>
      </c>
      <c r="E562" s="253">
        <v>5.9217834472656303</v>
      </c>
      <c r="F562" s="253">
        <v>5.2677536010742196</v>
      </c>
      <c r="G562" s="253">
        <v>4.83196926116943</v>
      </c>
      <c r="H562" s="253">
        <v>4.4959845542907697</v>
      </c>
      <c r="I562" s="253">
        <v>4.3869647979736301</v>
      </c>
      <c r="J562" s="253">
        <v>4.2738447189331099</v>
      </c>
      <c r="K562" s="253">
        <v>4.3073697090148899</v>
      </c>
      <c r="L562" s="253">
        <v>4.4138617515564</v>
      </c>
      <c r="M562" s="253">
        <v>4.5377993583679199</v>
      </c>
      <c r="N562" s="253">
        <v>4.6997785568237296</v>
      </c>
      <c r="O562" s="253">
        <v>4.8059244155883798</v>
      </c>
      <c r="P562" s="253">
        <v>4.7723231315612802</v>
      </c>
      <c r="Q562" s="253">
        <v>4.7962751388549796</v>
      </c>
      <c r="R562" s="253">
        <v>4.93237209320068</v>
      </c>
      <c r="S562" s="253">
        <v>5.0951194763183603</v>
      </c>
      <c r="T562" s="253">
        <v>5.2029786109924299</v>
      </c>
      <c r="U562" s="253">
        <v>5.2939982414245597</v>
      </c>
      <c r="V562" s="253">
        <v>5.3285460472106898</v>
      </c>
      <c r="W562" s="253">
        <v>5.3187093734741202</v>
      </c>
      <c r="X562" s="253">
        <v>5.3844461441040004</v>
      </c>
      <c r="Y562" s="253">
        <v>5.4420223236084002</v>
      </c>
      <c r="Z562" s="283">
        <f>Y562+($AI$392-$Y$562)/10</f>
        <v>5.4722581683132612</v>
      </c>
    </row>
    <row r="563" spans="1:26" x14ac:dyDescent="0.25">
      <c r="A563" s="278" t="s">
        <v>486</v>
      </c>
      <c r="B563" s="253">
        <v>1.2699717283248899</v>
      </c>
      <c r="C563" s="253">
        <v>1.27919089794159</v>
      </c>
      <c r="D563" s="253">
        <v>1.2833664417266799</v>
      </c>
      <c r="E563" s="253">
        <v>1.28942894935608</v>
      </c>
      <c r="F563" s="253">
        <v>1.29215919971466</v>
      </c>
      <c r="G563" s="253">
        <v>1.28011155128479</v>
      </c>
      <c r="H563" s="253">
        <v>1.2771430015564</v>
      </c>
      <c r="I563" s="253">
        <v>1.2664887905120801</v>
      </c>
      <c r="J563" s="253">
        <v>1.2516112327575699</v>
      </c>
      <c r="K563" s="253">
        <v>1.2440552711486801</v>
      </c>
      <c r="L563" s="253">
        <v>1.2386393547058101</v>
      </c>
      <c r="M563" s="253">
        <v>1.23525643348694</v>
      </c>
      <c r="N563" s="253">
        <v>1.23468470573425</v>
      </c>
      <c r="O563" s="253">
        <v>1.2341449260711701</v>
      </c>
      <c r="P563" s="253">
        <v>1.23174548149109</v>
      </c>
      <c r="Q563" s="253">
        <v>1.2347780466079701</v>
      </c>
      <c r="R563" s="253">
        <v>1.23870933055878</v>
      </c>
      <c r="S563" s="253">
        <v>1.2427853345871001</v>
      </c>
      <c r="T563" s="253">
        <v>1.24646520614624</v>
      </c>
      <c r="U563" s="253">
        <v>1.2552444934845</v>
      </c>
      <c r="V563" s="253">
        <v>1.26424860954285</v>
      </c>
      <c r="W563" s="253">
        <v>1.2944931983947801</v>
      </c>
      <c r="X563" s="253">
        <v>1.3030458688736</v>
      </c>
      <c r="Y563" s="253">
        <v>1.30599772930145</v>
      </c>
      <c r="Z563" s="291">
        <f>Y563+($AI$393-$Y$563)/10</f>
        <v>1.3088234854404943</v>
      </c>
    </row>
    <row r="564" spans="1:26" x14ac:dyDescent="0.25">
      <c r="A564" s="249" t="s">
        <v>440</v>
      </c>
      <c r="B564" s="253" t="s">
        <v>440</v>
      </c>
      <c r="C564" s="253" t="s">
        <v>440</v>
      </c>
      <c r="D564" s="253" t="s">
        <v>440</v>
      </c>
      <c r="E564" s="253" t="s">
        <v>440</v>
      </c>
      <c r="F564" s="253" t="s">
        <v>440</v>
      </c>
      <c r="G564" s="253" t="s">
        <v>440</v>
      </c>
      <c r="H564" s="253" t="s">
        <v>440</v>
      </c>
      <c r="I564" s="253" t="s">
        <v>440</v>
      </c>
      <c r="J564" s="253" t="s">
        <v>440</v>
      </c>
      <c r="K564" s="253" t="s">
        <v>440</v>
      </c>
      <c r="L564" s="253" t="s">
        <v>440</v>
      </c>
      <c r="M564" s="253" t="s">
        <v>440</v>
      </c>
      <c r="N564" s="253" t="s">
        <v>440</v>
      </c>
      <c r="O564" s="253" t="s">
        <v>440</v>
      </c>
      <c r="P564" s="253" t="s">
        <v>440</v>
      </c>
      <c r="Q564" s="253" t="s">
        <v>440</v>
      </c>
      <c r="R564" s="253" t="s">
        <v>440</v>
      </c>
      <c r="S564" s="253" t="s">
        <v>440</v>
      </c>
      <c r="T564" s="253" t="s">
        <v>440</v>
      </c>
      <c r="U564" s="253" t="s">
        <v>440</v>
      </c>
      <c r="V564" s="253" t="s">
        <v>440</v>
      </c>
      <c r="W564" s="253" t="s">
        <v>440</v>
      </c>
      <c r="X564" s="253" t="s">
        <v>440</v>
      </c>
      <c r="Y564" s="253" t="s">
        <v>440</v>
      </c>
    </row>
    <row r="565" spans="1:26" x14ac:dyDescent="0.25">
      <c r="A565" s="249" t="s">
        <v>503</v>
      </c>
      <c r="B565" s="253" t="s">
        <v>440</v>
      </c>
      <c r="C565" s="253" t="s">
        <v>440</v>
      </c>
      <c r="D565" s="253" t="s">
        <v>440</v>
      </c>
      <c r="E565" s="253" t="s">
        <v>440</v>
      </c>
      <c r="F565" s="253" t="s">
        <v>440</v>
      </c>
      <c r="G565" s="253" t="s">
        <v>440</v>
      </c>
      <c r="H565" s="253" t="s">
        <v>440</v>
      </c>
      <c r="I565" s="253" t="s">
        <v>440</v>
      </c>
      <c r="J565" s="253" t="s">
        <v>440</v>
      </c>
      <c r="K565" s="253" t="s">
        <v>440</v>
      </c>
      <c r="L565" s="253" t="s">
        <v>440</v>
      </c>
      <c r="M565" s="253" t="s">
        <v>440</v>
      </c>
      <c r="N565" s="253" t="s">
        <v>440</v>
      </c>
      <c r="O565" s="253" t="s">
        <v>440</v>
      </c>
      <c r="P565" s="253" t="s">
        <v>440</v>
      </c>
      <c r="Q565" s="253" t="s">
        <v>440</v>
      </c>
      <c r="R565" s="253" t="s">
        <v>440</v>
      </c>
      <c r="S565" s="253" t="s">
        <v>440</v>
      </c>
      <c r="T565" s="253" t="s">
        <v>440</v>
      </c>
      <c r="U565" s="253" t="s">
        <v>440</v>
      </c>
      <c r="V565" s="253" t="s">
        <v>440</v>
      </c>
      <c r="W565" s="253" t="s">
        <v>440</v>
      </c>
      <c r="X565" s="253" t="s">
        <v>440</v>
      </c>
      <c r="Y565" s="253" t="s">
        <v>440</v>
      </c>
    </row>
    <row r="566" spans="1:26" x14ac:dyDescent="0.25">
      <c r="A566" s="249" t="s">
        <v>504</v>
      </c>
      <c r="B566" s="253">
        <v>9.0916013717651403</v>
      </c>
      <c r="C566" s="253">
        <v>10.5092258453369</v>
      </c>
      <c r="D566" s="253">
        <v>12.005053520202599</v>
      </c>
      <c r="E566" s="253">
        <v>11.630154609680201</v>
      </c>
      <c r="F566" s="253">
        <v>10.867414474487299</v>
      </c>
      <c r="G566" s="253">
        <v>10.341483116149901</v>
      </c>
      <c r="H566" s="253">
        <v>10.206826210021999</v>
      </c>
      <c r="I566" s="253">
        <v>9.9809312820434606</v>
      </c>
      <c r="J566" s="253">
        <v>9.9117403030395508</v>
      </c>
      <c r="K566" s="253">
        <v>9.9329805374145508</v>
      </c>
      <c r="L566" s="253">
        <v>9.9184780120849592</v>
      </c>
      <c r="M566" s="253">
        <v>9.9575662612915004</v>
      </c>
      <c r="N566" s="253">
        <v>9.9538516998290998</v>
      </c>
      <c r="O566" s="253">
        <v>10.000968933105501</v>
      </c>
      <c r="P566" s="253">
        <v>10.066521644592299</v>
      </c>
      <c r="Q566" s="253">
        <v>10.122728347778301</v>
      </c>
      <c r="R566" s="253">
        <v>10.166119575500501</v>
      </c>
      <c r="S566" s="253">
        <v>10.2242088317871</v>
      </c>
      <c r="T566" s="253">
        <v>10.2887620925903</v>
      </c>
      <c r="U566" s="253">
        <v>10.370365142822299</v>
      </c>
      <c r="V566" s="253">
        <v>10.451409339904799</v>
      </c>
      <c r="W566" s="253">
        <v>10.528607368469199</v>
      </c>
      <c r="X566" s="253">
        <v>10.560112953186</v>
      </c>
      <c r="Y566" s="253">
        <v>10.6600894927979</v>
      </c>
    </row>
    <row r="567" spans="1:26" x14ac:dyDescent="0.25">
      <c r="A567" s="249" t="s">
        <v>505</v>
      </c>
      <c r="B567" s="253">
        <v>8.7129955291747994</v>
      </c>
      <c r="C567" s="253">
        <v>9.89868068695068</v>
      </c>
      <c r="D567" s="253">
        <v>10.9323616027832</v>
      </c>
      <c r="E567" s="253">
        <v>10.516496658325201</v>
      </c>
      <c r="F567" s="253">
        <v>10.0722150802612</v>
      </c>
      <c r="G567" s="253">
        <v>9.7644062042236293</v>
      </c>
      <c r="H567" s="253">
        <v>9.6708259582519496</v>
      </c>
      <c r="I567" s="253">
        <v>9.5059432983398402</v>
      </c>
      <c r="J567" s="253">
        <v>9.5328626632690394</v>
      </c>
      <c r="K567" s="253">
        <v>9.6073579788208008</v>
      </c>
      <c r="L567" s="253">
        <v>9.6717586517334002</v>
      </c>
      <c r="M567" s="253">
        <v>9.7472448348999006</v>
      </c>
      <c r="N567" s="253">
        <v>9.7227439880371094</v>
      </c>
      <c r="O567" s="253">
        <v>9.7185726165771502</v>
      </c>
      <c r="P567" s="253">
        <v>9.7264575958252006</v>
      </c>
      <c r="Q567" s="253">
        <v>9.7659683227539098</v>
      </c>
      <c r="R567" s="253">
        <v>9.7933034896850604</v>
      </c>
      <c r="S567" s="253">
        <v>9.8243274688720703</v>
      </c>
      <c r="T567" s="253">
        <v>9.7878532409668004</v>
      </c>
      <c r="U567" s="253">
        <v>9.8349857330322301</v>
      </c>
      <c r="V567" s="253">
        <v>9.8761272430419904</v>
      </c>
      <c r="W567" s="253">
        <v>9.8313732147216797</v>
      </c>
      <c r="X567" s="253">
        <v>9.8799133300781303</v>
      </c>
      <c r="Y567" s="253">
        <v>10.0311069488525</v>
      </c>
    </row>
    <row r="568" spans="1:26" x14ac:dyDescent="0.25">
      <c r="A568" s="249" t="s">
        <v>506</v>
      </c>
      <c r="B568" s="253">
        <v>6.0538434982299796</v>
      </c>
      <c r="C568" s="253">
        <v>6.4578518867492702</v>
      </c>
      <c r="D568" s="253">
        <v>8.1168746948242205</v>
      </c>
      <c r="E568" s="253">
        <v>7.6875572204589799</v>
      </c>
      <c r="F568" s="253">
        <v>7.0150871276855504</v>
      </c>
      <c r="G568" s="253">
        <v>6.5790328979492196</v>
      </c>
      <c r="H568" s="253">
        <v>6.5712537765502903</v>
      </c>
      <c r="I568" s="253">
        <v>6.42602443695068</v>
      </c>
      <c r="J568" s="253">
        <v>6.2476048469543501</v>
      </c>
      <c r="K568" s="253">
        <v>6.2184038162231401</v>
      </c>
      <c r="L568" s="253">
        <v>6.2436552047729501</v>
      </c>
      <c r="M568" s="253">
        <v>6.2858424186706499</v>
      </c>
      <c r="N568" s="253">
        <v>6.2737250328064</v>
      </c>
      <c r="O568" s="253">
        <v>6.2926135063171396</v>
      </c>
      <c r="P568" s="253">
        <v>6.3336305618286097</v>
      </c>
      <c r="Q568" s="253">
        <v>6.3623290061950701</v>
      </c>
      <c r="R568" s="253">
        <v>6.4419050216674796</v>
      </c>
      <c r="S568" s="253">
        <v>6.5377755165100098</v>
      </c>
      <c r="T568" s="253">
        <v>6.5789065361022896</v>
      </c>
      <c r="U568" s="253">
        <v>6.7034192085266104</v>
      </c>
      <c r="V568" s="253">
        <v>6.8036813735961896</v>
      </c>
      <c r="W568" s="253">
        <v>6.8691210746765101</v>
      </c>
      <c r="X568" s="253">
        <v>6.8930430412292498</v>
      </c>
      <c r="Y568" s="253">
        <v>6.9258189201354998</v>
      </c>
    </row>
    <row r="569" spans="1:26" x14ac:dyDescent="0.25">
      <c r="A569" s="249" t="s">
        <v>507</v>
      </c>
      <c r="B569" s="253">
        <v>9.5166797637939506</v>
      </c>
      <c r="C569" s="253">
        <v>13.0396432876587</v>
      </c>
      <c r="D569" s="253">
        <v>15.6858806610107</v>
      </c>
      <c r="E569" s="253">
        <v>14.0742273330688</v>
      </c>
      <c r="F569" s="253">
        <v>12.086350440979</v>
      </c>
      <c r="G569" s="253">
        <v>11.4653730392456</v>
      </c>
      <c r="H569" s="253">
        <v>11.285403251647899</v>
      </c>
      <c r="I569" s="253">
        <v>11.0092105865479</v>
      </c>
      <c r="J569" s="253">
        <v>10.989564895629901</v>
      </c>
      <c r="K569" s="253">
        <v>10.925596237182599</v>
      </c>
      <c r="L569" s="253">
        <v>10.987684249877899</v>
      </c>
      <c r="M569" s="253">
        <v>11.0838632583618</v>
      </c>
      <c r="N569" s="253">
        <v>11.0187425613403</v>
      </c>
      <c r="O569" s="253">
        <v>11.2084665298462</v>
      </c>
      <c r="P569" s="253">
        <v>11.3385829925537</v>
      </c>
      <c r="Q569" s="253">
        <v>11.336560249328601</v>
      </c>
      <c r="R569" s="253">
        <v>11.412732124328601</v>
      </c>
      <c r="S569" s="253">
        <v>11.5561437606812</v>
      </c>
      <c r="T569" s="253">
        <v>11.7385349273682</v>
      </c>
      <c r="U569" s="253">
        <v>11.9240121841431</v>
      </c>
      <c r="V569" s="253">
        <v>12.033415794372599</v>
      </c>
      <c r="W569" s="253">
        <v>12.184607505798301</v>
      </c>
      <c r="X569" s="253">
        <v>12.2847499847412</v>
      </c>
      <c r="Y569" s="253">
        <v>12.335958480835</v>
      </c>
    </row>
    <row r="570" spans="1:26" x14ac:dyDescent="0.25">
      <c r="A570" s="249" t="s">
        <v>508</v>
      </c>
      <c r="B570" s="253">
        <v>11.3185987472534</v>
      </c>
      <c r="C570" s="253">
        <v>12.9258327484131</v>
      </c>
      <c r="D570" s="253">
        <v>14.650143623352101</v>
      </c>
      <c r="E570" s="253">
        <v>14.3442440032959</v>
      </c>
      <c r="F570" s="253">
        <v>13.623025894165</v>
      </c>
      <c r="G570" s="253">
        <v>12.923449516296399</v>
      </c>
      <c r="H570" s="253">
        <v>12.7128458023071</v>
      </c>
      <c r="I570" s="253">
        <v>12.432819366455099</v>
      </c>
      <c r="J570" s="253">
        <v>12.310016632080099</v>
      </c>
      <c r="K570" s="253">
        <v>12.3222455978394</v>
      </c>
      <c r="L570" s="253">
        <v>12.2171115875244</v>
      </c>
      <c r="M570" s="253">
        <v>12.2130832672119</v>
      </c>
      <c r="N570" s="253">
        <v>12.22132396698</v>
      </c>
      <c r="O570" s="253">
        <v>12.248191833496101</v>
      </c>
      <c r="P570" s="253">
        <v>12.309587478637701</v>
      </c>
      <c r="Q570" s="253">
        <v>12.376181602478001</v>
      </c>
      <c r="R570" s="253">
        <v>12.4016332626343</v>
      </c>
      <c r="S570" s="253">
        <v>12.440443038940399</v>
      </c>
      <c r="T570" s="253">
        <v>12.509931564331101</v>
      </c>
      <c r="U570" s="253">
        <v>12.547391891479499</v>
      </c>
      <c r="V570" s="253">
        <v>12.611403465271</v>
      </c>
      <c r="W570" s="253">
        <v>12.7098541259766</v>
      </c>
      <c r="X570" s="253">
        <v>12.7049369812012</v>
      </c>
      <c r="Y570" s="253">
        <v>12.8036108016968</v>
      </c>
    </row>
    <row r="571" spans="1:26" x14ac:dyDescent="0.25">
      <c r="A571" s="249" t="s">
        <v>509</v>
      </c>
      <c r="B571" s="253">
        <v>3.9308724403381299</v>
      </c>
      <c r="C571" s="253">
        <v>4.6628575325012198</v>
      </c>
      <c r="D571" s="253">
        <v>5.07232666015625</v>
      </c>
      <c r="E571" s="253">
        <v>5.1433629989623997</v>
      </c>
      <c r="F571" s="253">
        <v>4.8060836791992196</v>
      </c>
      <c r="G571" s="253">
        <v>4.3862032890319798</v>
      </c>
      <c r="H571" s="253">
        <v>4.1832194328308097</v>
      </c>
      <c r="I571" s="253">
        <v>4.0440359115600604</v>
      </c>
      <c r="J571" s="253">
        <v>3.9943466186523402</v>
      </c>
      <c r="K571" s="253">
        <v>4.04720115661621</v>
      </c>
      <c r="L571" s="253">
        <v>4.0966601371765101</v>
      </c>
      <c r="M571" s="253">
        <v>4.1477751731872603</v>
      </c>
      <c r="N571" s="253">
        <v>4.19142723083496</v>
      </c>
      <c r="O571" s="253">
        <v>4.2503523826599103</v>
      </c>
      <c r="P571" s="253">
        <v>4.3018612861633301</v>
      </c>
      <c r="Q571" s="253">
        <v>4.3527650833129901</v>
      </c>
      <c r="R571" s="253">
        <v>4.4055538177490199</v>
      </c>
      <c r="S571" s="253">
        <v>4.4662823677062997</v>
      </c>
      <c r="T571" s="253">
        <v>4.5225110054016104</v>
      </c>
      <c r="U571" s="253">
        <v>4.5828208923339799</v>
      </c>
      <c r="V571" s="253">
        <v>4.6386957168579102</v>
      </c>
      <c r="W571" s="253">
        <v>4.6918659210205096</v>
      </c>
      <c r="X571" s="253">
        <v>4.7469024658203098</v>
      </c>
      <c r="Y571" s="253">
        <v>4.8068332672119096</v>
      </c>
    </row>
    <row r="572" spans="1:26" x14ac:dyDescent="0.25">
      <c r="A572" s="249" t="s">
        <v>510</v>
      </c>
      <c r="B572" s="253">
        <v>5.1461992263793901</v>
      </c>
      <c r="C572" s="253">
        <v>6.8558807373046902</v>
      </c>
      <c r="D572" s="253">
        <v>7.3508329391479501</v>
      </c>
      <c r="E572" s="253">
        <v>7.3838677406311</v>
      </c>
      <c r="F572" s="253">
        <v>6.7167663574218803</v>
      </c>
      <c r="G572" s="253">
        <v>6.2544136047363299</v>
      </c>
      <c r="H572" s="253">
        <v>5.8490047454834002</v>
      </c>
      <c r="I572" s="253">
        <v>5.6922402381896999</v>
      </c>
      <c r="J572" s="253">
        <v>5.5182204246520996</v>
      </c>
      <c r="K572" s="253">
        <v>5.4887638092040998</v>
      </c>
      <c r="L572" s="253">
        <v>5.5592789649963397</v>
      </c>
      <c r="M572" s="253">
        <v>5.6574964523315403</v>
      </c>
      <c r="N572" s="253">
        <v>5.8102455139160201</v>
      </c>
      <c r="O572" s="253">
        <v>5.9230461120605504</v>
      </c>
      <c r="P572" s="253">
        <v>5.8875889778137198</v>
      </c>
      <c r="Q572" s="253">
        <v>5.8938632011413601</v>
      </c>
      <c r="R572" s="253">
        <v>6.0147280693054199</v>
      </c>
      <c r="S572" s="253">
        <v>6.1772904396057102</v>
      </c>
      <c r="T572" s="253">
        <v>6.2973737716674796</v>
      </c>
      <c r="U572" s="253">
        <v>6.40012407302856</v>
      </c>
      <c r="V572" s="253">
        <v>6.4435343742370597</v>
      </c>
      <c r="W572" s="253">
        <v>6.4505195617675799</v>
      </c>
      <c r="X572" s="253">
        <v>6.5169725418090803</v>
      </c>
      <c r="Y572" s="253">
        <v>6.5874438285827601</v>
      </c>
    </row>
    <row r="573" spans="1:26" x14ac:dyDescent="0.25">
      <c r="A573" s="249" t="s">
        <v>511</v>
      </c>
      <c r="B573" s="253">
        <v>1.2938040494918801</v>
      </c>
      <c r="C573" s="253">
        <v>1.29924309253693</v>
      </c>
      <c r="D573" s="253">
        <v>1.30395972728729</v>
      </c>
      <c r="E573" s="253">
        <v>1.3117660284042401</v>
      </c>
      <c r="F573" s="253">
        <v>1.3130011558532699</v>
      </c>
      <c r="G573" s="253">
        <v>1.3001606464386</v>
      </c>
      <c r="H573" s="253">
        <v>1.2972036600112899</v>
      </c>
      <c r="I573" s="253">
        <v>1.28666663169861</v>
      </c>
      <c r="J573" s="253">
        <v>1.2722240686416599</v>
      </c>
      <c r="K573" s="253">
        <v>1.2649568319320701</v>
      </c>
      <c r="L573" s="253">
        <v>1.25909507274628</v>
      </c>
      <c r="M573" s="253">
        <v>1.25531446933746</v>
      </c>
      <c r="N573" s="253">
        <v>1.25464415550232</v>
      </c>
      <c r="O573" s="253">
        <v>1.25405156612396</v>
      </c>
      <c r="P573" s="253">
        <v>1.2516055107116699</v>
      </c>
      <c r="Q573" s="253">
        <v>1.25465047359467</v>
      </c>
      <c r="R573" s="253">
        <v>1.2582825422287001</v>
      </c>
      <c r="S573" s="253">
        <v>1.2619441747665401</v>
      </c>
      <c r="T573" s="253">
        <v>1.26514172554016</v>
      </c>
      <c r="U573" s="253">
        <v>1.27338314056396</v>
      </c>
      <c r="V573" s="253">
        <v>1.2817230224609399</v>
      </c>
      <c r="W573" s="253">
        <v>1.31160092353821</v>
      </c>
      <c r="X573" s="253">
        <v>1.3194112777710001</v>
      </c>
      <c r="Y573" s="253">
        <v>1.3217089176178001</v>
      </c>
    </row>
    <row r="574" spans="1:26" x14ac:dyDescent="0.25">
      <c r="A574" s="249" t="s">
        <v>512</v>
      </c>
      <c r="B574" s="253">
        <v>14.6543264389038</v>
      </c>
      <c r="C574" s="253">
        <v>16.232709884643601</v>
      </c>
      <c r="D574" s="253">
        <v>19.6646022796631</v>
      </c>
      <c r="E574" s="253">
        <v>19.5902194976807</v>
      </c>
      <c r="F574" s="253">
        <v>19.473403930664102</v>
      </c>
      <c r="G574" s="253">
        <v>18.312351226806602</v>
      </c>
      <c r="H574" s="253">
        <v>18.154972076416001</v>
      </c>
      <c r="I574" s="253">
        <v>17.744245529174801</v>
      </c>
      <c r="J574" s="253">
        <v>17.108533859252901</v>
      </c>
      <c r="K574" s="253">
        <v>16.985416412353501</v>
      </c>
      <c r="L574" s="253">
        <v>16.891477584838899</v>
      </c>
      <c r="M574" s="253">
        <v>17.106473922729499</v>
      </c>
      <c r="N574" s="253">
        <v>17.298709869384801</v>
      </c>
      <c r="O574" s="253">
        <v>17.370653152465799</v>
      </c>
      <c r="P574" s="253">
        <v>17.404756546020501</v>
      </c>
      <c r="Q574" s="253">
        <v>17.4316711425781</v>
      </c>
      <c r="R574" s="253">
        <v>17.495216369628899</v>
      </c>
      <c r="S574" s="253">
        <v>17.111986160278299</v>
      </c>
      <c r="T574" s="253">
        <v>17.221326828002901</v>
      </c>
      <c r="U574" s="253">
        <v>17.6731853485107</v>
      </c>
      <c r="V574" s="253">
        <v>17.676996231079102</v>
      </c>
      <c r="W574" s="253">
        <v>17.866504669189499</v>
      </c>
      <c r="X574" s="253">
        <v>17.993064880371101</v>
      </c>
      <c r="Y574" s="253">
        <v>18.128524780273398</v>
      </c>
    </row>
    <row r="575" spans="1:26" x14ac:dyDescent="0.25">
      <c r="A575" s="249" t="s">
        <v>479</v>
      </c>
      <c r="B575" s="253">
        <v>21.599882125854499</v>
      </c>
      <c r="C575" s="253">
        <v>21.735733032226602</v>
      </c>
      <c r="D575" s="253">
        <v>21.728578567504901</v>
      </c>
      <c r="E575" s="253">
        <v>21.659519195556602</v>
      </c>
      <c r="F575" s="253">
        <v>20.859115600585898</v>
      </c>
      <c r="G575" s="253">
        <v>19.947565078735401</v>
      </c>
      <c r="H575" s="253">
        <v>19.5044040679932</v>
      </c>
      <c r="I575" s="253">
        <v>19.468164443969702</v>
      </c>
      <c r="J575" s="253">
        <v>19.363897323608398</v>
      </c>
      <c r="K575" s="253">
        <v>19.340778350830099</v>
      </c>
      <c r="L575" s="253">
        <v>19.565423965454102</v>
      </c>
      <c r="M575" s="253">
        <v>19.829431533813501</v>
      </c>
      <c r="N575" s="253">
        <v>20.184032440185501</v>
      </c>
      <c r="O575" s="253">
        <v>20.348131179809599</v>
      </c>
      <c r="P575" s="253">
        <v>20.384618759155298</v>
      </c>
      <c r="Q575" s="253">
        <v>20.4941310882568</v>
      </c>
      <c r="R575" s="253">
        <v>20.6934413909912</v>
      </c>
      <c r="S575" s="253">
        <v>20.961088180541999</v>
      </c>
      <c r="T575" s="253">
        <v>21.1064147949219</v>
      </c>
      <c r="U575" s="253">
        <v>21.2582683563232</v>
      </c>
      <c r="V575" s="253">
        <v>21.2429523468018</v>
      </c>
      <c r="W575" s="253">
        <v>21.2300205230713</v>
      </c>
      <c r="X575" s="253">
        <v>21.277418136596701</v>
      </c>
      <c r="Y575" s="253">
        <v>21.3841457366943</v>
      </c>
    </row>
    <row r="576" spans="1:26" x14ac:dyDescent="0.25">
      <c r="A576" s="249" t="s">
        <v>440</v>
      </c>
      <c r="B576" s="253" t="s">
        <v>440</v>
      </c>
      <c r="C576" s="253" t="s">
        <v>440</v>
      </c>
      <c r="D576" s="253" t="s">
        <v>440</v>
      </c>
      <c r="E576" s="253" t="s">
        <v>440</v>
      </c>
      <c r="F576" s="253" t="s">
        <v>440</v>
      </c>
      <c r="G576" s="253" t="s">
        <v>440</v>
      </c>
      <c r="H576" s="253" t="s">
        <v>440</v>
      </c>
      <c r="I576" s="253" t="s">
        <v>440</v>
      </c>
      <c r="J576" s="253" t="s">
        <v>440</v>
      </c>
      <c r="K576" s="253" t="s">
        <v>440</v>
      </c>
      <c r="L576" s="253" t="s">
        <v>440</v>
      </c>
      <c r="M576" s="253" t="s">
        <v>440</v>
      </c>
      <c r="N576" s="253" t="s">
        <v>440</v>
      </c>
      <c r="O576" s="253" t="s">
        <v>440</v>
      </c>
      <c r="P576" s="253" t="s">
        <v>440</v>
      </c>
      <c r="Q576" s="253" t="s">
        <v>440</v>
      </c>
      <c r="R576" s="253" t="s">
        <v>440</v>
      </c>
      <c r="S576" s="253" t="s">
        <v>440</v>
      </c>
      <c r="T576" s="253" t="s">
        <v>440</v>
      </c>
      <c r="U576" s="253" t="s">
        <v>440</v>
      </c>
      <c r="V576" s="253" t="s">
        <v>440</v>
      </c>
      <c r="W576" s="253" t="s">
        <v>440</v>
      </c>
      <c r="X576" s="253" t="s">
        <v>440</v>
      </c>
      <c r="Y576" s="253" t="s">
        <v>440</v>
      </c>
    </row>
    <row r="577" spans="1:25" x14ac:dyDescent="0.25">
      <c r="A577" s="249" t="s">
        <v>513</v>
      </c>
      <c r="B577" s="253" t="s">
        <v>440</v>
      </c>
      <c r="C577" s="253" t="s">
        <v>440</v>
      </c>
      <c r="D577" s="253" t="s">
        <v>440</v>
      </c>
      <c r="E577" s="253" t="s">
        <v>440</v>
      </c>
      <c r="F577" s="253" t="s">
        <v>440</v>
      </c>
      <c r="G577" s="253" t="s">
        <v>440</v>
      </c>
      <c r="H577" s="253" t="s">
        <v>440</v>
      </c>
      <c r="I577" s="253" t="s">
        <v>440</v>
      </c>
      <c r="J577" s="253" t="s">
        <v>440</v>
      </c>
      <c r="K577" s="253" t="s">
        <v>440</v>
      </c>
      <c r="L577" s="253" t="s">
        <v>440</v>
      </c>
      <c r="M577" s="253" t="s">
        <v>440</v>
      </c>
      <c r="N577" s="253" t="s">
        <v>440</v>
      </c>
      <c r="O577" s="253" t="s">
        <v>440</v>
      </c>
      <c r="P577" s="253" t="s">
        <v>440</v>
      </c>
      <c r="Q577" s="253" t="s">
        <v>440</v>
      </c>
      <c r="R577" s="253" t="s">
        <v>440</v>
      </c>
      <c r="S577" s="253" t="s">
        <v>440</v>
      </c>
      <c r="T577" s="253" t="s">
        <v>440</v>
      </c>
      <c r="U577" s="253" t="s">
        <v>440</v>
      </c>
      <c r="V577" s="253" t="s">
        <v>440</v>
      </c>
      <c r="W577" s="253" t="s">
        <v>440</v>
      </c>
      <c r="X577" s="253" t="s">
        <v>440</v>
      </c>
      <c r="Y577" s="253" t="s">
        <v>440</v>
      </c>
    </row>
    <row r="578" spans="1:25" x14ac:dyDescent="0.25">
      <c r="A578" s="249" t="s">
        <v>514</v>
      </c>
      <c r="B578" s="253" t="s">
        <v>440</v>
      </c>
      <c r="C578" s="253" t="s">
        <v>440</v>
      </c>
      <c r="D578" s="253" t="s">
        <v>440</v>
      </c>
      <c r="E578" s="253" t="s">
        <v>440</v>
      </c>
      <c r="F578" s="253" t="s">
        <v>440</v>
      </c>
      <c r="G578" s="253" t="s">
        <v>440</v>
      </c>
      <c r="H578" s="253" t="s">
        <v>440</v>
      </c>
      <c r="I578" s="253" t="s">
        <v>440</v>
      </c>
      <c r="J578" s="253" t="s">
        <v>440</v>
      </c>
      <c r="K578" s="253" t="s">
        <v>440</v>
      </c>
      <c r="L578" s="253" t="s">
        <v>440</v>
      </c>
      <c r="M578" s="253" t="s">
        <v>440</v>
      </c>
      <c r="N578" s="253" t="s">
        <v>440</v>
      </c>
      <c r="O578" s="253" t="s">
        <v>440</v>
      </c>
      <c r="P578" s="253" t="s">
        <v>440</v>
      </c>
      <c r="Q578" s="253" t="s">
        <v>440</v>
      </c>
      <c r="R578" s="253" t="s">
        <v>440</v>
      </c>
      <c r="S578" s="253" t="s">
        <v>440</v>
      </c>
      <c r="T578" s="253" t="s">
        <v>440</v>
      </c>
      <c r="U578" s="253" t="s">
        <v>440</v>
      </c>
      <c r="V578" s="253" t="s">
        <v>440</v>
      </c>
      <c r="W578" s="253" t="s">
        <v>440</v>
      </c>
      <c r="X578" s="253" t="s">
        <v>440</v>
      </c>
      <c r="Y578" s="253" t="s">
        <v>440</v>
      </c>
    </row>
    <row r="579" spans="1:25" x14ac:dyDescent="0.25">
      <c r="A579" s="249" t="s">
        <v>473</v>
      </c>
      <c r="B579" s="253">
        <v>163.90481567382801</v>
      </c>
      <c r="C579" s="253">
        <v>177.16523742675801</v>
      </c>
      <c r="D579" s="253">
        <v>181.72630310058599</v>
      </c>
      <c r="E579" s="253">
        <v>185.23806762695301</v>
      </c>
      <c r="F579" s="253">
        <v>178.77069091796901</v>
      </c>
      <c r="G579" s="253">
        <v>174.57431030273401</v>
      </c>
      <c r="H579" s="253">
        <v>173.49729919433599</v>
      </c>
      <c r="I579" s="253">
        <v>174.68045043945301</v>
      </c>
      <c r="J579" s="253">
        <v>175.87545776367199</v>
      </c>
      <c r="K579" s="253">
        <v>177.93170166015599</v>
      </c>
      <c r="L579" s="253">
        <v>181.97520446777301</v>
      </c>
      <c r="M579" s="253">
        <v>185.45910644531301</v>
      </c>
      <c r="N579" s="253">
        <v>189.89924621582</v>
      </c>
      <c r="O579" s="253">
        <v>193.20950317382801</v>
      </c>
      <c r="P579" s="253">
        <v>195.50482177734401</v>
      </c>
      <c r="Q579" s="253">
        <v>197.60719299316401</v>
      </c>
      <c r="R579" s="253">
        <v>201.40017700195301</v>
      </c>
      <c r="S579" s="253">
        <v>205.80612182617199</v>
      </c>
      <c r="T579" s="253">
        <v>209.76078796386699</v>
      </c>
      <c r="U579" s="253">
        <v>212.75457763671901</v>
      </c>
      <c r="V579" s="253">
        <v>215.110427856445</v>
      </c>
      <c r="W579" s="253">
        <v>217.42091369628901</v>
      </c>
      <c r="X579" s="253">
        <v>220.97119140625</v>
      </c>
      <c r="Y579" s="253">
        <v>223.85739135742199</v>
      </c>
    </row>
    <row r="580" spans="1:25" x14ac:dyDescent="0.25">
      <c r="A580" s="249" t="s">
        <v>480</v>
      </c>
      <c r="B580" s="253">
        <v>122.690147399902</v>
      </c>
      <c r="C580" s="253">
        <v>128.153732299805</v>
      </c>
      <c r="D580" s="253">
        <v>130.48348999023401</v>
      </c>
      <c r="E580" s="253">
        <v>132.28971862793</v>
      </c>
      <c r="F580" s="253">
        <v>128.48481750488301</v>
      </c>
      <c r="G580" s="253">
        <v>125.5166015625</v>
      </c>
      <c r="H580" s="253">
        <v>125.36106109619099</v>
      </c>
      <c r="I580" s="253">
        <v>127.820442199707</v>
      </c>
      <c r="J580" s="253">
        <v>129.92327880859401</v>
      </c>
      <c r="K580" s="253">
        <v>133.10743713378901</v>
      </c>
      <c r="L580" s="253">
        <v>137.92835998535199</v>
      </c>
      <c r="M580" s="253">
        <v>142.925369262695</v>
      </c>
      <c r="N580" s="253">
        <v>148.816970825195</v>
      </c>
      <c r="O580" s="253">
        <v>153.52194213867199</v>
      </c>
      <c r="P580" s="253">
        <v>157.03869628906301</v>
      </c>
      <c r="Q580" s="253">
        <v>161.345138549805</v>
      </c>
      <c r="R580" s="253">
        <v>166.52362060546901</v>
      </c>
      <c r="S580" s="253">
        <v>172.33033752441401</v>
      </c>
      <c r="T580" s="253">
        <v>177.27947998046901</v>
      </c>
      <c r="U580" s="253">
        <v>182.50421142578099</v>
      </c>
      <c r="V580" s="253">
        <v>186.391357421875</v>
      </c>
      <c r="W580" s="253">
        <v>190.50810241699199</v>
      </c>
      <c r="X580" s="253">
        <v>195.38455200195301</v>
      </c>
      <c r="Y580" s="253">
        <v>200.92575073242199</v>
      </c>
    </row>
    <row r="581" spans="1:25" x14ac:dyDescent="0.25">
      <c r="A581" s="249" t="s">
        <v>515</v>
      </c>
      <c r="B581" s="253">
        <v>124.39901733398401</v>
      </c>
      <c r="C581" s="253">
        <v>147.11244201660199</v>
      </c>
      <c r="D581" s="253">
        <v>168.10716247558599</v>
      </c>
      <c r="E581" s="253">
        <v>167.31402587890599</v>
      </c>
      <c r="F581" s="253">
        <v>151.68084716796901</v>
      </c>
      <c r="G581" s="253">
        <v>143.54243469238301</v>
      </c>
      <c r="H581" s="253">
        <v>141.56742858886699</v>
      </c>
      <c r="I581" s="253">
        <v>140.77819824218801</v>
      </c>
      <c r="J581" s="253">
        <v>139.57333374023401</v>
      </c>
      <c r="K581" s="253">
        <v>140.39901733398401</v>
      </c>
      <c r="L581" s="253">
        <v>142.75350952148401</v>
      </c>
      <c r="M581" s="253">
        <v>145.42568969726599</v>
      </c>
      <c r="N581" s="253">
        <v>149.20526123046901</v>
      </c>
      <c r="O581" s="253">
        <v>152.35485839843801</v>
      </c>
      <c r="P581" s="253">
        <v>153.50325012207</v>
      </c>
      <c r="Q581" s="253">
        <v>156.35830688476599</v>
      </c>
      <c r="R581" s="253">
        <v>160.767654418945</v>
      </c>
      <c r="S581" s="253">
        <v>165.76315307617199</v>
      </c>
      <c r="T581" s="253">
        <v>169.931716918945</v>
      </c>
      <c r="U581" s="253">
        <v>173.961990356445</v>
      </c>
      <c r="V581" s="253">
        <v>176.65931701660199</v>
      </c>
      <c r="W581" s="253">
        <v>179.21453857421901</v>
      </c>
      <c r="X581" s="253">
        <v>182.00726318359401</v>
      </c>
      <c r="Y581" s="253">
        <v>184.95687866210901</v>
      </c>
    </row>
    <row r="582" spans="1:25" x14ac:dyDescent="0.25">
      <c r="A582" s="249" t="s">
        <v>487</v>
      </c>
      <c r="B582" s="253">
        <v>263.72879028320301</v>
      </c>
      <c r="C582" s="253">
        <v>302.59255981445301</v>
      </c>
      <c r="D582" s="253">
        <v>352.23770141601602</v>
      </c>
      <c r="E582" s="253">
        <v>351.05020141601602</v>
      </c>
      <c r="F582" s="253">
        <v>340.83407592773398</v>
      </c>
      <c r="G582" s="253">
        <v>332.5693359375</v>
      </c>
      <c r="H582" s="253">
        <v>335.96701049804699</v>
      </c>
      <c r="I582" s="253">
        <v>336.85531616210898</v>
      </c>
      <c r="J582" s="253">
        <v>341.13198852539102</v>
      </c>
      <c r="K582" s="253">
        <v>348.16427612304699</v>
      </c>
      <c r="L582" s="253">
        <v>352.90618896484398</v>
      </c>
      <c r="M582" s="253">
        <v>359.69818115234398</v>
      </c>
      <c r="N582" s="253">
        <v>365.95080566406301</v>
      </c>
      <c r="O582" s="253">
        <v>372.46246337890602</v>
      </c>
      <c r="P582" s="253">
        <v>379.283447265625</v>
      </c>
      <c r="Q582" s="253">
        <v>387.02755737304699</v>
      </c>
      <c r="R582" s="253">
        <v>393.88119506835898</v>
      </c>
      <c r="S582" s="253">
        <v>401.07183837890602</v>
      </c>
      <c r="T582" s="253">
        <v>407.83190917968801</v>
      </c>
      <c r="U582" s="253">
        <v>415.10699462890602</v>
      </c>
      <c r="V582" s="253">
        <v>423.06927490234398</v>
      </c>
      <c r="W582" s="253">
        <v>431.36416625976602</v>
      </c>
      <c r="X582" s="253">
        <v>438.52017211914102</v>
      </c>
      <c r="Y582" s="253">
        <v>449.30920410156301</v>
      </c>
    </row>
    <row r="583" spans="1:25" x14ac:dyDescent="0.25">
      <c r="A583" s="249" t="s">
        <v>516</v>
      </c>
      <c r="B583" s="253">
        <v>674.72277832031295</v>
      </c>
      <c r="C583" s="253">
        <v>755.02398681640602</v>
      </c>
      <c r="D583" s="253">
        <v>832.5546875</v>
      </c>
      <c r="E583" s="253">
        <v>835.89202880859398</v>
      </c>
      <c r="F583" s="253">
        <v>799.77044677734398</v>
      </c>
      <c r="G583" s="253">
        <v>776.20269775390602</v>
      </c>
      <c r="H583" s="253">
        <v>776.392822265625</v>
      </c>
      <c r="I583" s="253">
        <v>780.13439941406295</v>
      </c>
      <c r="J583" s="253">
        <v>786.50402832031295</v>
      </c>
      <c r="K583" s="253">
        <v>799.60241699218795</v>
      </c>
      <c r="L583" s="253">
        <v>815.563232421875</v>
      </c>
      <c r="M583" s="253">
        <v>833.50836181640602</v>
      </c>
      <c r="N583" s="253">
        <v>853.872314453125</v>
      </c>
      <c r="O583" s="253">
        <v>871.54876708984398</v>
      </c>
      <c r="P583" s="253">
        <v>885.33020019531295</v>
      </c>
      <c r="Q583" s="253">
        <v>902.33819580078102</v>
      </c>
      <c r="R583" s="253">
        <v>922.57263183593795</v>
      </c>
      <c r="S583" s="253">
        <v>944.971435546875</v>
      </c>
      <c r="T583" s="253">
        <v>964.80389404296898</v>
      </c>
      <c r="U583" s="253">
        <v>984.32775878906295</v>
      </c>
      <c r="V583" s="253">
        <v>1001.23034667969</v>
      </c>
      <c r="W583" s="253">
        <v>1018.50769042969</v>
      </c>
      <c r="X583" s="253">
        <v>1036.88317871094</v>
      </c>
      <c r="Y583" s="253">
        <v>1059.04919433594</v>
      </c>
    </row>
    <row r="584" spans="1:25" x14ac:dyDescent="0.25">
      <c r="A584" s="249" t="s">
        <v>517</v>
      </c>
      <c r="B584" s="253">
        <v>1.1704622767865699E-2</v>
      </c>
      <c r="C584" s="253">
        <v>1.72001253813505E-2</v>
      </c>
      <c r="D584" s="253">
        <v>2.0739471539855E-2</v>
      </c>
      <c r="E584" s="253">
        <v>2.2893460467457799E-2</v>
      </c>
      <c r="F584" s="253">
        <v>2.3359816521406201E-2</v>
      </c>
      <c r="G584" s="253">
        <v>2.56899110972881E-2</v>
      </c>
      <c r="H584" s="253">
        <v>2.8361881151795401E-2</v>
      </c>
      <c r="I584" s="253">
        <v>3.0972529202699699E-2</v>
      </c>
      <c r="J584" s="253">
        <v>3.4895084798336001E-2</v>
      </c>
      <c r="K584" s="253">
        <v>3.86636592447758E-2</v>
      </c>
      <c r="L584" s="253">
        <v>4.1480015963315998E-2</v>
      </c>
      <c r="M584" s="253">
        <v>4.3943785130977603E-2</v>
      </c>
      <c r="N584" s="253">
        <v>4.6801801770925501E-2</v>
      </c>
      <c r="O584" s="253">
        <v>4.9450792372226701E-2</v>
      </c>
      <c r="P584" s="253">
        <v>5.3890265524387401E-2</v>
      </c>
      <c r="Q584" s="253">
        <v>5.8303136378526701E-2</v>
      </c>
      <c r="R584" s="253">
        <v>6.2215700745582601E-2</v>
      </c>
      <c r="S584" s="253">
        <v>6.0202639549970599E-2</v>
      </c>
      <c r="T584" s="253">
        <v>6.6687978804111495E-2</v>
      </c>
      <c r="U584" s="253">
        <v>6.8060472607612596E-2</v>
      </c>
      <c r="V584" s="253">
        <v>7.0131160318851499E-2</v>
      </c>
      <c r="W584" s="253">
        <v>7.4032962322235094E-2</v>
      </c>
      <c r="X584" s="253">
        <v>7.6179362833499895E-2</v>
      </c>
      <c r="Y584" s="253">
        <v>7.9960107803344699E-2</v>
      </c>
    </row>
    <row r="585" spans="1:25" x14ac:dyDescent="0.25">
      <c r="A585" s="249" t="s">
        <v>518</v>
      </c>
      <c r="B585" s="253">
        <v>674.73449707031295</v>
      </c>
      <c r="C585" s="253">
        <v>755.04119873046898</v>
      </c>
      <c r="D585" s="253">
        <v>832.575439453125</v>
      </c>
      <c r="E585" s="253">
        <v>835.91491699218795</v>
      </c>
      <c r="F585" s="253">
        <v>799.79382324218795</v>
      </c>
      <c r="G585" s="253">
        <v>776.22839355468795</v>
      </c>
      <c r="H585" s="253">
        <v>776.42120361328102</v>
      </c>
      <c r="I585" s="253">
        <v>780.16534423828102</v>
      </c>
      <c r="J585" s="253">
        <v>786.53894042968795</v>
      </c>
      <c r="K585" s="253">
        <v>799.64105224609398</v>
      </c>
      <c r="L585" s="253">
        <v>815.604736328125</v>
      </c>
      <c r="M585" s="253">
        <v>833.55230712890602</v>
      </c>
      <c r="N585" s="253">
        <v>853.91912841796898</v>
      </c>
      <c r="O585" s="253">
        <v>871.59820556640602</v>
      </c>
      <c r="P585" s="253">
        <v>885.38409423828102</v>
      </c>
      <c r="Q585" s="253">
        <v>902.396484375</v>
      </c>
      <c r="R585" s="253">
        <v>922.63482666015602</v>
      </c>
      <c r="S585" s="253">
        <v>945.03161621093795</v>
      </c>
      <c r="T585" s="253">
        <v>964.87060546875</v>
      </c>
      <c r="U585" s="253">
        <v>984.39581298828102</v>
      </c>
      <c r="V585" s="253">
        <v>1001.30047607422</v>
      </c>
      <c r="W585" s="253">
        <v>1018.58172607422</v>
      </c>
      <c r="X585" s="253">
        <v>1036.95935058594</v>
      </c>
      <c r="Y585" s="253">
        <v>1059.12915039063</v>
      </c>
    </row>
    <row r="586" spans="1:25" x14ac:dyDescent="0.25">
      <c r="A586" s="293" t="s">
        <v>1082</v>
      </c>
      <c r="B586" s="253" t="s">
        <v>593</v>
      </c>
      <c r="C586" s="253"/>
      <c r="D586" s="253"/>
      <c r="E586" s="253"/>
      <c r="F586" s="253"/>
      <c r="G586" s="253"/>
      <c r="H586" s="253"/>
      <c r="I586" s="253"/>
      <c r="J586" s="253"/>
      <c r="K586" s="253"/>
      <c r="L586" s="253"/>
      <c r="M586" s="253"/>
      <c r="N586" s="253"/>
      <c r="O586" s="253"/>
      <c r="P586" s="253"/>
      <c r="Q586" s="253"/>
      <c r="R586" s="253"/>
      <c r="S586" s="253"/>
      <c r="T586" s="253"/>
      <c r="U586" s="253"/>
      <c r="V586" s="253"/>
      <c r="W586" s="253"/>
      <c r="X586" s="253"/>
      <c r="Y586" s="253"/>
    </row>
    <row r="587" spans="1:25" x14ac:dyDescent="0.25">
      <c r="A587" s="282" t="s">
        <v>311</v>
      </c>
      <c r="B587" s="253" t="s">
        <v>593</v>
      </c>
      <c r="C587" s="253"/>
      <c r="D587" s="253"/>
      <c r="E587" s="253"/>
      <c r="F587" s="253"/>
      <c r="G587" s="253"/>
      <c r="H587" s="253"/>
      <c r="I587" s="253"/>
      <c r="J587" s="253"/>
      <c r="K587" s="253"/>
      <c r="L587" s="253"/>
      <c r="M587" s="253"/>
      <c r="N587" s="253"/>
      <c r="O587" s="253"/>
      <c r="P587" s="253"/>
      <c r="Q587" s="253"/>
      <c r="R587" s="253"/>
      <c r="S587" s="253"/>
      <c r="T587" s="253"/>
      <c r="U587" s="253"/>
      <c r="V587" s="253"/>
      <c r="W587" s="253"/>
      <c r="X587" s="253"/>
      <c r="Y587" s="253"/>
    </row>
    <row r="588" spans="1:25" x14ac:dyDescent="0.25">
      <c r="A588" s="249" t="s">
        <v>440</v>
      </c>
      <c r="B588" s="253" t="s">
        <v>440</v>
      </c>
      <c r="C588" s="253" t="s">
        <v>440</v>
      </c>
      <c r="D588" s="253" t="s">
        <v>440</v>
      </c>
      <c r="E588" s="253" t="s">
        <v>440</v>
      </c>
      <c r="F588" s="253" t="s">
        <v>440</v>
      </c>
      <c r="G588" s="253" t="s">
        <v>440</v>
      </c>
      <c r="H588" s="253" t="s">
        <v>440</v>
      </c>
      <c r="I588" s="253" t="s">
        <v>440</v>
      </c>
      <c r="J588" s="253" t="s">
        <v>440</v>
      </c>
      <c r="K588" s="253" t="s">
        <v>440</v>
      </c>
      <c r="L588" s="253" t="s">
        <v>440</v>
      </c>
      <c r="M588" s="253" t="s">
        <v>440</v>
      </c>
      <c r="N588" s="253" t="s">
        <v>440</v>
      </c>
      <c r="O588" s="253" t="s">
        <v>440</v>
      </c>
      <c r="P588" s="253" t="s">
        <v>440</v>
      </c>
      <c r="Q588" s="253" t="s">
        <v>440</v>
      </c>
      <c r="R588" s="253" t="s">
        <v>440</v>
      </c>
      <c r="S588" s="253" t="s">
        <v>440</v>
      </c>
      <c r="T588" s="253" t="s">
        <v>440</v>
      </c>
      <c r="U588" s="253" t="s">
        <v>440</v>
      </c>
      <c r="V588" s="253" t="s">
        <v>440</v>
      </c>
      <c r="W588" s="253" t="s">
        <v>440</v>
      </c>
      <c r="X588" s="253" t="s">
        <v>440</v>
      </c>
      <c r="Y588" s="253" t="s">
        <v>440</v>
      </c>
    </row>
    <row r="589" spans="1:25" x14ac:dyDescent="0.25">
      <c r="A589" s="249" t="s">
        <v>519</v>
      </c>
      <c r="B589" s="253"/>
      <c r="C589" s="253"/>
      <c r="D589" s="253"/>
      <c r="E589" s="253"/>
      <c r="F589" s="253"/>
      <c r="G589" s="253"/>
      <c r="H589" s="253"/>
      <c r="I589" s="253"/>
      <c r="J589" s="253"/>
      <c r="K589" s="253"/>
      <c r="L589" s="253"/>
      <c r="M589" s="253"/>
      <c r="N589" s="253"/>
      <c r="O589" s="253"/>
      <c r="P589" s="253"/>
      <c r="Q589" s="253"/>
      <c r="R589" s="253"/>
      <c r="S589" s="253"/>
      <c r="T589" s="253"/>
      <c r="U589" s="253"/>
      <c r="V589" s="253"/>
      <c r="W589" s="253"/>
      <c r="X589" s="253"/>
      <c r="Y589" s="253"/>
    </row>
    <row r="590" spans="1:25" x14ac:dyDescent="0.25">
      <c r="A590" s="249" t="s">
        <v>520</v>
      </c>
      <c r="B590" s="253"/>
      <c r="C590" s="253"/>
      <c r="D590" s="253"/>
      <c r="E590" s="253"/>
      <c r="F590" s="253"/>
      <c r="G590" s="253"/>
      <c r="H590" s="253"/>
      <c r="I590" s="253"/>
      <c r="J590" s="253"/>
      <c r="K590" s="253"/>
      <c r="L590" s="253"/>
      <c r="M590" s="253"/>
      <c r="N590" s="253"/>
      <c r="O590" s="253"/>
      <c r="P590" s="253"/>
      <c r="Q590" s="253"/>
      <c r="R590" s="253"/>
      <c r="S590" s="253"/>
      <c r="T590" s="253"/>
      <c r="U590" s="253"/>
      <c r="V590" s="253"/>
      <c r="W590" s="253"/>
      <c r="X590" s="253"/>
      <c r="Y590" s="253"/>
    </row>
    <row r="591" spans="1:25" x14ac:dyDescent="0.25">
      <c r="A591" s="249" t="s">
        <v>521</v>
      </c>
      <c r="B591" s="253"/>
      <c r="C591" s="253"/>
      <c r="D591" s="253"/>
      <c r="E591" s="253"/>
      <c r="F591" s="253"/>
      <c r="G591" s="253"/>
      <c r="H591" s="253"/>
      <c r="I591" s="253"/>
      <c r="J591" s="253"/>
      <c r="K591" s="253"/>
      <c r="L591" s="253"/>
      <c r="M591" s="253"/>
      <c r="N591" s="253"/>
      <c r="O591" s="253"/>
      <c r="P591" s="253"/>
      <c r="Q591" s="253"/>
      <c r="R591" s="253"/>
      <c r="S591" s="253"/>
      <c r="T591" s="253"/>
      <c r="U591" s="253"/>
      <c r="V591" s="253"/>
      <c r="W591" s="253"/>
      <c r="X591" s="253"/>
      <c r="Y591" s="253"/>
    </row>
    <row r="592" spans="1:25" x14ac:dyDescent="0.25">
      <c r="A592" s="249" t="s">
        <v>522</v>
      </c>
      <c r="B592" s="253"/>
      <c r="C592" s="253"/>
      <c r="D592" s="253"/>
      <c r="E592" s="253"/>
      <c r="F592" s="253"/>
      <c r="G592" s="253"/>
      <c r="H592" s="253"/>
      <c r="I592" s="253"/>
      <c r="J592" s="253"/>
      <c r="K592" s="253"/>
      <c r="L592" s="253"/>
      <c r="M592" s="253"/>
      <c r="N592" s="253"/>
      <c r="O592" s="253"/>
      <c r="P592" s="253"/>
      <c r="Q592" s="253"/>
      <c r="R592" s="253"/>
      <c r="S592" s="253"/>
      <c r="T592" s="253"/>
      <c r="U592" s="253"/>
      <c r="V592" s="253"/>
      <c r="W592" s="253"/>
      <c r="X592" s="253"/>
      <c r="Y592" s="253"/>
    </row>
    <row r="593" spans="1:25" x14ac:dyDescent="0.25">
      <c r="A593" s="249" t="s">
        <v>523</v>
      </c>
      <c r="B593" s="253"/>
      <c r="C593" s="253"/>
      <c r="D593" s="253"/>
      <c r="E593" s="253"/>
      <c r="F593" s="253"/>
      <c r="G593" s="253"/>
      <c r="H593" s="253"/>
      <c r="I593" s="253"/>
      <c r="J593" s="253"/>
      <c r="K593" s="253"/>
      <c r="L593" s="253"/>
      <c r="M593" s="253"/>
      <c r="N593" s="253"/>
      <c r="O593" s="253"/>
      <c r="P593" s="253"/>
      <c r="Q593" s="253"/>
      <c r="R593" s="253"/>
      <c r="S593" s="253"/>
      <c r="T593" s="253"/>
      <c r="U593" s="253"/>
      <c r="V593" s="253"/>
      <c r="W593" s="253"/>
      <c r="X593" s="253"/>
      <c r="Y593" s="253"/>
    </row>
    <row r="594" spans="1:25" x14ac:dyDescent="0.25">
      <c r="A594" s="249" t="s">
        <v>524</v>
      </c>
      <c r="B594" s="253"/>
      <c r="C594" s="253"/>
      <c r="D594" s="253"/>
      <c r="E594" s="253"/>
      <c r="F594" s="253"/>
      <c r="G594" s="253"/>
      <c r="H594" s="253"/>
      <c r="I594" s="253"/>
      <c r="J594" s="253"/>
      <c r="K594" s="253"/>
      <c r="L594" s="253"/>
      <c r="M594" s="253"/>
      <c r="N594" s="253"/>
      <c r="O594" s="253"/>
      <c r="P594" s="253"/>
      <c r="Q594" s="253"/>
      <c r="R594" s="253"/>
      <c r="S594" s="253"/>
      <c r="T594" s="253"/>
      <c r="U594" s="253"/>
      <c r="V594" s="253"/>
      <c r="W594" s="253"/>
      <c r="X594" s="253"/>
      <c r="Y594" s="253"/>
    </row>
    <row r="595" spans="1:25" x14ac:dyDescent="0.25">
      <c r="A595" s="249" t="s">
        <v>525</v>
      </c>
      <c r="B595" s="253"/>
      <c r="C595" s="253"/>
      <c r="D595" s="253"/>
      <c r="E595" s="253"/>
      <c r="F595" s="253"/>
      <c r="G595" s="253"/>
      <c r="H595" s="253"/>
      <c r="I595" s="253"/>
      <c r="J595" s="253"/>
      <c r="K595" s="253"/>
      <c r="L595" s="253"/>
      <c r="M595" s="253"/>
      <c r="N595" s="253"/>
      <c r="O595" s="253"/>
      <c r="P595" s="253"/>
      <c r="Q595" s="253"/>
      <c r="R595" s="253"/>
      <c r="S595" s="253"/>
      <c r="T595" s="253"/>
      <c r="U595" s="253"/>
      <c r="V595" s="253"/>
      <c r="W595" s="253"/>
      <c r="X595" s="253"/>
      <c r="Y595" s="253"/>
    </row>
    <row r="596" spans="1:25" x14ac:dyDescent="0.25">
      <c r="A596" s="249" t="s">
        <v>526</v>
      </c>
      <c r="B596" s="253"/>
      <c r="C596" s="253"/>
      <c r="D596" s="253"/>
      <c r="E596" s="253"/>
      <c r="F596" s="253"/>
      <c r="G596" s="253"/>
      <c r="H596" s="253"/>
      <c r="I596" s="253"/>
      <c r="J596" s="253"/>
      <c r="K596" s="253"/>
      <c r="L596" s="253"/>
      <c r="M596" s="253"/>
      <c r="N596" s="253"/>
      <c r="O596" s="253"/>
      <c r="P596" s="253"/>
      <c r="Q596" s="253"/>
      <c r="R596" s="253"/>
      <c r="S596" s="253"/>
      <c r="T596" s="253"/>
      <c r="U596" s="253"/>
      <c r="V596" s="253"/>
      <c r="W596" s="253"/>
      <c r="X596" s="253"/>
      <c r="Y596" s="253"/>
    </row>
    <row r="597" spans="1:25" x14ac:dyDescent="0.25">
      <c r="A597" s="249" t="s">
        <v>527</v>
      </c>
      <c r="B597" s="253"/>
      <c r="C597" s="253"/>
      <c r="D597" s="253"/>
      <c r="E597" s="253"/>
      <c r="F597" s="253"/>
      <c r="G597" s="253"/>
      <c r="H597" s="253"/>
      <c r="I597" s="253"/>
      <c r="J597" s="253"/>
      <c r="K597" s="253"/>
      <c r="L597" s="253"/>
      <c r="M597" s="253"/>
      <c r="N597" s="253"/>
      <c r="O597" s="253"/>
      <c r="P597" s="253"/>
      <c r="Q597" s="253"/>
      <c r="R597" s="253"/>
      <c r="S597" s="253"/>
      <c r="T597" s="253"/>
      <c r="U597" s="253"/>
      <c r="V597" s="253"/>
      <c r="W597" s="253"/>
      <c r="X597" s="253"/>
      <c r="Y597" s="253"/>
    </row>
    <row r="598" spans="1:25" x14ac:dyDescent="0.25">
      <c r="A598" s="249" t="s">
        <v>532</v>
      </c>
      <c r="B598" s="253"/>
      <c r="C598" s="253"/>
      <c r="D598" s="253"/>
      <c r="E598" s="253"/>
      <c r="F598" s="253"/>
      <c r="G598" s="253"/>
      <c r="H598" s="253"/>
      <c r="I598" s="253"/>
      <c r="J598" s="253"/>
      <c r="K598" s="253"/>
      <c r="L598" s="253"/>
      <c r="M598" s="253"/>
      <c r="N598" s="253"/>
      <c r="O598" s="253"/>
      <c r="P598" s="253"/>
      <c r="Q598" s="253"/>
      <c r="R598" s="253"/>
      <c r="S598" s="253"/>
      <c r="T598" s="253"/>
      <c r="U598" s="253"/>
      <c r="V598" s="253"/>
      <c r="W598" s="253"/>
      <c r="X598" s="253"/>
      <c r="Y598" s="253"/>
    </row>
    <row r="599" spans="1:25" x14ac:dyDescent="0.25">
      <c r="A599" s="249" t="s">
        <v>542</v>
      </c>
      <c r="B599" s="253"/>
      <c r="C599" s="253"/>
      <c r="D599" s="253"/>
      <c r="E599" s="253"/>
      <c r="F599" s="253"/>
      <c r="G599" s="253"/>
      <c r="H599" s="253"/>
      <c r="I599" s="253"/>
      <c r="J599" s="253"/>
      <c r="K599" s="253"/>
      <c r="L599" s="253"/>
      <c r="M599" s="253"/>
      <c r="N599" s="253"/>
      <c r="O599" s="253"/>
      <c r="P599" s="253"/>
      <c r="Q599" s="253"/>
      <c r="R599" s="253"/>
      <c r="S599" s="253"/>
      <c r="T599" s="253"/>
      <c r="U599" s="253"/>
      <c r="V599" s="253"/>
      <c r="W599" s="253"/>
      <c r="X599" s="253"/>
      <c r="Y599" s="253"/>
    </row>
    <row r="600" spans="1:25" x14ac:dyDescent="0.25">
      <c r="A600" s="249" t="s">
        <v>543</v>
      </c>
      <c r="B600" s="253"/>
      <c r="C600" s="253"/>
      <c r="D600" s="253"/>
      <c r="E600" s="253"/>
      <c r="F600" s="253"/>
      <c r="G600" s="253"/>
      <c r="H600" s="253"/>
      <c r="I600" s="253"/>
      <c r="J600" s="253"/>
      <c r="K600" s="253"/>
      <c r="L600" s="253"/>
      <c r="M600" s="253"/>
      <c r="N600" s="253"/>
      <c r="O600" s="253"/>
      <c r="P600" s="253"/>
      <c r="Q600" s="253"/>
      <c r="R600" s="253"/>
      <c r="S600" s="253"/>
      <c r="T600" s="253"/>
      <c r="U600" s="253"/>
      <c r="V600" s="253"/>
      <c r="W600" s="253"/>
      <c r="X600" s="253"/>
      <c r="Y600" s="253"/>
    </row>
    <row r="601" spans="1:25" x14ac:dyDescent="0.25">
      <c r="A601" s="249" t="s">
        <v>544</v>
      </c>
      <c r="B601" s="253"/>
      <c r="C601" s="253"/>
      <c r="D601" s="253"/>
      <c r="E601" s="253"/>
      <c r="F601" s="253"/>
      <c r="G601" s="253"/>
      <c r="H601" s="253"/>
      <c r="I601" s="253"/>
      <c r="J601" s="253"/>
      <c r="K601" s="253"/>
      <c r="L601" s="253"/>
      <c r="M601" s="253"/>
      <c r="N601" s="253"/>
      <c r="O601" s="253"/>
      <c r="P601" s="253"/>
      <c r="Q601" s="253"/>
      <c r="R601" s="253"/>
      <c r="S601" s="253"/>
      <c r="T601" s="253"/>
      <c r="U601" s="253"/>
      <c r="V601" s="253"/>
      <c r="W601" s="253"/>
      <c r="X601" s="253"/>
      <c r="Y601" s="253"/>
    </row>
    <row r="602" spans="1:25" x14ac:dyDescent="0.25">
      <c r="A602" s="249" t="s">
        <v>545</v>
      </c>
      <c r="B602" s="253"/>
      <c r="C602" s="253"/>
      <c r="D602" s="253"/>
      <c r="E602" s="253"/>
      <c r="F602" s="253"/>
      <c r="G602" s="253"/>
      <c r="H602" s="253"/>
      <c r="I602" s="253"/>
      <c r="J602" s="253"/>
      <c r="K602" s="253"/>
      <c r="L602" s="253"/>
      <c r="M602" s="253"/>
      <c r="N602" s="253"/>
      <c r="O602" s="253"/>
      <c r="P602" s="253"/>
      <c r="Q602" s="253"/>
      <c r="R602" s="253"/>
      <c r="S602" s="253"/>
      <c r="T602" s="253"/>
      <c r="U602" s="253"/>
      <c r="V602" s="253"/>
      <c r="W602" s="253"/>
      <c r="X602" s="253"/>
      <c r="Y602" s="253"/>
    </row>
    <row r="603" spans="1:25" x14ac:dyDescent="0.25">
      <c r="A603" s="249" t="s">
        <v>546</v>
      </c>
      <c r="B603" s="253"/>
      <c r="C603" s="253"/>
      <c r="D603" s="253"/>
      <c r="E603" s="253"/>
      <c r="F603" s="253"/>
      <c r="G603" s="253"/>
      <c r="H603" s="253"/>
      <c r="I603" s="253"/>
      <c r="J603" s="253"/>
      <c r="K603" s="253"/>
      <c r="L603" s="253"/>
      <c r="M603" s="253"/>
      <c r="N603" s="253"/>
      <c r="O603" s="253"/>
      <c r="P603" s="253"/>
      <c r="Q603" s="253"/>
      <c r="R603" s="253"/>
      <c r="S603" s="253"/>
      <c r="T603" s="253"/>
      <c r="U603" s="253"/>
      <c r="V603" s="253"/>
      <c r="W603" s="253"/>
      <c r="X603" s="253"/>
      <c r="Y603" s="253"/>
    </row>
    <row r="604" spans="1:25" x14ac:dyDescent="0.25">
      <c r="A604" s="249" t="s">
        <v>547</v>
      </c>
      <c r="B604" s="253"/>
      <c r="C604" s="253"/>
      <c r="D604" s="253"/>
      <c r="E604" s="253"/>
      <c r="F604" s="253"/>
      <c r="G604" s="253"/>
      <c r="H604" s="253"/>
      <c r="I604" s="253"/>
      <c r="J604" s="253"/>
      <c r="K604" s="253"/>
      <c r="L604" s="253"/>
      <c r="M604" s="253"/>
      <c r="N604" s="253"/>
      <c r="O604" s="253"/>
      <c r="P604" s="253"/>
      <c r="Q604" s="253"/>
      <c r="R604" s="253"/>
      <c r="S604" s="253"/>
      <c r="T604" s="253"/>
      <c r="U604" s="253"/>
      <c r="V604" s="253"/>
      <c r="W604" s="253"/>
      <c r="X604" s="253"/>
      <c r="Y604" s="253"/>
    </row>
    <row r="605" spans="1:25" x14ac:dyDescent="0.25">
      <c r="A605" s="249" t="s">
        <v>548</v>
      </c>
      <c r="B605" s="253"/>
      <c r="C605" s="253"/>
      <c r="D605" s="253"/>
      <c r="E605" s="253"/>
      <c r="F605" s="253"/>
      <c r="G605" s="253"/>
      <c r="H605" s="253"/>
      <c r="I605" s="253"/>
      <c r="J605" s="253"/>
      <c r="K605" s="253"/>
      <c r="L605" s="253"/>
      <c r="M605" s="253"/>
      <c r="N605" s="253"/>
      <c r="O605" s="253"/>
      <c r="P605" s="253"/>
      <c r="Q605" s="253"/>
      <c r="R605" s="253"/>
      <c r="S605" s="253"/>
      <c r="T605" s="253"/>
      <c r="U605" s="253"/>
      <c r="V605" s="253"/>
      <c r="W605" s="253"/>
      <c r="X605" s="253"/>
      <c r="Y605" s="253"/>
    </row>
    <row r="606" spans="1:25" x14ac:dyDescent="0.25">
      <c r="A606" s="249" t="s">
        <v>552</v>
      </c>
      <c r="B606" s="253"/>
      <c r="C606" s="253"/>
      <c r="D606" s="253"/>
      <c r="E606" s="253"/>
      <c r="F606" s="253"/>
      <c r="G606" s="253"/>
      <c r="H606" s="253"/>
      <c r="I606" s="253"/>
      <c r="J606" s="253"/>
      <c r="K606" s="253"/>
      <c r="L606" s="253"/>
      <c r="M606" s="253"/>
      <c r="N606" s="253"/>
      <c r="O606" s="253"/>
      <c r="P606" s="253"/>
      <c r="Q606" s="253"/>
      <c r="R606" s="253"/>
      <c r="S606" s="253"/>
      <c r="T606" s="253"/>
      <c r="U606" s="253"/>
      <c r="V606" s="253"/>
      <c r="W606" s="253"/>
      <c r="X606" s="253"/>
      <c r="Y606" s="253"/>
    </row>
    <row r="607" spans="1:25" x14ac:dyDescent="0.25">
      <c r="A607" s="249" t="s">
        <v>553</v>
      </c>
      <c r="B607" s="253"/>
      <c r="C607" s="253"/>
      <c r="D607" s="253"/>
      <c r="E607" s="253"/>
      <c r="F607" s="253"/>
      <c r="G607" s="253"/>
      <c r="H607" s="253"/>
      <c r="I607" s="253"/>
      <c r="J607" s="253"/>
      <c r="K607" s="253"/>
      <c r="L607" s="253"/>
      <c r="M607" s="253"/>
      <c r="N607" s="253"/>
      <c r="O607" s="253"/>
      <c r="P607" s="253"/>
      <c r="Q607" s="253"/>
      <c r="R607" s="253"/>
      <c r="S607" s="253"/>
      <c r="T607" s="253"/>
      <c r="U607" s="253"/>
      <c r="V607" s="253"/>
      <c r="W607" s="253"/>
      <c r="X607" s="253"/>
      <c r="Y607" s="253"/>
    </row>
    <row r="608" spans="1:25" x14ac:dyDescent="0.25">
      <c r="A608" s="249" t="s">
        <v>554</v>
      </c>
      <c r="B608" s="253"/>
      <c r="C608" s="253"/>
      <c r="D608" s="253"/>
      <c r="E608" s="253"/>
      <c r="F608" s="253"/>
      <c r="G608" s="253"/>
      <c r="H608" s="253"/>
      <c r="I608" s="253"/>
      <c r="J608" s="253"/>
      <c r="K608" s="253"/>
      <c r="L608" s="253"/>
      <c r="M608" s="253"/>
      <c r="N608" s="253"/>
      <c r="O608" s="253"/>
      <c r="P608" s="253"/>
      <c r="Q608" s="253"/>
      <c r="R608" s="253"/>
      <c r="S608" s="253"/>
      <c r="T608" s="253"/>
      <c r="U608" s="253"/>
      <c r="V608" s="253"/>
      <c r="W608" s="253"/>
      <c r="X608" s="253"/>
      <c r="Y608" s="253"/>
    </row>
    <row r="609" spans="1:26" x14ac:dyDescent="0.25">
      <c r="A609" s="249" t="s">
        <v>555</v>
      </c>
      <c r="B609" s="253"/>
      <c r="C609" s="253"/>
      <c r="D609" s="253"/>
      <c r="E609" s="253"/>
      <c r="F609" s="253"/>
      <c r="G609" s="253"/>
      <c r="H609" s="253"/>
      <c r="I609" s="253"/>
      <c r="J609" s="253"/>
      <c r="K609" s="253"/>
      <c r="L609" s="253"/>
      <c r="M609" s="253"/>
      <c r="N609" s="253"/>
      <c r="O609" s="253"/>
      <c r="P609" s="253"/>
      <c r="Q609" s="253"/>
      <c r="R609" s="253"/>
      <c r="S609" s="253"/>
      <c r="T609" s="253"/>
      <c r="U609" s="253"/>
      <c r="V609" s="253"/>
      <c r="W609" s="253"/>
      <c r="X609" s="253"/>
      <c r="Y609" s="253"/>
    </row>
    <row r="610" spans="1:26" x14ac:dyDescent="0.25">
      <c r="A610" s="249" t="s">
        <v>556</v>
      </c>
      <c r="B610" s="253"/>
      <c r="C610" s="253"/>
      <c r="D610" s="253"/>
      <c r="E610" s="253"/>
      <c r="F610" s="253"/>
      <c r="G610" s="253"/>
      <c r="H610" s="253"/>
      <c r="I610" s="253"/>
      <c r="J610" s="253"/>
      <c r="K610" s="253"/>
      <c r="L610" s="253"/>
      <c r="M610" s="253"/>
      <c r="N610" s="253"/>
      <c r="O610" s="253"/>
      <c r="P610" s="253"/>
      <c r="Q610" s="253"/>
      <c r="R610" s="253"/>
      <c r="S610" s="253"/>
      <c r="T610" s="253"/>
      <c r="U610" s="253"/>
      <c r="V610" s="253"/>
      <c r="W610" s="253"/>
      <c r="X610" s="253"/>
      <c r="Y610" s="253"/>
    </row>
    <row r="611" spans="1:26" x14ac:dyDescent="0.25">
      <c r="A611" s="249" t="s">
        <v>557</v>
      </c>
      <c r="B611" s="253"/>
      <c r="C611" s="253"/>
      <c r="D611" s="253"/>
      <c r="E611" s="253"/>
      <c r="F611" s="253"/>
      <c r="G611" s="253"/>
      <c r="H611" s="253"/>
      <c r="I611" s="253"/>
      <c r="J611" s="253"/>
      <c r="K611" s="253"/>
      <c r="L611" s="253"/>
      <c r="M611" s="253"/>
      <c r="N611" s="253"/>
      <c r="O611" s="253"/>
      <c r="P611" s="253"/>
      <c r="Q611" s="253"/>
      <c r="R611" s="253"/>
      <c r="S611" s="253"/>
      <c r="T611" s="253"/>
      <c r="U611" s="253"/>
      <c r="V611" s="253"/>
      <c r="W611" s="253"/>
      <c r="X611" s="253"/>
      <c r="Y611" s="253"/>
    </row>
    <row r="612" spans="1:26" x14ac:dyDescent="0.25">
      <c r="A612" s="249" t="s">
        <v>558</v>
      </c>
      <c r="B612" s="253"/>
      <c r="C612" s="253"/>
      <c r="D612" s="253"/>
      <c r="E612" s="253"/>
      <c r="F612" s="253"/>
      <c r="G612" s="253"/>
      <c r="H612" s="253"/>
      <c r="I612" s="253"/>
      <c r="J612" s="253"/>
      <c r="K612" s="253"/>
      <c r="L612" s="253"/>
      <c r="M612" s="253"/>
      <c r="N612" s="253"/>
      <c r="O612" s="253"/>
      <c r="P612" s="253"/>
      <c r="Q612" s="253"/>
      <c r="R612" s="253"/>
      <c r="S612" s="253"/>
      <c r="T612" s="253"/>
      <c r="U612" s="253"/>
      <c r="V612" s="253"/>
      <c r="W612" s="253"/>
      <c r="X612" s="253"/>
      <c r="Y612" s="253"/>
    </row>
    <row r="613" spans="1:26" x14ac:dyDescent="0.25">
      <c r="A613" s="249" t="s">
        <v>559</v>
      </c>
      <c r="B613" s="253"/>
      <c r="C613" s="253"/>
      <c r="D613" s="253"/>
      <c r="E613" s="253"/>
      <c r="F613" s="253"/>
      <c r="G613" s="253"/>
      <c r="H613" s="253"/>
      <c r="I613" s="253"/>
      <c r="J613" s="253"/>
      <c r="K613" s="253"/>
      <c r="L613" s="253"/>
      <c r="M613" s="253"/>
      <c r="N613" s="253"/>
      <c r="O613" s="253"/>
      <c r="P613" s="253"/>
      <c r="Q613" s="253"/>
      <c r="R613" s="253"/>
      <c r="S613" s="253"/>
      <c r="T613" s="253"/>
      <c r="U613" s="253"/>
      <c r="V613" s="253"/>
      <c r="W613" s="253"/>
      <c r="X613" s="253"/>
      <c r="Y613" s="253"/>
    </row>
    <row r="614" spans="1:26" ht="13.8" thickBot="1" x14ac:dyDescent="0.3">
      <c r="A614" s="254" t="s">
        <v>560</v>
      </c>
      <c r="B614" s="255"/>
      <c r="C614" s="255"/>
      <c r="D614" s="255"/>
      <c r="E614" s="255"/>
      <c r="F614" s="255"/>
      <c r="G614" s="255"/>
      <c r="H614" s="255"/>
      <c r="I614" s="255"/>
      <c r="J614" s="255"/>
      <c r="K614" s="255"/>
      <c r="L614" s="255"/>
      <c r="M614" s="255"/>
      <c r="N614" s="255"/>
      <c r="O614" s="255"/>
      <c r="P614" s="255"/>
      <c r="Q614" s="255"/>
      <c r="R614" s="255"/>
      <c r="S614" s="255"/>
      <c r="T614" s="255"/>
      <c r="U614" s="255"/>
      <c r="V614" s="255"/>
      <c r="W614" s="255"/>
      <c r="X614" s="255"/>
      <c r="Y614" s="255"/>
    </row>
    <row r="615" spans="1:26" x14ac:dyDescent="0.25">
      <c r="A615" s="39"/>
      <c r="B615" s="39"/>
      <c r="C615" s="39"/>
      <c r="D615" s="39"/>
      <c r="E615" s="39"/>
      <c r="F615" s="39"/>
      <c r="G615" s="39"/>
      <c r="H615" s="39"/>
      <c r="I615" s="39"/>
      <c r="J615" s="39"/>
      <c r="K615" s="39"/>
      <c r="L615" s="39"/>
      <c r="M615" s="39"/>
      <c r="N615" s="39"/>
      <c r="O615" s="39"/>
      <c r="P615" s="39"/>
      <c r="Q615" s="39"/>
      <c r="R615" s="39"/>
      <c r="S615" s="39"/>
      <c r="T615" s="39"/>
      <c r="U615" s="39"/>
      <c r="V615" s="39"/>
      <c r="W615" s="39"/>
      <c r="X615" s="39"/>
      <c r="Y615" s="39"/>
      <c r="Z615" s="39"/>
    </row>
    <row r="616" spans="1:26" x14ac:dyDescent="0.25">
      <c r="A616" s="39"/>
      <c r="B616" s="39"/>
      <c r="C616" s="39"/>
      <c r="D616" s="39"/>
      <c r="E616" s="39"/>
      <c r="F616" s="39"/>
      <c r="G616" s="39"/>
      <c r="H616" s="39"/>
      <c r="I616" s="39"/>
      <c r="J616" s="39"/>
      <c r="K616" s="39"/>
      <c r="L616" s="39"/>
      <c r="M616" s="39"/>
      <c r="N616" s="39"/>
      <c r="O616" s="39"/>
      <c r="P616" s="39"/>
      <c r="Q616" s="39"/>
      <c r="R616" s="39"/>
      <c r="S616" s="39"/>
      <c r="T616" s="39"/>
      <c r="U616" s="39"/>
      <c r="V616" s="39"/>
      <c r="W616" s="39"/>
      <c r="X616" s="39"/>
      <c r="Y616" s="39"/>
      <c r="Z616" s="39"/>
    </row>
    <row r="617" spans="1:26" ht="13.8" thickBot="1" x14ac:dyDescent="0.3">
      <c r="A617" s="39"/>
      <c r="B617" s="39"/>
      <c r="C617" s="39"/>
      <c r="D617" s="39"/>
      <c r="E617" s="39"/>
      <c r="F617" s="39"/>
      <c r="G617" s="39"/>
      <c r="H617" s="39"/>
      <c r="I617" s="39"/>
      <c r="J617" s="39"/>
      <c r="K617" s="39"/>
      <c r="L617" s="39"/>
      <c r="M617" s="39"/>
      <c r="N617" s="39"/>
      <c r="O617" s="39"/>
      <c r="P617" s="39"/>
      <c r="Q617" s="39"/>
      <c r="R617" s="39"/>
      <c r="S617" s="39"/>
      <c r="T617" s="39"/>
      <c r="U617" s="39"/>
      <c r="V617" s="39"/>
      <c r="W617" s="39"/>
      <c r="X617" s="39"/>
      <c r="Y617" s="39"/>
      <c r="Z617" s="39"/>
    </row>
    <row r="618" spans="1:26" x14ac:dyDescent="0.25">
      <c r="A618" s="256" t="s">
        <v>561</v>
      </c>
      <c r="B618" s="257"/>
      <c r="C618" s="257" t="s">
        <v>862</v>
      </c>
      <c r="D618" s="257"/>
      <c r="E618" s="257"/>
      <c r="F618" s="257"/>
      <c r="G618" s="257"/>
      <c r="H618" s="257"/>
      <c r="I618" s="257"/>
      <c r="J618" s="257"/>
      <c r="K618" s="257"/>
      <c r="L618" s="257"/>
      <c r="M618" s="257"/>
      <c r="N618" s="257"/>
      <c r="O618" s="257"/>
      <c r="P618" s="257"/>
      <c r="Q618" s="257"/>
      <c r="R618" s="257"/>
      <c r="S618" s="257"/>
      <c r="T618" s="257"/>
      <c r="U618" s="257"/>
      <c r="V618" s="257"/>
      <c r="W618" s="257"/>
      <c r="X618" s="257"/>
      <c r="Y618" s="257"/>
    </row>
    <row r="619" spans="1:26" x14ac:dyDescent="0.25">
      <c r="A619" s="258" t="s">
        <v>562</v>
      </c>
      <c r="B619" s="250"/>
      <c r="C619" s="1729" t="s">
        <v>867</v>
      </c>
      <c r="D619" s="1729"/>
      <c r="E619" s="1729"/>
      <c r="F619" s="1729"/>
      <c r="G619" s="1729"/>
      <c r="H619" s="1729"/>
      <c r="I619" s="1729"/>
      <c r="J619" s="1729"/>
      <c r="K619" s="1729"/>
      <c r="L619" s="1729"/>
      <c r="M619" s="1729"/>
      <c r="N619" s="1729"/>
      <c r="O619" s="1729"/>
      <c r="P619" s="1729"/>
      <c r="Q619" s="1729"/>
      <c r="R619" s="1729"/>
      <c r="S619" s="1729"/>
      <c r="T619" s="1729"/>
      <c r="U619" s="1729"/>
      <c r="V619" s="1729"/>
      <c r="W619" s="1729"/>
      <c r="X619" s="1729"/>
      <c r="Y619" s="1729"/>
    </row>
    <row r="620" spans="1:26" x14ac:dyDescent="0.25">
      <c r="A620" s="249" t="s">
        <v>563</v>
      </c>
      <c r="B620" s="250"/>
      <c r="C620" s="1729" t="s">
        <v>868</v>
      </c>
      <c r="D620" s="1729"/>
      <c r="E620" s="1729"/>
      <c r="F620" s="1729"/>
      <c r="G620" s="1729"/>
      <c r="H620" s="1729"/>
      <c r="I620" s="1729"/>
      <c r="J620" s="1729"/>
      <c r="K620" s="1729"/>
      <c r="L620" s="1729"/>
      <c r="M620" s="1729"/>
      <c r="N620" s="1729"/>
      <c r="O620" s="1729"/>
      <c r="P620" s="1729"/>
      <c r="Q620" s="1729"/>
      <c r="R620" s="1729"/>
      <c r="S620" s="1729"/>
      <c r="T620" s="1729"/>
      <c r="U620" s="1729"/>
      <c r="V620" s="1729"/>
      <c r="W620" s="1729"/>
      <c r="X620" s="1729"/>
      <c r="Y620" s="1729"/>
    </row>
    <row r="621" spans="1:26" x14ac:dyDescent="0.25">
      <c r="A621" s="251" t="s">
        <v>446</v>
      </c>
      <c r="B621" s="250"/>
      <c r="C621" s="250"/>
      <c r="D621" s="250"/>
      <c r="E621" s="250"/>
      <c r="F621" s="250"/>
      <c r="G621" s="250"/>
      <c r="H621" s="250"/>
      <c r="I621" s="250"/>
      <c r="J621" s="250"/>
      <c r="K621" s="250"/>
      <c r="L621" s="250"/>
      <c r="M621" s="250"/>
      <c r="N621" s="250"/>
      <c r="O621" s="250"/>
      <c r="P621" s="250"/>
      <c r="Q621" s="250"/>
      <c r="R621" s="250"/>
      <c r="S621" s="250"/>
      <c r="T621" s="250"/>
      <c r="U621" s="250"/>
      <c r="V621" s="250"/>
      <c r="W621" s="250"/>
      <c r="X621" s="250"/>
      <c r="Y621" s="250"/>
    </row>
    <row r="622" spans="1:26" x14ac:dyDescent="0.25">
      <c r="A622" s="249"/>
      <c r="B622" s="250"/>
      <c r="C622" s="295"/>
      <c r="D622" s="250"/>
      <c r="E622" s="250"/>
      <c r="F622" s="250"/>
      <c r="G622" s="250"/>
      <c r="H622" s="250"/>
      <c r="I622" s="250"/>
      <c r="J622" s="250"/>
      <c r="K622" s="250"/>
      <c r="L622" s="250"/>
      <c r="M622" s="250"/>
      <c r="N622" s="250"/>
      <c r="O622" s="250"/>
      <c r="P622" s="250"/>
      <c r="Q622" s="250"/>
      <c r="R622" s="250"/>
      <c r="S622" s="250"/>
      <c r="T622" s="250"/>
      <c r="U622" s="250"/>
      <c r="V622" s="250"/>
      <c r="W622" s="250"/>
      <c r="X622" s="250"/>
      <c r="Y622" s="250"/>
    </row>
    <row r="623" spans="1:26" x14ac:dyDescent="0.25">
      <c r="A623" s="249" t="s">
        <v>447</v>
      </c>
      <c r="B623" s="250"/>
      <c r="C623" s="250"/>
      <c r="D623" s="250"/>
      <c r="E623" s="250"/>
      <c r="F623" s="250"/>
      <c r="G623" s="250"/>
      <c r="H623" s="250"/>
      <c r="I623" s="250"/>
      <c r="J623" s="250"/>
      <c r="K623" s="250"/>
      <c r="L623" s="250"/>
      <c r="M623" s="250"/>
      <c r="N623" s="250"/>
      <c r="O623" s="250"/>
      <c r="P623" s="250"/>
      <c r="Q623" s="250"/>
      <c r="R623" s="250"/>
      <c r="S623" s="250"/>
      <c r="T623" s="250"/>
      <c r="U623" s="250"/>
      <c r="V623" s="250"/>
      <c r="W623" s="250"/>
      <c r="X623" s="250"/>
      <c r="Y623" s="250"/>
    </row>
    <row r="624" spans="1:26" x14ac:dyDescent="0.25">
      <c r="A624" s="249" t="s">
        <v>448</v>
      </c>
      <c r="B624" s="250"/>
      <c r="C624" s="250"/>
      <c r="D624" s="250"/>
      <c r="E624" s="250"/>
      <c r="F624" s="250"/>
      <c r="G624" s="250"/>
      <c r="H624" s="250"/>
      <c r="I624" s="250"/>
      <c r="J624" s="250"/>
      <c r="K624" s="250"/>
      <c r="L624" s="250"/>
      <c r="M624" s="250"/>
      <c r="N624" s="250"/>
      <c r="O624" s="250"/>
      <c r="P624" s="250"/>
      <c r="Q624" s="250"/>
      <c r="R624" s="250"/>
      <c r="S624" s="250"/>
      <c r="T624" s="250"/>
      <c r="U624" s="250"/>
      <c r="V624" s="250"/>
      <c r="W624" s="250"/>
      <c r="X624" s="250"/>
      <c r="Y624" s="250"/>
    </row>
    <row r="625" spans="1:26" x14ac:dyDescent="0.25">
      <c r="A625" s="249"/>
      <c r="B625" s="250"/>
      <c r="C625" s="250"/>
      <c r="D625" s="250"/>
      <c r="E625" s="250"/>
      <c r="F625" s="250"/>
      <c r="G625" s="250"/>
      <c r="H625" s="250"/>
      <c r="I625" s="250"/>
      <c r="J625" s="250"/>
      <c r="K625" s="250"/>
      <c r="L625" s="250"/>
      <c r="M625" s="250"/>
      <c r="N625" s="250"/>
      <c r="O625" s="250"/>
      <c r="P625" s="250"/>
      <c r="Q625" s="250"/>
      <c r="R625" s="250"/>
      <c r="S625" s="250"/>
      <c r="T625" s="250"/>
      <c r="U625" s="250"/>
      <c r="V625" s="250"/>
      <c r="W625" s="250"/>
      <c r="X625" s="250"/>
      <c r="Y625" s="250"/>
      <c r="Z625" t="s">
        <v>591</v>
      </c>
    </row>
    <row r="626" spans="1:26" x14ac:dyDescent="0.25">
      <c r="A626" s="249" t="s">
        <v>440</v>
      </c>
      <c r="B626" s="250" t="s">
        <v>449</v>
      </c>
      <c r="C626" s="250" t="s">
        <v>450</v>
      </c>
      <c r="D626" s="250" t="s">
        <v>451</v>
      </c>
      <c r="E626" s="250" t="s">
        <v>452</v>
      </c>
      <c r="F626" s="250" t="s">
        <v>453</v>
      </c>
      <c r="G626" s="250" t="s">
        <v>454</v>
      </c>
      <c r="H626" s="250" t="s">
        <v>455</v>
      </c>
      <c r="I626" s="250" t="s">
        <v>456</v>
      </c>
      <c r="J626" s="250" t="s">
        <v>457</v>
      </c>
      <c r="K626" s="250" t="s">
        <v>458</v>
      </c>
      <c r="L626" s="250" t="s">
        <v>459</v>
      </c>
      <c r="M626" s="250" t="s">
        <v>460</v>
      </c>
      <c r="N626" s="250" t="s">
        <v>461</v>
      </c>
      <c r="O626" s="250" t="s">
        <v>462</v>
      </c>
      <c r="P626" s="250" t="s">
        <v>463</v>
      </c>
      <c r="Q626" s="250" t="s">
        <v>464</v>
      </c>
      <c r="R626" s="250" t="s">
        <v>465</v>
      </c>
      <c r="S626" s="250" t="s">
        <v>466</v>
      </c>
      <c r="T626" s="250" t="s">
        <v>467</v>
      </c>
      <c r="U626" s="250" t="s">
        <v>468</v>
      </c>
      <c r="V626" s="250" t="s">
        <v>469</v>
      </c>
      <c r="W626" s="250" t="s">
        <v>470</v>
      </c>
      <c r="X626" s="250" t="s">
        <v>471</v>
      </c>
      <c r="Y626" s="250" t="s">
        <v>472</v>
      </c>
      <c r="Z626">
        <v>2026</v>
      </c>
    </row>
    <row r="627" spans="1:26" x14ac:dyDescent="0.25">
      <c r="A627" s="249" t="s">
        <v>440</v>
      </c>
      <c r="B627" s="250" t="s">
        <v>440</v>
      </c>
      <c r="C627" s="250" t="s">
        <v>440</v>
      </c>
      <c r="D627" s="250" t="s">
        <v>440</v>
      </c>
      <c r="E627" s="250" t="s">
        <v>440</v>
      </c>
      <c r="F627" s="250" t="s">
        <v>440</v>
      </c>
      <c r="G627" s="250" t="s">
        <v>440</v>
      </c>
      <c r="H627" s="250" t="s">
        <v>440</v>
      </c>
      <c r="I627" s="250" t="s">
        <v>440</v>
      </c>
      <c r="J627" s="250" t="s">
        <v>440</v>
      </c>
      <c r="K627" s="250" t="s">
        <v>440</v>
      </c>
      <c r="L627" s="250" t="s">
        <v>440</v>
      </c>
      <c r="M627" s="250" t="s">
        <v>440</v>
      </c>
      <c r="N627" s="250" t="s">
        <v>440</v>
      </c>
      <c r="O627" s="250" t="s">
        <v>440</v>
      </c>
      <c r="P627" s="250" t="s">
        <v>440</v>
      </c>
      <c r="Q627" s="250" t="s">
        <v>440</v>
      </c>
      <c r="R627" s="250" t="s">
        <v>440</v>
      </c>
      <c r="S627" s="250" t="s">
        <v>440</v>
      </c>
      <c r="T627" s="250" t="s">
        <v>440</v>
      </c>
      <c r="U627" s="250" t="s">
        <v>440</v>
      </c>
      <c r="V627" s="250" t="s">
        <v>440</v>
      </c>
      <c r="W627" s="250" t="s">
        <v>440</v>
      </c>
      <c r="X627" s="250" t="s">
        <v>440</v>
      </c>
      <c r="Y627" s="250" t="s">
        <v>440</v>
      </c>
    </row>
    <row r="628" spans="1:26" x14ac:dyDescent="0.25">
      <c r="A628" s="249" t="s">
        <v>473</v>
      </c>
      <c r="B628" s="253">
        <v>15.0220499038696</v>
      </c>
      <c r="C628" s="253">
        <v>15.811363220214799</v>
      </c>
      <c r="D628" s="253">
        <v>16.426000595092798</v>
      </c>
      <c r="E628" s="253">
        <v>16.4650573730469</v>
      </c>
      <c r="F628" s="253">
        <v>15.8399600982666</v>
      </c>
      <c r="G628" s="253">
        <v>15.268068313598601</v>
      </c>
      <c r="H628" s="253">
        <v>14.8466091156006</v>
      </c>
      <c r="I628" s="253">
        <v>14.7514638900757</v>
      </c>
      <c r="J628" s="253">
        <v>14.6550188064575</v>
      </c>
      <c r="K628" s="253">
        <v>14.6146650314331</v>
      </c>
      <c r="L628" s="253">
        <v>14.723385810852101</v>
      </c>
      <c r="M628" s="253">
        <v>14.890528678894</v>
      </c>
      <c r="N628" s="253">
        <v>15.1057291030884</v>
      </c>
      <c r="O628" s="253">
        <v>15.213768959045399</v>
      </c>
      <c r="P628" s="253">
        <v>15.3079509735107</v>
      </c>
      <c r="Q628" s="253">
        <v>15.3113193511963</v>
      </c>
      <c r="R628" s="253">
        <v>15.4291744232178</v>
      </c>
      <c r="S628" s="253">
        <v>15.6326360702515</v>
      </c>
      <c r="T628" s="253">
        <v>15.9024982452393</v>
      </c>
      <c r="U628" s="253">
        <v>16.1096382141113</v>
      </c>
      <c r="V628" s="253">
        <v>16.157627105712901</v>
      </c>
      <c r="W628" s="253">
        <v>16.2051906585693</v>
      </c>
      <c r="X628" s="253">
        <v>16.309419631958001</v>
      </c>
      <c r="Y628" s="253">
        <v>16.471462249755898</v>
      </c>
    </row>
    <row r="629" spans="1:26" x14ac:dyDescent="0.25">
      <c r="A629" s="249" t="s">
        <v>474</v>
      </c>
      <c r="B629" s="253">
        <v>8.3285751342773402</v>
      </c>
      <c r="C629" s="253">
        <v>9.67810153961182</v>
      </c>
      <c r="D629" s="253">
        <v>10.65163230896</v>
      </c>
      <c r="E629" s="253">
        <v>10.5740642547607</v>
      </c>
      <c r="F629" s="253">
        <v>9.9307842254638707</v>
      </c>
      <c r="G629" s="253">
        <v>9.5159215927124006</v>
      </c>
      <c r="H629" s="253">
        <v>9.1046285629272496</v>
      </c>
      <c r="I629" s="253">
        <v>8.8910932540893608</v>
      </c>
      <c r="J629" s="253">
        <v>8.7197055816650408</v>
      </c>
      <c r="K629" s="253">
        <v>8.6297874450683594</v>
      </c>
      <c r="L629" s="253">
        <v>8.6824674606323207</v>
      </c>
      <c r="M629" s="253">
        <v>8.7884712219238299</v>
      </c>
      <c r="N629" s="253">
        <v>8.9080095291137695</v>
      </c>
      <c r="O629" s="253">
        <v>9.0072793960571307</v>
      </c>
      <c r="P629" s="253">
        <v>9.0682640075683594</v>
      </c>
      <c r="Q629" s="253">
        <v>9.0415534973144496</v>
      </c>
      <c r="R629" s="253">
        <v>9.1060371398925799</v>
      </c>
      <c r="S629" s="253">
        <v>9.2553215026855504</v>
      </c>
      <c r="T629" s="253">
        <v>9.4607038497924805</v>
      </c>
      <c r="U629" s="253">
        <v>9.6327857971191406</v>
      </c>
      <c r="V629" s="253">
        <v>9.6968526840209996</v>
      </c>
      <c r="W629" s="253">
        <v>9.7728433609008807</v>
      </c>
      <c r="X629" s="253">
        <v>9.8535881042480504</v>
      </c>
      <c r="Y629" s="253">
        <v>9.9786624908447301</v>
      </c>
    </row>
    <row r="630" spans="1:26" x14ac:dyDescent="0.25">
      <c r="A630" s="249" t="s">
        <v>475</v>
      </c>
      <c r="B630" s="253">
        <v>10.0436496734619</v>
      </c>
      <c r="C630" s="253">
        <v>11.266843795776399</v>
      </c>
      <c r="D630" s="253">
        <v>13.0600233078003</v>
      </c>
      <c r="E630" s="253">
        <v>12.5262851715088</v>
      </c>
      <c r="F630" s="253">
        <v>12.207064628601101</v>
      </c>
      <c r="G630" s="253">
        <v>12.234001159668001</v>
      </c>
      <c r="H630" s="253">
        <v>12.201937675476101</v>
      </c>
      <c r="I630" s="253">
        <v>12.2015285491943</v>
      </c>
      <c r="J630" s="253">
        <v>12.262092590331999</v>
      </c>
      <c r="K630" s="253">
        <v>12.1512393951416</v>
      </c>
      <c r="L630" s="253">
        <v>12.1732091903687</v>
      </c>
      <c r="M630" s="253">
        <v>12.1968584060669</v>
      </c>
      <c r="N630" s="253">
        <v>12.177050590515099</v>
      </c>
      <c r="O630" s="253">
        <v>12.2115392684937</v>
      </c>
      <c r="P630" s="253">
        <v>12.3804988861084</v>
      </c>
      <c r="Q630" s="253">
        <v>12.519121170043899</v>
      </c>
      <c r="R630" s="253">
        <v>12.6585578918457</v>
      </c>
      <c r="S630" s="253">
        <v>12.798875808715801</v>
      </c>
      <c r="T630" s="253">
        <v>12.8676557540894</v>
      </c>
      <c r="U630" s="253">
        <v>13.13560962677</v>
      </c>
      <c r="V630" s="253">
        <v>13.328717231750501</v>
      </c>
      <c r="W630" s="253">
        <v>13.556846618652299</v>
      </c>
      <c r="X630" s="253">
        <v>13.722979545593301</v>
      </c>
      <c r="Y630" s="253">
        <v>13.940701484680201</v>
      </c>
    </row>
    <row r="631" spans="1:26" x14ac:dyDescent="0.25">
      <c r="A631" s="249" t="s">
        <v>476</v>
      </c>
      <c r="B631" s="253">
        <v>8.3698368072509801</v>
      </c>
      <c r="C631" s="253">
        <v>9.5702075958252006</v>
      </c>
      <c r="D631" s="253">
        <v>10.537187576293899</v>
      </c>
      <c r="E631" s="253">
        <v>10.120927810668899</v>
      </c>
      <c r="F631" s="253">
        <v>9.8627185821533203</v>
      </c>
      <c r="G631" s="253">
        <v>9.8399791717529297</v>
      </c>
      <c r="H631" s="253">
        <v>9.8302927017211896</v>
      </c>
      <c r="I631" s="253">
        <v>9.8297405242919904</v>
      </c>
      <c r="J631" s="253">
        <v>9.8252134323120099</v>
      </c>
      <c r="K631" s="253">
        <v>9.7093524932861293</v>
      </c>
      <c r="L631" s="253">
        <v>9.7021694183349592</v>
      </c>
      <c r="M631" s="253">
        <v>9.7383060455322301</v>
      </c>
      <c r="N631" s="253">
        <v>9.80072116851807</v>
      </c>
      <c r="O631" s="253">
        <v>9.7244081497192401</v>
      </c>
      <c r="P631" s="253">
        <v>9.8378829956054705</v>
      </c>
      <c r="Q631" s="253">
        <v>9.8340024948120099</v>
      </c>
      <c r="R631" s="253">
        <v>9.9226865768432599</v>
      </c>
      <c r="S631" s="253">
        <v>10.0213985443115</v>
      </c>
      <c r="T631" s="253">
        <v>10.078977584838899</v>
      </c>
      <c r="U631" s="253">
        <v>10.280327796936</v>
      </c>
      <c r="V631" s="253">
        <v>10.3802833557129</v>
      </c>
      <c r="W631" s="253">
        <v>10.4678192138672</v>
      </c>
      <c r="X631" s="253">
        <v>10.5482635498047</v>
      </c>
      <c r="Y631" s="253">
        <v>10.6469841003418</v>
      </c>
    </row>
    <row r="632" spans="1:26" x14ac:dyDescent="0.25">
      <c r="A632" s="249" t="s">
        <v>477</v>
      </c>
      <c r="B632" s="253">
        <v>12.976583480835</v>
      </c>
      <c r="C632" s="253">
        <v>14.582922935485801</v>
      </c>
      <c r="D632" s="253">
        <v>17.570188522338899</v>
      </c>
      <c r="E632" s="253">
        <v>17.073205947876001</v>
      </c>
      <c r="F632" s="253">
        <v>16.564285278320298</v>
      </c>
      <c r="G632" s="253">
        <v>16.581449508666999</v>
      </c>
      <c r="H632" s="253">
        <v>16.4250888824463</v>
      </c>
      <c r="I632" s="253">
        <v>16.346086502075199</v>
      </c>
      <c r="J632" s="253">
        <v>16.4532871246338</v>
      </c>
      <c r="K632" s="253">
        <v>16.288703918456999</v>
      </c>
      <c r="L632" s="253">
        <v>16.298521041870099</v>
      </c>
      <c r="M632" s="253">
        <v>16.236286163330099</v>
      </c>
      <c r="N632" s="253">
        <v>15.99489402771</v>
      </c>
      <c r="O632" s="253">
        <v>16.1197624206543</v>
      </c>
      <c r="P632" s="253">
        <v>16.286623001098601</v>
      </c>
      <c r="Q632" s="253">
        <v>16.56103515625</v>
      </c>
      <c r="R632" s="253">
        <v>16.690963745117202</v>
      </c>
      <c r="S632" s="253">
        <v>16.804660797119102</v>
      </c>
      <c r="T632" s="253">
        <v>16.7820129394531</v>
      </c>
      <c r="U632" s="253">
        <v>17.028240203857401</v>
      </c>
      <c r="V632" s="253">
        <v>17.2251377105713</v>
      </c>
      <c r="W632" s="253">
        <v>17.515983581543001</v>
      </c>
      <c r="X632" s="253">
        <v>17.670423507690401</v>
      </c>
      <c r="Y632" s="253">
        <v>17.9113578796387</v>
      </c>
    </row>
    <row r="633" spans="1:26" x14ac:dyDescent="0.25">
      <c r="A633" s="249" t="s">
        <v>478</v>
      </c>
      <c r="B633" s="253">
        <v>7.8179483413696298</v>
      </c>
      <c r="C633" s="253">
        <v>9.2187824249267596</v>
      </c>
      <c r="D633" s="253">
        <v>9.9373655319213903</v>
      </c>
      <c r="E633" s="253">
        <v>10.036292076110801</v>
      </c>
      <c r="F633" s="253">
        <v>9.3139858245849592</v>
      </c>
      <c r="G633" s="253">
        <v>8.7959203720092791</v>
      </c>
      <c r="H633" s="253">
        <v>8.3035001754760707</v>
      </c>
      <c r="I633" s="253">
        <v>8.0470056533813494</v>
      </c>
      <c r="J633" s="253">
        <v>7.8287873268127397</v>
      </c>
      <c r="K633" s="253">
        <v>7.7531881332397496</v>
      </c>
      <c r="L633" s="253">
        <v>7.8190288543701199</v>
      </c>
      <c r="M633" s="253">
        <v>7.9488449096679696</v>
      </c>
      <c r="N633" s="253">
        <v>8.1063919067382795</v>
      </c>
      <c r="O633" s="253">
        <v>8.2242641448974592</v>
      </c>
      <c r="P633" s="253">
        <v>8.2648267745971697</v>
      </c>
      <c r="Q633" s="253">
        <v>8.2073183059692401</v>
      </c>
      <c r="R633" s="253">
        <v>8.2647809982299805</v>
      </c>
      <c r="S633" s="253">
        <v>8.4262142181396502</v>
      </c>
      <c r="T633" s="253">
        <v>8.6721630096435494</v>
      </c>
      <c r="U633" s="253">
        <v>8.83197021484375</v>
      </c>
      <c r="V633" s="253">
        <v>8.8790025711059606</v>
      </c>
      <c r="W633" s="253">
        <v>8.93493747711182</v>
      </c>
      <c r="X633" s="253">
        <v>9.0109558105468803</v>
      </c>
      <c r="Y633" s="253">
        <v>9.1305398941040004</v>
      </c>
    </row>
    <row r="634" spans="1:26" x14ac:dyDescent="0.25">
      <c r="A634" s="249" t="s">
        <v>479</v>
      </c>
      <c r="B634" s="253">
        <v>25.222642898559599</v>
      </c>
      <c r="C634" s="253">
        <v>25.415189743041999</v>
      </c>
      <c r="D634" s="253">
        <v>25.1915378570557</v>
      </c>
      <c r="E634" s="253">
        <v>25.148117065429702</v>
      </c>
      <c r="F634" s="253">
        <v>24.4542636871338</v>
      </c>
      <c r="G634" s="253">
        <v>23.578901290893601</v>
      </c>
      <c r="H634" s="253">
        <v>23.091381072998001</v>
      </c>
      <c r="I634" s="253">
        <v>23.1348171234131</v>
      </c>
      <c r="J634" s="253">
        <v>23.120912551879901</v>
      </c>
      <c r="K634" s="253">
        <v>23.118898391723601</v>
      </c>
      <c r="L634" s="253">
        <v>23.2529602050781</v>
      </c>
      <c r="M634" s="253">
        <v>23.4250183105469</v>
      </c>
      <c r="N634" s="253">
        <v>23.684103012085</v>
      </c>
      <c r="O634" s="253">
        <v>23.7079162597656</v>
      </c>
      <c r="P634" s="253">
        <v>23.7613220214844</v>
      </c>
      <c r="Q634" s="253">
        <v>23.722099304199201</v>
      </c>
      <c r="R634" s="253">
        <v>23.8309440612793</v>
      </c>
      <c r="S634" s="253">
        <v>24.013486862182599</v>
      </c>
      <c r="T634" s="253">
        <v>24.267650604248001</v>
      </c>
      <c r="U634" s="253">
        <v>24.4126377105713</v>
      </c>
      <c r="V634" s="253">
        <v>24.3365364074707</v>
      </c>
      <c r="W634" s="253">
        <v>24.2477512359619</v>
      </c>
      <c r="X634" s="253">
        <v>24.2885627746582</v>
      </c>
      <c r="Y634" s="253">
        <v>24.396659851074201</v>
      </c>
    </row>
    <row r="635" spans="1:26" x14ac:dyDescent="0.25">
      <c r="A635" s="249" t="s">
        <v>440</v>
      </c>
      <c r="B635" s="253" t="s">
        <v>440</v>
      </c>
      <c r="C635" s="253" t="s">
        <v>440</v>
      </c>
      <c r="D635" s="253" t="s">
        <v>440</v>
      </c>
      <c r="E635" s="253" t="s">
        <v>440</v>
      </c>
      <c r="F635" s="253" t="s">
        <v>440</v>
      </c>
      <c r="G635" s="253" t="s">
        <v>440</v>
      </c>
      <c r="H635" s="253" t="s">
        <v>440</v>
      </c>
      <c r="I635" s="253" t="s">
        <v>440</v>
      </c>
      <c r="J635" s="253" t="s">
        <v>440</v>
      </c>
      <c r="K635" s="253" t="s">
        <v>440</v>
      </c>
      <c r="L635" s="253" t="s">
        <v>440</v>
      </c>
      <c r="M635" s="253" t="s">
        <v>440</v>
      </c>
      <c r="N635" s="253" t="s">
        <v>440</v>
      </c>
      <c r="O635" s="253" t="s">
        <v>440</v>
      </c>
      <c r="P635" s="253" t="s">
        <v>440</v>
      </c>
      <c r="Q635" s="253" t="s">
        <v>440</v>
      </c>
      <c r="R635" s="253" t="s">
        <v>440</v>
      </c>
      <c r="S635" s="253" t="s">
        <v>440</v>
      </c>
      <c r="T635" s="253" t="s">
        <v>440</v>
      </c>
      <c r="U635" s="253" t="s">
        <v>440</v>
      </c>
      <c r="V635" s="253" t="s">
        <v>440</v>
      </c>
      <c r="W635" s="253" t="s">
        <v>440</v>
      </c>
      <c r="X635" s="253" t="s">
        <v>440</v>
      </c>
      <c r="Y635" s="253" t="s">
        <v>440</v>
      </c>
    </row>
    <row r="636" spans="1:26" x14ac:dyDescent="0.25">
      <c r="A636" s="249" t="s">
        <v>480</v>
      </c>
      <c r="B636" s="253">
        <v>15.064169883728001</v>
      </c>
      <c r="C636" s="253">
        <v>15.629265785217299</v>
      </c>
      <c r="D636" s="253">
        <v>15.835695266723601</v>
      </c>
      <c r="E636" s="253">
        <v>15.918652534484901</v>
      </c>
      <c r="F636" s="253">
        <v>15.2065124511719</v>
      </c>
      <c r="G636" s="253">
        <v>14.526217460632299</v>
      </c>
      <c r="H636" s="253">
        <v>14.119109153747599</v>
      </c>
      <c r="I636" s="253">
        <v>14.0872592926025</v>
      </c>
      <c r="J636" s="253">
        <v>14.0534925460815</v>
      </c>
      <c r="K636" s="253">
        <v>14.108097076416</v>
      </c>
      <c r="L636" s="253">
        <v>14.338217735290501</v>
      </c>
      <c r="M636" s="253">
        <v>14.584888458251999</v>
      </c>
      <c r="N636" s="253">
        <v>14.9309749603271</v>
      </c>
      <c r="O636" s="253">
        <v>15.096228599548301</v>
      </c>
      <c r="P636" s="253">
        <v>15.2413949966431</v>
      </c>
      <c r="Q636" s="253">
        <v>15.255002975463899</v>
      </c>
      <c r="R636" s="253">
        <v>15.399823188781699</v>
      </c>
      <c r="S636" s="253">
        <v>15.6329202651978</v>
      </c>
      <c r="T636" s="253">
        <v>15.9477081298828</v>
      </c>
      <c r="U636" s="253">
        <v>16.179660797119102</v>
      </c>
      <c r="V636" s="253">
        <v>16.227045059204102</v>
      </c>
      <c r="W636" s="253">
        <v>16.249193191528299</v>
      </c>
      <c r="X636" s="253">
        <v>16.367641448974599</v>
      </c>
      <c r="Y636" s="253">
        <v>16.5326118469238</v>
      </c>
    </row>
    <row r="637" spans="1:26" x14ac:dyDescent="0.25">
      <c r="A637" s="249" t="s">
        <v>474</v>
      </c>
      <c r="B637" s="253">
        <v>6.5697088241577104</v>
      </c>
      <c r="C637" s="253">
        <v>7.9157042503356898</v>
      </c>
      <c r="D637" s="253">
        <v>8.3734045028686506</v>
      </c>
      <c r="E637" s="253">
        <v>8.3685989379882795</v>
      </c>
      <c r="F637" s="253">
        <v>7.9054894447326696</v>
      </c>
      <c r="G637" s="253">
        <v>7.6067800521850604</v>
      </c>
      <c r="H637" s="253">
        <v>7.3189792633056596</v>
      </c>
      <c r="I637" s="253">
        <v>7.2159371376037598</v>
      </c>
      <c r="J637" s="253">
        <v>7.1498117446899396</v>
      </c>
      <c r="K637" s="253">
        <v>7.1872353553771999</v>
      </c>
      <c r="L637" s="253">
        <v>7.2290387153625497</v>
      </c>
      <c r="M637" s="253">
        <v>7.30631303787231</v>
      </c>
      <c r="N637" s="253">
        <v>7.4108529090881303</v>
      </c>
      <c r="O637" s="253">
        <v>7.4683656692504901</v>
      </c>
      <c r="P637" s="253">
        <v>7.4930505752563503</v>
      </c>
      <c r="Q637" s="253">
        <v>7.43192434310913</v>
      </c>
      <c r="R637" s="253">
        <v>7.4779849052429199</v>
      </c>
      <c r="S637" s="253">
        <v>7.60019826889038</v>
      </c>
      <c r="T637" s="253">
        <v>7.7867598533630398</v>
      </c>
      <c r="U637" s="253">
        <v>7.91162109375</v>
      </c>
      <c r="V637" s="253">
        <v>7.9430484771728498</v>
      </c>
      <c r="W637" s="253">
        <v>7.9890594482421902</v>
      </c>
      <c r="X637" s="253">
        <v>8.0587644577026403</v>
      </c>
      <c r="Y637" s="253">
        <v>8.1779403686523402</v>
      </c>
    </row>
    <row r="638" spans="1:26" x14ac:dyDescent="0.25">
      <c r="A638" s="249" t="s">
        <v>475</v>
      </c>
      <c r="B638" s="253">
        <v>6.9482707977294904</v>
      </c>
      <c r="C638" s="253">
        <v>8.0266513824462908</v>
      </c>
      <c r="D638" s="253">
        <v>8.9197740554809606</v>
      </c>
      <c r="E638" s="253">
        <v>8.6532411575317401</v>
      </c>
      <c r="F638" s="253">
        <v>8.7558631896972692</v>
      </c>
      <c r="G638" s="253">
        <v>8.8328323364257795</v>
      </c>
      <c r="H638" s="253">
        <v>8.8167963027954102</v>
      </c>
      <c r="I638" s="253">
        <v>8.8182945251464808</v>
      </c>
      <c r="J638" s="253">
        <v>8.8873138427734393</v>
      </c>
      <c r="K638" s="253">
        <v>8.9125509262084996</v>
      </c>
      <c r="L638" s="253">
        <v>8.9192247390747106</v>
      </c>
      <c r="M638" s="253">
        <v>8.8803482055664098</v>
      </c>
      <c r="N638" s="253">
        <v>8.8586578369140607</v>
      </c>
      <c r="O638" s="253">
        <v>8.7692289352416992</v>
      </c>
      <c r="P638" s="253">
        <v>8.7682600021362305</v>
      </c>
      <c r="Q638" s="253">
        <v>8.7373514175415004</v>
      </c>
      <c r="R638" s="253">
        <v>8.7862501144409197</v>
      </c>
      <c r="S638" s="253">
        <v>8.8491783142089808</v>
      </c>
      <c r="T638" s="253">
        <v>8.8908815383911097</v>
      </c>
      <c r="U638" s="253">
        <v>9.0514831542968803</v>
      </c>
      <c r="V638" s="253">
        <v>9.1475715637206996</v>
      </c>
      <c r="W638" s="253">
        <v>9.2663307189941406</v>
      </c>
      <c r="X638" s="253">
        <v>9.3906812667846697</v>
      </c>
      <c r="Y638" s="253">
        <v>9.6513500213622994</v>
      </c>
    </row>
    <row r="639" spans="1:26" x14ac:dyDescent="0.25">
      <c r="A639" s="249" t="s">
        <v>476</v>
      </c>
      <c r="B639" s="253">
        <v>6.1493649482727104</v>
      </c>
      <c r="C639" s="253">
        <v>7.03082323074341</v>
      </c>
      <c r="D639" s="253">
        <v>7.7272830009460396</v>
      </c>
      <c r="E639" s="253">
        <v>7.4210705757141104</v>
      </c>
      <c r="F639" s="253">
        <v>7.6805524826049796</v>
      </c>
      <c r="G639" s="253">
        <v>7.8215904235839799</v>
      </c>
      <c r="H639" s="253">
        <v>7.8266153335571298</v>
      </c>
      <c r="I639" s="253">
        <v>7.8668313026428196</v>
      </c>
      <c r="J639" s="253">
        <v>7.9658513069152797</v>
      </c>
      <c r="K639" s="253">
        <v>8.0328092575073207</v>
      </c>
      <c r="L639" s="253">
        <v>8.0569534301757795</v>
      </c>
      <c r="M639" s="253">
        <v>8.0234899520874006</v>
      </c>
      <c r="N639" s="253">
        <v>8.0314903259277308</v>
      </c>
      <c r="O639" s="253">
        <v>7.91062688827515</v>
      </c>
      <c r="P639" s="253">
        <v>7.8695487976074201</v>
      </c>
      <c r="Q639" s="253">
        <v>7.7933855056762704</v>
      </c>
      <c r="R639" s="253">
        <v>7.8344025611877397</v>
      </c>
      <c r="S639" s="253">
        <v>7.89571285247803</v>
      </c>
      <c r="T639" s="253">
        <v>7.9562859535217303</v>
      </c>
      <c r="U639" s="253">
        <v>8.1191616058349592</v>
      </c>
      <c r="V639" s="253">
        <v>8.2043952941894496</v>
      </c>
      <c r="W639" s="253">
        <v>8.3111848831176793</v>
      </c>
      <c r="X639" s="253">
        <v>8.4434480667114293</v>
      </c>
      <c r="Y639" s="253">
        <v>8.7515277862548793</v>
      </c>
    </row>
    <row r="640" spans="1:26" x14ac:dyDescent="0.25">
      <c r="A640" s="249" t="s">
        <v>481</v>
      </c>
      <c r="B640" s="253">
        <v>4.2683343887329102</v>
      </c>
      <c r="C640" s="253">
        <v>4.9646224975585902</v>
      </c>
      <c r="D640" s="253">
        <v>5.0606441497802699</v>
      </c>
      <c r="E640" s="253">
        <v>5.3499693870544398</v>
      </c>
      <c r="F640" s="253">
        <v>5.6657009124755904</v>
      </c>
      <c r="G640" s="253">
        <v>5.6566004753112802</v>
      </c>
      <c r="H640" s="253">
        <v>5.6533966064453098</v>
      </c>
      <c r="I640" s="253">
        <v>5.65053033828735</v>
      </c>
      <c r="J640" s="253">
        <v>5.6487455368042001</v>
      </c>
      <c r="K640" s="253">
        <v>5.6555466651916504</v>
      </c>
      <c r="L640" s="253">
        <v>5.6602473258972203</v>
      </c>
      <c r="M640" s="253">
        <v>5.6679368019104004</v>
      </c>
      <c r="N640" s="253">
        <v>5.6729874610900897</v>
      </c>
      <c r="O640" s="253">
        <v>5.6782984733581499</v>
      </c>
      <c r="P640" s="253">
        <v>5.7556295394897496</v>
      </c>
      <c r="Q640" s="253">
        <v>5.8296666145324698</v>
      </c>
      <c r="R640" s="253">
        <v>5.9058866500854501</v>
      </c>
      <c r="S640" s="253">
        <v>5.9829258918762198</v>
      </c>
      <c r="T640" s="253">
        <v>6.0580596923828098</v>
      </c>
      <c r="U640" s="253">
        <v>6.1354246139526403</v>
      </c>
      <c r="V640" s="253">
        <v>6.2122497558593803</v>
      </c>
      <c r="W640" s="253">
        <v>6.2891340255737296</v>
      </c>
      <c r="X640" s="253">
        <v>6.3645572662353498</v>
      </c>
      <c r="Y640" s="253">
        <v>6.4413762092590297</v>
      </c>
    </row>
    <row r="641" spans="1:26" x14ac:dyDescent="0.25">
      <c r="A641" s="274" t="s">
        <v>478</v>
      </c>
      <c r="B641" s="253">
        <v>6.6170339584350604</v>
      </c>
      <c r="C641" s="253">
        <v>8.0769119262695295</v>
      </c>
      <c r="D641" s="253">
        <v>8.4473829269409197</v>
      </c>
      <c r="E641" s="253">
        <v>8.5046024322509801</v>
      </c>
      <c r="F641" s="253">
        <v>7.8886041641235396</v>
      </c>
      <c r="G641" s="253">
        <v>7.4893965721130398</v>
      </c>
      <c r="H641" s="253">
        <v>7.1298856735229501</v>
      </c>
      <c r="I641" s="253">
        <v>7.0003471374511701</v>
      </c>
      <c r="J641" s="253">
        <v>6.9035739898681596</v>
      </c>
      <c r="K641" s="253">
        <v>6.94567918777466</v>
      </c>
      <c r="L641" s="253">
        <v>6.9973711967468297</v>
      </c>
      <c r="M641" s="253">
        <v>7.1022868156433097</v>
      </c>
      <c r="N641" s="253">
        <v>7.2368607521057102</v>
      </c>
      <c r="O641" s="253">
        <v>7.3275256156921396</v>
      </c>
      <c r="P641" s="253">
        <v>7.3574790954589799</v>
      </c>
      <c r="Q641" s="253">
        <v>7.2871475219726598</v>
      </c>
      <c r="R641" s="253">
        <v>7.3330197334289604</v>
      </c>
      <c r="S641" s="253">
        <v>7.4703903198242196</v>
      </c>
      <c r="T641" s="253">
        <v>7.6915035247802699</v>
      </c>
      <c r="U641" s="253">
        <v>7.8109488487243697</v>
      </c>
      <c r="V641" s="253">
        <v>7.8279361724853498</v>
      </c>
      <c r="W641" s="253">
        <v>7.8590941429138201</v>
      </c>
      <c r="X641" s="253">
        <v>7.9183402061462402</v>
      </c>
      <c r="Y641" s="253">
        <v>8.0110416412353498</v>
      </c>
      <c r="Z641" s="283">
        <f>Y641+($AI$471-$Y$641)/10</f>
        <v>8.0591226890564176</v>
      </c>
    </row>
    <row r="642" spans="1:26" x14ac:dyDescent="0.25">
      <c r="A642" s="276" t="s">
        <v>479</v>
      </c>
      <c r="B642" s="253">
        <v>23.353584289550799</v>
      </c>
      <c r="C642" s="253">
        <v>23.2374382019043</v>
      </c>
      <c r="D642" s="253">
        <v>23.0424194335938</v>
      </c>
      <c r="E642" s="253">
        <v>22.939121246337901</v>
      </c>
      <c r="F642" s="253">
        <v>21.907506942748999</v>
      </c>
      <c r="G642" s="253">
        <v>20.807579040527301</v>
      </c>
      <c r="H642" s="253">
        <v>20.2319431304932</v>
      </c>
      <c r="I642" s="253">
        <v>20.2009677886963</v>
      </c>
      <c r="J642" s="253">
        <v>20.132976531982401</v>
      </c>
      <c r="K642" s="253">
        <v>20.128959655761701</v>
      </c>
      <c r="L642" s="253">
        <v>20.445728302001999</v>
      </c>
      <c r="M642" s="253">
        <v>20.757715225219702</v>
      </c>
      <c r="N642" s="253">
        <v>21.231256484985401</v>
      </c>
      <c r="O642" s="253">
        <v>21.404373168945298</v>
      </c>
      <c r="P642" s="253">
        <v>21.571121215820298</v>
      </c>
      <c r="Q642" s="253">
        <v>21.578863143920898</v>
      </c>
      <c r="R642" s="253">
        <v>21.739751815795898</v>
      </c>
      <c r="S642" s="253">
        <v>21.989313125610401</v>
      </c>
      <c r="T642" s="253">
        <v>22.322486877441399</v>
      </c>
      <c r="U642" s="253">
        <v>22.5522785186768</v>
      </c>
      <c r="V642" s="253">
        <v>22.5369548797607</v>
      </c>
      <c r="W642" s="253">
        <v>22.469936370849599</v>
      </c>
      <c r="X642" s="253">
        <v>22.555665969848601</v>
      </c>
      <c r="Y642" s="253">
        <v>22.682601928710898</v>
      </c>
      <c r="Z642" s="285">
        <f>Y642+($AI$472-$Y$642)/10</f>
        <v>22.586698480675594</v>
      </c>
    </row>
    <row r="643" spans="1:26" x14ac:dyDescent="0.25">
      <c r="A643" s="249" t="s">
        <v>440</v>
      </c>
      <c r="B643" s="253" t="s">
        <v>440</v>
      </c>
      <c r="C643" s="253" t="s">
        <v>440</v>
      </c>
      <c r="D643" s="253" t="s">
        <v>440</v>
      </c>
      <c r="E643" s="253" t="s">
        <v>440</v>
      </c>
      <c r="F643" s="253" t="s">
        <v>440</v>
      </c>
      <c r="G643" s="253" t="s">
        <v>440</v>
      </c>
      <c r="H643" s="253" t="s">
        <v>440</v>
      </c>
      <c r="I643" s="253" t="s">
        <v>440</v>
      </c>
      <c r="J643" s="253" t="s">
        <v>440</v>
      </c>
      <c r="K643" s="253" t="s">
        <v>440</v>
      </c>
      <c r="L643" s="253" t="s">
        <v>440</v>
      </c>
      <c r="M643" s="253" t="s">
        <v>440</v>
      </c>
      <c r="N643" s="253" t="s">
        <v>440</v>
      </c>
      <c r="O643" s="253" t="s">
        <v>440</v>
      </c>
      <c r="P643" s="253" t="s">
        <v>440</v>
      </c>
      <c r="Q643" s="253" t="s">
        <v>440</v>
      </c>
      <c r="R643" s="253" t="s">
        <v>440</v>
      </c>
      <c r="S643" s="253" t="s">
        <v>440</v>
      </c>
      <c r="T643" s="253" t="s">
        <v>440</v>
      </c>
      <c r="U643" s="253" t="s">
        <v>440</v>
      </c>
      <c r="V643" s="253" t="s">
        <v>440</v>
      </c>
      <c r="W643" s="253" t="s">
        <v>440</v>
      </c>
      <c r="X643" s="253" t="s">
        <v>440</v>
      </c>
      <c r="Y643" s="253" t="s">
        <v>440</v>
      </c>
    </row>
    <row r="644" spans="1:26" x14ac:dyDescent="0.25">
      <c r="A644" s="249" t="s">
        <v>482</v>
      </c>
      <c r="B644" s="253">
        <v>6.3922061920165998</v>
      </c>
      <c r="C644" s="253">
        <v>7.7839651107788104</v>
      </c>
      <c r="D644" s="253">
        <v>8.7313165664672905</v>
      </c>
      <c r="E644" s="253">
        <v>8.5384979248046893</v>
      </c>
      <c r="F644" s="253">
        <v>8.1135501861572301</v>
      </c>
      <c r="G644" s="253">
        <v>7.8849329948425302</v>
      </c>
      <c r="H644" s="253">
        <v>7.7104330062866202</v>
      </c>
      <c r="I644" s="253">
        <v>7.6478543281555202</v>
      </c>
      <c r="J644" s="253">
        <v>7.5814275741577104</v>
      </c>
      <c r="K644" s="253">
        <v>7.5381202697753897</v>
      </c>
      <c r="L644" s="253">
        <v>7.5780467987060502</v>
      </c>
      <c r="M644" s="253">
        <v>7.6416735649108896</v>
      </c>
      <c r="N644" s="253">
        <v>7.7132387161254901</v>
      </c>
      <c r="O644" s="253">
        <v>7.8013410568237296</v>
      </c>
      <c r="P644" s="253">
        <v>7.8755207061767596</v>
      </c>
      <c r="Q644" s="253">
        <v>7.9062352180481001</v>
      </c>
      <c r="R644" s="253">
        <v>7.9948873519897496</v>
      </c>
      <c r="S644" s="253">
        <v>8.1163215637206996</v>
      </c>
      <c r="T644" s="253">
        <v>8.2487821578979492</v>
      </c>
      <c r="U644" s="253">
        <v>8.4059162139892596</v>
      </c>
      <c r="V644" s="253">
        <v>8.4608268737793004</v>
      </c>
      <c r="W644" s="253">
        <v>8.5343141555786097</v>
      </c>
      <c r="X644" s="253">
        <v>8.6114902496337908</v>
      </c>
      <c r="Y644" s="253">
        <v>8.7719221115112305</v>
      </c>
    </row>
    <row r="645" spans="1:26" x14ac:dyDescent="0.25">
      <c r="A645" s="249" t="s">
        <v>483</v>
      </c>
      <c r="B645" s="253">
        <v>4.9298634529113796</v>
      </c>
      <c r="C645" s="253">
        <v>6.4939708709716797</v>
      </c>
      <c r="D645" s="253">
        <v>7.4592781066894496</v>
      </c>
      <c r="E645" s="253">
        <v>7.2447438240051296</v>
      </c>
      <c r="F645" s="253">
        <v>6.84521436691284</v>
      </c>
      <c r="G645" s="253">
        <v>6.6732459068298304</v>
      </c>
      <c r="H645" s="253">
        <v>6.51676225662231</v>
      </c>
      <c r="I645" s="253">
        <v>6.4484291076660201</v>
      </c>
      <c r="J645" s="253">
        <v>6.3966798782348597</v>
      </c>
      <c r="K645" s="253">
        <v>6.3644347190856898</v>
      </c>
      <c r="L645" s="253">
        <v>6.3782010078430202</v>
      </c>
      <c r="M645" s="253">
        <v>6.3993859291076696</v>
      </c>
      <c r="N645" s="253">
        <v>6.4120607376098597</v>
      </c>
      <c r="O645" s="253">
        <v>6.4825568199157697</v>
      </c>
      <c r="P645" s="253">
        <v>6.5450062751770002</v>
      </c>
      <c r="Q645" s="253">
        <v>6.5706739425659197</v>
      </c>
      <c r="R645" s="253">
        <v>6.6389350891113299</v>
      </c>
      <c r="S645" s="253">
        <v>6.7355680465698198</v>
      </c>
      <c r="T645" s="253">
        <v>6.8303794860839799</v>
      </c>
      <c r="U645" s="253">
        <v>6.9826822280883798</v>
      </c>
      <c r="V645" s="253">
        <v>7.0502834320068404</v>
      </c>
      <c r="W645" s="253">
        <v>7.1402068138122603</v>
      </c>
      <c r="X645" s="253">
        <v>7.2155933380126998</v>
      </c>
      <c r="Y645" s="253">
        <v>7.3827753067016602</v>
      </c>
    </row>
    <row r="646" spans="1:26" x14ac:dyDescent="0.25">
      <c r="A646" s="249" t="s">
        <v>475</v>
      </c>
      <c r="B646" s="253">
        <v>6.5291514396667498</v>
      </c>
      <c r="C646" s="253">
        <v>8.2850980758666992</v>
      </c>
      <c r="D646" s="253">
        <v>9.8001213073730504</v>
      </c>
      <c r="E646" s="253">
        <v>9.3321943283081108</v>
      </c>
      <c r="F646" s="253">
        <v>9.0226831436157209</v>
      </c>
      <c r="G646" s="253">
        <v>9.0089912414550799</v>
      </c>
      <c r="H646" s="253">
        <v>8.9738616943359393</v>
      </c>
      <c r="I646" s="253">
        <v>8.8902368545532209</v>
      </c>
      <c r="J646" s="253">
        <v>8.9552536010742205</v>
      </c>
      <c r="K646" s="253">
        <v>8.9079008102416992</v>
      </c>
      <c r="L646" s="253">
        <v>8.89520359039307</v>
      </c>
      <c r="M646" s="253">
        <v>8.8468990325927699</v>
      </c>
      <c r="N646" s="253">
        <v>8.7482786178588903</v>
      </c>
      <c r="O646" s="253">
        <v>8.7885036468505895</v>
      </c>
      <c r="P646" s="253">
        <v>8.8624305725097692</v>
      </c>
      <c r="Q646" s="253">
        <v>8.9473028182983398</v>
      </c>
      <c r="R646" s="253">
        <v>9.0262336730956996</v>
      </c>
      <c r="S646" s="253">
        <v>9.1055555343627894</v>
      </c>
      <c r="T646" s="253">
        <v>9.0882310867309606</v>
      </c>
      <c r="U646" s="253">
        <v>9.3312444686889595</v>
      </c>
      <c r="V646" s="253">
        <v>9.4788913726806605</v>
      </c>
      <c r="W646" s="253">
        <v>9.6528720855712908</v>
      </c>
      <c r="X646" s="253">
        <v>9.7811794281005895</v>
      </c>
      <c r="Y646" s="253">
        <v>10.0579071044922</v>
      </c>
    </row>
    <row r="647" spans="1:26" x14ac:dyDescent="0.25">
      <c r="A647" s="249" t="s">
        <v>476</v>
      </c>
      <c r="B647" s="253">
        <v>6.3323707580566397</v>
      </c>
      <c r="C647" s="253">
        <v>7.2384452819824201</v>
      </c>
      <c r="D647" s="253">
        <v>7.96527099609375</v>
      </c>
      <c r="E647" s="253">
        <v>7.6527161598205602</v>
      </c>
      <c r="F647" s="253">
        <v>7.9603652954101598</v>
      </c>
      <c r="G647" s="253">
        <v>8.0741472244262695</v>
      </c>
      <c r="H647" s="253">
        <v>8.2605934143066406</v>
      </c>
      <c r="I647" s="253">
        <v>8.3100318908691406</v>
      </c>
      <c r="J647" s="253">
        <v>8.4493141174316406</v>
      </c>
      <c r="K647" s="253">
        <v>8.8189620971679705</v>
      </c>
      <c r="L647" s="253">
        <v>8.8862495422363299</v>
      </c>
      <c r="M647" s="253">
        <v>8.8418188095092791</v>
      </c>
      <c r="N647" s="253">
        <v>8.8337812423706108</v>
      </c>
      <c r="O647" s="253">
        <v>8.6748180389404297</v>
      </c>
      <c r="P647" s="253">
        <v>8.5509977340698207</v>
      </c>
      <c r="Q647" s="253">
        <v>8.4207677841186506</v>
      </c>
      <c r="R647" s="253">
        <v>8.4376201629638707</v>
      </c>
      <c r="S647" s="253">
        <v>8.4841489791870099</v>
      </c>
      <c r="T647" s="253">
        <v>8.5509052276611293</v>
      </c>
      <c r="U647" s="253">
        <v>8.6700105667114293</v>
      </c>
      <c r="V647" s="253">
        <v>8.74859523773193</v>
      </c>
      <c r="W647" s="253">
        <v>8.8432664871215803</v>
      </c>
      <c r="X647" s="253">
        <v>9.0058250427246094</v>
      </c>
      <c r="Y647" s="253">
        <v>9.3929624557495099</v>
      </c>
    </row>
    <row r="648" spans="1:26" x14ac:dyDescent="0.25">
      <c r="A648" s="249" t="s">
        <v>477</v>
      </c>
      <c r="B648" s="253">
        <v>8.4833917617797905</v>
      </c>
      <c r="C648" s="253">
        <v>12.566796302795399</v>
      </c>
      <c r="D648" s="253">
        <v>15.1471004486084</v>
      </c>
      <c r="E648" s="253">
        <v>13.237501144409199</v>
      </c>
      <c r="F648" s="253">
        <v>12.375891685485801</v>
      </c>
      <c r="G648" s="253">
        <v>12.379506111145</v>
      </c>
      <c r="H648" s="253">
        <v>12.2225999832153</v>
      </c>
      <c r="I648" s="253">
        <v>12.080751419067401</v>
      </c>
      <c r="J648" s="253">
        <v>12.212836265564</v>
      </c>
      <c r="K648" s="253">
        <v>12.0270395278931</v>
      </c>
      <c r="L648" s="253">
        <v>11.9549217224121</v>
      </c>
      <c r="M648" s="253">
        <v>11.879666328430201</v>
      </c>
      <c r="N648" s="253">
        <v>11.6303720474243</v>
      </c>
      <c r="O648" s="253">
        <v>11.7905416488647</v>
      </c>
      <c r="P648" s="253">
        <v>11.941043853759799</v>
      </c>
      <c r="Q648" s="253">
        <v>12.1426992416382</v>
      </c>
      <c r="R648" s="253">
        <v>12.289721488952599</v>
      </c>
      <c r="S648" s="253">
        <v>12.378883361816399</v>
      </c>
      <c r="T648" s="253">
        <v>12.2595558166504</v>
      </c>
      <c r="U648" s="253">
        <v>12.590350151061999</v>
      </c>
      <c r="V648" s="253">
        <v>12.7815389633179</v>
      </c>
      <c r="W648" s="253">
        <v>12.973883628845201</v>
      </c>
      <c r="X648" s="253">
        <v>13.0949363708496</v>
      </c>
      <c r="Y648" s="253">
        <v>13.367587089538601</v>
      </c>
    </row>
    <row r="649" spans="1:26" x14ac:dyDescent="0.25">
      <c r="A649" s="249" t="s">
        <v>481</v>
      </c>
      <c r="B649" s="253">
        <v>3.9384419918060298</v>
      </c>
      <c r="C649" s="253">
        <v>4.5867881774902299</v>
      </c>
      <c r="D649" s="253">
        <v>4.6800308227539098</v>
      </c>
      <c r="E649" s="253">
        <v>4.9388952255248997</v>
      </c>
      <c r="F649" s="253">
        <v>5.2859730720520002</v>
      </c>
      <c r="G649" s="253">
        <v>5.2723593711853001</v>
      </c>
      <c r="H649" s="253">
        <v>5.2104086875915501</v>
      </c>
      <c r="I649" s="253">
        <v>5.1732821464538601</v>
      </c>
      <c r="J649" s="253">
        <v>5.1717634201049796</v>
      </c>
      <c r="K649" s="253">
        <v>5.17871141433716</v>
      </c>
      <c r="L649" s="253">
        <v>5.1878075599670401</v>
      </c>
      <c r="M649" s="253">
        <v>5.1966009140014604</v>
      </c>
      <c r="N649" s="253">
        <v>5.2060360908508301</v>
      </c>
      <c r="O649" s="253">
        <v>5.2088470458984402</v>
      </c>
      <c r="P649" s="253">
        <v>5.2896075248718297</v>
      </c>
      <c r="Q649" s="253">
        <v>5.3583388328552202</v>
      </c>
      <c r="R649" s="253">
        <v>5.44156694412231</v>
      </c>
      <c r="S649" s="253">
        <v>5.5192761421203604</v>
      </c>
      <c r="T649" s="253">
        <v>5.5953726768493697</v>
      </c>
      <c r="U649" s="253">
        <v>5.6724872589111301</v>
      </c>
      <c r="V649" s="253">
        <v>5.7441039085388201</v>
      </c>
      <c r="W649" s="253">
        <v>5.8200716972351101</v>
      </c>
      <c r="X649" s="253">
        <v>5.9009070396423304</v>
      </c>
      <c r="Y649" s="253">
        <v>5.9898118972778303</v>
      </c>
    </row>
    <row r="650" spans="1:26" x14ac:dyDescent="0.25">
      <c r="A650" s="274" t="s">
        <v>484</v>
      </c>
      <c r="B650" s="253">
        <v>3.88655662536621</v>
      </c>
      <c r="C650" s="253">
        <v>5.55936574935913</v>
      </c>
      <c r="D650" s="253">
        <v>6.0491261482238796</v>
      </c>
      <c r="E650" s="253">
        <v>6.0771641731262198</v>
      </c>
      <c r="F650" s="253">
        <v>5.4298515319824201</v>
      </c>
      <c r="G650" s="253">
        <v>5.0030980110168501</v>
      </c>
      <c r="H650" s="253">
        <v>4.6280007362365696</v>
      </c>
      <c r="I650" s="253">
        <v>4.5291852951049796</v>
      </c>
      <c r="J650" s="253">
        <v>4.41147708892822</v>
      </c>
      <c r="K650" s="253">
        <v>4.4342226982116699</v>
      </c>
      <c r="L650" s="253">
        <v>4.4864263534545898</v>
      </c>
      <c r="M650" s="253">
        <v>4.5912823677062997</v>
      </c>
      <c r="N650" s="253">
        <v>4.7218933105468803</v>
      </c>
      <c r="O650" s="253">
        <v>4.8130536079406703</v>
      </c>
      <c r="P650" s="253">
        <v>4.8621869087219203</v>
      </c>
      <c r="Q650" s="253">
        <v>4.81842041015625</v>
      </c>
      <c r="R650" s="253">
        <v>4.8841061592102104</v>
      </c>
      <c r="S650" s="253">
        <v>5.0232949256896999</v>
      </c>
      <c r="T650" s="253">
        <v>5.2583932876586896</v>
      </c>
      <c r="U650" s="253">
        <v>5.3567323684692401</v>
      </c>
      <c r="V650" s="253">
        <v>5.3575921058654803</v>
      </c>
      <c r="W650" s="253">
        <v>5.37701320648193</v>
      </c>
      <c r="X650" s="253">
        <v>5.4306664466857901</v>
      </c>
      <c r="Y650" s="253">
        <v>5.5327925682067898</v>
      </c>
      <c r="Z650" s="283">
        <f>Y650+($AI$480-$Y$650)/10</f>
        <v>5.5600694801614594</v>
      </c>
    </row>
    <row r="651" spans="1:26" x14ac:dyDescent="0.25">
      <c r="A651" s="249" t="s">
        <v>485</v>
      </c>
      <c r="B651" s="253">
        <v>1.88388228416443</v>
      </c>
      <c r="C651" s="253">
        <v>1.8499996662139899</v>
      </c>
      <c r="D651" s="253">
        <v>1.9633457660675</v>
      </c>
      <c r="E651" s="253">
        <v>1.8999761343002299</v>
      </c>
      <c r="F651" s="253">
        <v>1.88347840309143</v>
      </c>
      <c r="G651" s="253">
        <v>1.8588999509811399</v>
      </c>
      <c r="H651" s="253">
        <v>1.8578026294708301</v>
      </c>
      <c r="I651" s="253">
        <v>1.85227739810944</v>
      </c>
      <c r="J651" s="253">
        <v>1.8239538669586199</v>
      </c>
      <c r="K651" s="253">
        <v>1.79700314998627</v>
      </c>
      <c r="L651" s="253">
        <v>1.78184306621552</v>
      </c>
      <c r="M651" s="253">
        <v>1.7756989002227801</v>
      </c>
      <c r="N651" s="253">
        <v>1.77074086666107</v>
      </c>
      <c r="O651" s="253">
        <v>1.7668309211730999</v>
      </c>
      <c r="P651" s="253">
        <v>1.7627635002136199</v>
      </c>
      <c r="Q651" s="253">
        <v>1.7565006017684901</v>
      </c>
      <c r="R651" s="253">
        <v>1.75614774227142</v>
      </c>
      <c r="S651" s="253">
        <v>1.7571268081664999</v>
      </c>
      <c r="T651" s="253">
        <v>1.75483202934265</v>
      </c>
      <c r="U651" s="253">
        <v>1.7449706792831401</v>
      </c>
      <c r="V651" s="253">
        <v>1.72660219669342</v>
      </c>
      <c r="W651" s="253">
        <v>1.70969367027283</v>
      </c>
      <c r="X651" s="253">
        <v>1.70006084442139</v>
      </c>
      <c r="Y651" s="253">
        <v>1.6866580247878999</v>
      </c>
    </row>
    <row r="652" spans="1:26" x14ac:dyDescent="0.25">
      <c r="A652" s="249" t="s">
        <v>486</v>
      </c>
      <c r="B652" s="253">
        <v>1.5976041555404701</v>
      </c>
      <c r="C652" s="253">
        <v>1.5543407201767001</v>
      </c>
      <c r="D652" s="253">
        <v>1.5670678615570099</v>
      </c>
      <c r="E652" s="253">
        <v>1.6038056612014799</v>
      </c>
      <c r="F652" s="253">
        <v>1.6009258031845099</v>
      </c>
      <c r="G652" s="253">
        <v>1.58739173412323</v>
      </c>
      <c r="H652" s="253">
        <v>1.58863317966461</v>
      </c>
      <c r="I652" s="253">
        <v>1.5846539735794101</v>
      </c>
      <c r="J652" s="253">
        <v>1.5799860954284699</v>
      </c>
      <c r="K652" s="253">
        <v>1.5764416456222501</v>
      </c>
      <c r="L652" s="253">
        <v>1.5679914951324501</v>
      </c>
      <c r="M652" s="253">
        <v>1.5610833168029801</v>
      </c>
      <c r="N652" s="253">
        <v>1.5600349903106701</v>
      </c>
      <c r="O652" s="253">
        <v>1.56054711341858</v>
      </c>
      <c r="P652" s="253">
        <v>1.56748187541962</v>
      </c>
      <c r="Q652" s="253">
        <v>1.5675091743469201</v>
      </c>
      <c r="R652" s="253">
        <v>1.5641727447509799</v>
      </c>
      <c r="S652" s="253">
        <v>1.5615659952163701</v>
      </c>
      <c r="T652" s="253">
        <v>1.58828938007355</v>
      </c>
      <c r="U652" s="253">
        <v>1.58737933635712</v>
      </c>
      <c r="V652" s="253">
        <v>1.59387278556824</v>
      </c>
      <c r="W652" s="253">
        <v>1.5848928689956701</v>
      </c>
      <c r="X652" s="253">
        <v>1.5860744714736901</v>
      </c>
      <c r="Y652" s="253">
        <v>1.5880702733993499</v>
      </c>
    </row>
    <row r="653" spans="1:26" x14ac:dyDescent="0.25">
      <c r="A653" s="276" t="s">
        <v>479</v>
      </c>
      <c r="B653" s="253">
        <v>14.734835624694799</v>
      </c>
      <c r="C653" s="253">
        <v>15.0261535644531</v>
      </c>
      <c r="D653" s="253">
        <v>15.722662925720201</v>
      </c>
      <c r="E653" s="253">
        <v>15.5983018875122</v>
      </c>
      <c r="F653" s="253">
        <v>15.078427314758301</v>
      </c>
      <c r="G653" s="253">
        <v>14.4692840576172</v>
      </c>
      <c r="H653" s="253">
        <v>14.1632738113403</v>
      </c>
      <c r="I653" s="253">
        <v>14.081834793090801</v>
      </c>
      <c r="J653" s="253">
        <v>13.919806480407701</v>
      </c>
      <c r="K653" s="253">
        <v>13.785112380981399</v>
      </c>
      <c r="L653" s="253">
        <v>13.931169509887701</v>
      </c>
      <c r="M653" s="253">
        <v>14.1889085769653</v>
      </c>
      <c r="N653" s="253">
        <v>14.5255270004272</v>
      </c>
      <c r="O653" s="253">
        <v>14.681715965271</v>
      </c>
      <c r="P653" s="253">
        <v>14.814373970031699</v>
      </c>
      <c r="Q653" s="253">
        <v>14.8553409576416</v>
      </c>
      <c r="R653" s="253">
        <v>15.0255784988403</v>
      </c>
      <c r="S653" s="253">
        <v>15.2628774642944</v>
      </c>
      <c r="T653" s="253">
        <v>15.5799751281738</v>
      </c>
      <c r="U653" s="253">
        <v>15.7510900497437</v>
      </c>
      <c r="V653" s="253">
        <v>15.7371273040771</v>
      </c>
      <c r="W653" s="253">
        <v>15.705772399902299</v>
      </c>
      <c r="X653" s="253">
        <v>15.779216766357401</v>
      </c>
      <c r="Y653" s="253">
        <v>15.8933115005493</v>
      </c>
      <c r="Z653" s="285">
        <f>Y653+($AI$483-$Y$653)/10</f>
        <v>15.820176294068443</v>
      </c>
    </row>
    <row r="654" spans="1:26" x14ac:dyDescent="0.25">
      <c r="A654" s="249" t="s">
        <v>440</v>
      </c>
      <c r="B654" s="253" t="s">
        <v>440</v>
      </c>
      <c r="C654" s="253" t="s">
        <v>440</v>
      </c>
      <c r="D654" s="253" t="s">
        <v>440</v>
      </c>
      <c r="E654" s="253" t="s">
        <v>440</v>
      </c>
      <c r="F654" s="253" t="s">
        <v>440</v>
      </c>
      <c r="G654" s="253" t="s">
        <v>440</v>
      </c>
      <c r="H654" s="253" t="s">
        <v>440</v>
      </c>
      <c r="I654" s="253" t="s">
        <v>440</v>
      </c>
      <c r="J654" s="253" t="s">
        <v>440</v>
      </c>
      <c r="K654" s="253" t="s">
        <v>440</v>
      </c>
      <c r="L654" s="253" t="s">
        <v>440</v>
      </c>
      <c r="M654" s="253" t="s">
        <v>440</v>
      </c>
      <c r="N654" s="253" t="s">
        <v>440</v>
      </c>
      <c r="O654" s="253" t="s">
        <v>440</v>
      </c>
      <c r="P654" s="253" t="s">
        <v>440</v>
      </c>
      <c r="Q654" s="253" t="s">
        <v>440</v>
      </c>
      <c r="R654" s="253" t="s">
        <v>440</v>
      </c>
      <c r="S654" s="253" t="s">
        <v>440</v>
      </c>
      <c r="T654" s="253" t="s">
        <v>440</v>
      </c>
      <c r="U654" s="253" t="s">
        <v>440</v>
      </c>
      <c r="V654" s="253" t="s">
        <v>440</v>
      </c>
      <c r="W654" s="253" t="s">
        <v>440</v>
      </c>
      <c r="X654" s="253" t="s">
        <v>440</v>
      </c>
      <c r="Y654" s="253" t="s">
        <v>440</v>
      </c>
    </row>
    <row r="655" spans="1:26" x14ac:dyDescent="0.25">
      <c r="A655" s="249" t="s">
        <v>487</v>
      </c>
      <c r="B655" s="253">
        <v>10.068477630615201</v>
      </c>
      <c r="C655" s="253">
        <v>11.4567165374756</v>
      </c>
      <c r="D655" s="253">
        <v>12.984992980956999</v>
      </c>
      <c r="E655" s="253">
        <v>12.648449897766101</v>
      </c>
      <c r="F655" s="253">
        <v>12.9899549484253</v>
      </c>
      <c r="G655" s="253">
        <v>12.831539154052701</v>
      </c>
      <c r="H655" s="253">
        <v>12.772025108337401</v>
      </c>
      <c r="I655" s="253">
        <v>12.778377532959</v>
      </c>
      <c r="J655" s="253">
        <v>12.6527404785156</v>
      </c>
      <c r="K655" s="253">
        <v>12.633409500122101</v>
      </c>
      <c r="L655" s="253">
        <v>12.627567291259799</v>
      </c>
      <c r="M655" s="253">
        <v>12.5634212493896</v>
      </c>
      <c r="N655" s="253">
        <v>12.5677394866943</v>
      </c>
      <c r="O655" s="253">
        <v>12.4416351318359</v>
      </c>
      <c r="P655" s="253">
        <v>12.463407516479499</v>
      </c>
      <c r="Q655" s="253">
        <v>12.3592376708984</v>
      </c>
      <c r="R655" s="253">
        <v>12.3700494766235</v>
      </c>
      <c r="S655" s="253">
        <v>12.4214639663696</v>
      </c>
      <c r="T655" s="253">
        <v>12.406385421752899</v>
      </c>
      <c r="U655" s="253">
        <v>12.599157333374</v>
      </c>
      <c r="V655" s="253">
        <v>12.7199811935425</v>
      </c>
      <c r="W655" s="253">
        <v>12.8404388427734</v>
      </c>
      <c r="X655" s="253">
        <v>12.9761352539063</v>
      </c>
      <c r="Y655" s="253">
        <v>13.180356025695801</v>
      </c>
    </row>
    <row r="656" spans="1:26" x14ac:dyDescent="0.25">
      <c r="A656" s="249" t="s">
        <v>483</v>
      </c>
      <c r="B656" s="253">
        <v>10.0396184921265</v>
      </c>
      <c r="C656" s="253">
        <v>11.4297380447388</v>
      </c>
      <c r="D656" s="253">
        <v>12.961000442504901</v>
      </c>
      <c r="E656" s="253">
        <v>12.6243276596069</v>
      </c>
      <c r="F656" s="253">
        <v>12.9694175720215</v>
      </c>
      <c r="G656" s="253">
        <v>12.812975883483899</v>
      </c>
      <c r="H656" s="253">
        <v>12.7542219161987</v>
      </c>
      <c r="I656" s="253">
        <v>12.7604532241821</v>
      </c>
      <c r="J656" s="253">
        <v>12.634376525878899</v>
      </c>
      <c r="K656" s="253">
        <v>12.614933013916</v>
      </c>
      <c r="L656" s="253">
        <v>12.6084880828857</v>
      </c>
      <c r="M656" s="253">
        <v>12.543541908264199</v>
      </c>
      <c r="N656" s="253">
        <v>12.546923637390099</v>
      </c>
      <c r="O656" s="253">
        <v>12.4202537536621</v>
      </c>
      <c r="P656" s="253">
        <v>12.441800117492701</v>
      </c>
      <c r="Q656" s="253">
        <v>12.3374538421631</v>
      </c>
      <c r="R656" s="253">
        <v>12.3479681015015</v>
      </c>
      <c r="S656" s="253">
        <v>12.3989114761353</v>
      </c>
      <c r="T656" s="253">
        <v>12.3829250335693</v>
      </c>
      <c r="U656" s="253">
        <v>12.575768470764199</v>
      </c>
      <c r="V656" s="253">
        <v>12.6970834732056</v>
      </c>
      <c r="W656" s="253">
        <v>12.8181715011597</v>
      </c>
      <c r="X656" s="253">
        <v>12.9540061950684</v>
      </c>
      <c r="Y656" s="253">
        <v>13.1585645675659</v>
      </c>
    </row>
    <row r="657" spans="1:26" x14ac:dyDescent="0.25">
      <c r="A657" s="249" t="s">
        <v>475</v>
      </c>
      <c r="B657" s="253">
        <v>10.0409812927246</v>
      </c>
      <c r="C657" s="253">
        <v>11.431476593017599</v>
      </c>
      <c r="D657" s="253">
        <v>12.9638833999634</v>
      </c>
      <c r="E657" s="253">
        <v>12.6272735595703</v>
      </c>
      <c r="F657" s="253">
        <v>12.9738121032715</v>
      </c>
      <c r="G657" s="253">
        <v>12.8180704116821</v>
      </c>
      <c r="H657" s="253">
        <v>12.7602338790894</v>
      </c>
      <c r="I657" s="253">
        <v>12.7672443389893</v>
      </c>
      <c r="J657" s="253">
        <v>12.6416578292847</v>
      </c>
      <c r="K657" s="253">
        <v>12.622591972351101</v>
      </c>
      <c r="L657" s="253">
        <v>12.616462707519499</v>
      </c>
      <c r="M657" s="253">
        <v>12.551496505737299</v>
      </c>
      <c r="N657" s="253">
        <v>12.554883956909199</v>
      </c>
      <c r="O657" s="253">
        <v>12.4279336929321</v>
      </c>
      <c r="P657" s="253">
        <v>12.4496717453003</v>
      </c>
      <c r="Q657" s="253">
        <v>12.3454332351685</v>
      </c>
      <c r="R657" s="253">
        <v>12.356036186218301</v>
      </c>
      <c r="S657" s="253">
        <v>12.4068956375122</v>
      </c>
      <c r="T657" s="253">
        <v>12.3903903961182</v>
      </c>
      <c r="U657" s="253">
        <v>12.5835561752319</v>
      </c>
      <c r="V657" s="253">
        <v>12.7052898406982</v>
      </c>
      <c r="W657" s="253">
        <v>12.826750755310099</v>
      </c>
      <c r="X657" s="253">
        <v>12.9629173278809</v>
      </c>
      <c r="Y657" s="253">
        <v>13.167941093444799</v>
      </c>
    </row>
    <row r="658" spans="1:26" x14ac:dyDescent="0.25">
      <c r="A658" s="280" t="s">
        <v>488</v>
      </c>
      <c r="B658" s="253">
        <v>9.5535230636596697</v>
      </c>
      <c r="C658" s="253">
        <v>10.9202365875244</v>
      </c>
      <c r="D658" s="253">
        <v>12.0208587646484</v>
      </c>
      <c r="E658" s="253">
        <v>11.5461339950562</v>
      </c>
      <c r="F658" s="253">
        <v>12.0997161865234</v>
      </c>
      <c r="G658" s="253">
        <v>12.488727569580099</v>
      </c>
      <c r="H658" s="253">
        <v>12.3829002380371</v>
      </c>
      <c r="I658" s="253">
        <v>12.4196271896362</v>
      </c>
      <c r="J658" s="253">
        <v>12.508094787597701</v>
      </c>
      <c r="K658" s="253">
        <v>12.555921554565399</v>
      </c>
      <c r="L658" s="253">
        <v>12.5986595153809</v>
      </c>
      <c r="M658" s="253">
        <v>12.507498741149901</v>
      </c>
      <c r="N658" s="253">
        <v>12.460197448730501</v>
      </c>
      <c r="O658" s="253">
        <v>12.2335548400879</v>
      </c>
      <c r="P658" s="253">
        <v>12.028847694396999</v>
      </c>
      <c r="Q658" s="253">
        <v>11.832740783691399</v>
      </c>
      <c r="R658" s="253">
        <v>11.7916069030762</v>
      </c>
      <c r="S658" s="253">
        <v>11.803469657897899</v>
      </c>
      <c r="T658" s="253">
        <v>11.8377895355225</v>
      </c>
      <c r="U658" s="253">
        <v>11.9129686355591</v>
      </c>
      <c r="V658" s="253">
        <v>11.9319505691528</v>
      </c>
      <c r="W658" s="253">
        <v>11.983411788940399</v>
      </c>
      <c r="X658" s="253">
        <v>12.11021900177</v>
      </c>
      <c r="Y658" s="253">
        <v>12.4955101013184</v>
      </c>
      <c r="Z658" s="287">
        <f>Y658+($AI$488-$Y$658)/10</f>
        <v>12.860153747735882</v>
      </c>
    </row>
    <row r="659" spans="1:26" x14ac:dyDescent="0.25">
      <c r="A659" s="249" t="s">
        <v>489</v>
      </c>
      <c r="B659" s="253">
        <v>6.0538434982299796</v>
      </c>
      <c r="C659" s="253">
        <v>6.4578518867492702</v>
      </c>
      <c r="D659" s="253">
        <v>8.1168746948242205</v>
      </c>
      <c r="E659" s="253">
        <v>7.6875567436218297</v>
      </c>
      <c r="F659" s="253">
        <v>7.8739576339721697</v>
      </c>
      <c r="G659" s="253">
        <v>7.8265089988708496</v>
      </c>
      <c r="H659" s="253">
        <v>7.9840884208679199</v>
      </c>
      <c r="I659" s="253">
        <v>8.0166091918945295</v>
      </c>
      <c r="J659" s="253">
        <v>7.8608303070068404</v>
      </c>
      <c r="K659" s="253">
        <v>7.81276655197144</v>
      </c>
      <c r="L659" s="253">
        <v>7.8045797348022496</v>
      </c>
      <c r="M659" s="253">
        <v>7.7928524017334002</v>
      </c>
      <c r="N659" s="253">
        <v>7.7725591659545898</v>
      </c>
      <c r="O659" s="253">
        <v>7.7157216072082502</v>
      </c>
      <c r="P659" s="253">
        <v>7.7164225578308097</v>
      </c>
      <c r="Q659" s="253">
        <v>7.6991229057312003</v>
      </c>
      <c r="R659" s="253">
        <v>7.7546834945678702</v>
      </c>
      <c r="S659" s="253">
        <v>7.8412432670593297</v>
      </c>
      <c r="T659" s="253">
        <v>7.8916783332824698</v>
      </c>
      <c r="U659" s="253">
        <v>8.0530261993408203</v>
      </c>
      <c r="V659" s="253">
        <v>8.1459932327270508</v>
      </c>
      <c r="W659" s="253">
        <v>8.2922735214233398</v>
      </c>
      <c r="X659" s="253">
        <v>8.4199304580688494</v>
      </c>
      <c r="Y659" s="253">
        <v>8.7479171752929705</v>
      </c>
    </row>
    <row r="660" spans="1:26" x14ac:dyDescent="0.25">
      <c r="A660" s="280" t="s">
        <v>490</v>
      </c>
      <c r="B660" s="253">
        <v>11.3207235336304</v>
      </c>
      <c r="C660" s="253">
        <v>12.9284992218018</v>
      </c>
      <c r="D660" s="253">
        <v>14.6530704498291</v>
      </c>
      <c r="E660" s="253">
        <v>14.346966743469199</v>
      </c>
      <c r="F660" s="253">
        <v>14.7094535827637</v>
      </c>
      <c r="G660" s="253">
        <v>14.3600215911865</v>
      </c>
      <c r="H660" s="253">
        <v>14.2510118484497</v>
      </c>
      <c r="I660" s="253">
        <v>14.250683784484901</v>
      </c>
      <c r="J660" s="253">
        <v>14.0786781311035</v>
      </c>
      <c r="K660" s="253">
        <v>14.0637760162354</v>
      </c>
      <c r="L660" s="253">
        <v>14.0259552001953</v>
      </c>
      <c r="M660" s="253">
        <v>13.906542778015099</v>
      </c>
      <c r="N660" s="253">
        <v>13.9343166351318</v>
      </c>
      <c r="O660" s="253">
        <v>13.819755554199199</v>
      </c>
      <c r="P660" s="253">
        <v>13.920813560485801</v>
      </c>
      <c r="Q660" s="253">
        <v>13.821713447570801</v>
      </c>
      <c r="R660" s="253">
        <v>13.8340721130371</v>
      </c>
      <c r="S660" s="253">
        <v>13.8936500549316</v>
      </c>
      <c r="T660" s="253">
        <v>13.8356838226318</v>
      </c>
      <c r="U660" s="253">
        <v>14.0806474685669</v>
      </c>
      <c r="V660" s="253">
        <v>14.2383365631104</v>
      </c>
      <c r="W660" s="253">
        <v>14.3749399185181</v>
      </c>
      <c r="X660" s="253">
        <v>14.5092010498047</v>
      </c>
      <c r="Y660" s="253">
        <v>14.605681419372599</v>
      </c>
      <c r="Z660" s="287">
        <f>Y660+($AI$490-$Y$660)/10</f>
        <v>15.03173973157025</v>
      </c>
    </row>
    <row r="661" spans="1:26" x14ac:dyDescent="0.25">
      <c r="A661" s="249" t="s">
        <v>481</v>
      </c>
      <c r="B661" s="253">
        <v>3.83150410652161</v>
      </c>
      <c r="C661" s="253">
        <v>4.4939312934875497</v>
      </c>
      <c r="D661" s="253">
        <v>4.5839381217956499</v>
      </c>
      <c r="E661" s="253">
        <v>4.8374896049499503</v>
      </c>
      <c r="F661" s="253">
        <v>5.1729192733764604</v>
      </c>
      <c r="G661" s="253">
        <v>5.1682701110839799</v>
      </c>
      <c r="H661" s="253">
        <v>5.1688323020935103</v>
      </c>
      <c r="I661" s="253">
        <v>5.1695828437805202</v>
      </c>
      <c r="J661" s="253">
        <v>5.16760349273682</v>
      </c>
      <c r="K661" s="253">
        <v>5.1733479499816903</v>
      </c>
      <c r="L661" s="253">
        <v>5.1798586845397896</v>
      </c>
      <c r="M661" s="253">
        <v>5.1877336502075204</v>
      </c>
      <c r="N661" s="253">
        <v>5.1953010559081996</v>
      </c>
      <c r="O661" s="253">
        <v>5.2001247406005904</v>
      </c>
      <c r="P661" s="253">
        <v>5.2810626029968297</v>
      </c>
      <c r="Q661" s="253">
        <v>5.3552770614623997</v>
      </c>
      <c r="R661" s="253">
        <v>5.4362750053405797</v>
      </c>
      <c r="S661" s="253">
        <v>5.5152239799499503</v>
      </c>
      <c r="T661" s="253">
        <v>5.5921721458435103</v>
      </c>
      <c r="U661" s="253">
        <v>5.6705627441406303</v>
      </c>
      <c r="V661" s="253">
        <v>5.7475032806396502</v>
      </c>
      <c r="W661" s="253">
        <v>5.8269476890564</v>
      </c>
      <c r="X661" s="253">
        <v>5.9046044349670401</v>
      </c>
      <c r="Y661" s="253">
        <v>5.9824995994567898</v>
      </c>
    </row>
    <row r="662" spans="1:26" x14ac:dyDescent="0.25">
      <c r="A662" s="249" t="s">
        <v>491</v>
      </c>
      <c r="B662" s="253">
        <v>15.146578788757299</v>
      </c>
      <c r="C662" s="253">
        <v>16.654964447021499</v>
      </c>
      <c r="D662" s="253">
        <v>20.603065490722699</v>
      </c>
      <c r="E662" s="253">
        <v>20.419296264648398</v>
      </c>
      <c r="F662" s="253">
        <v>17.4092102050781</v>
      </c>
      <c r="G662" s="253">
        <v>17.409763336181602</v>
      </c>
      <c r="H662" s="253">
        <v>17.1964435577393</v>
      </c>
      <c r="I662" s="253">
        <v>17.156021118164102</v>
      </c>
      <c r="J662" s="253">
        <v>17.248268127441399</v>
      </c>
      <c r="K662" s="253">
        <v>17.105394363403299</v>
      </c>
      <c r="L662" s="253">
        <v>17.085474014282202</v>
      </c>
      <c r="M662" s="253">
        <v>16.997465133666999</v>
      </c>
      <c r="N662" s="253">
        <v>16.7497043609619</v>
      </c>
      <c r="O662" s="253">
        <v>16.830522537231399</v>
      </c>
      <c r="P662" s="253">
        <v>16.954969406127901</v>
      </c>
      <c r="Q662" s="253">
        <v>17.1650085449219</v>
      </c>
      <c r="R662" s="253">
        <v>17.2562961578369</v>
      </c>
      <c r="S662" s="253">
        <v>17.321376800537099</v>
      </c>
      <c r="T662" s="253">
        <v>17.262313842773398</v>
      </c>
      <c r="U662" s="253">
        <v>17.454835891723601</v>
      </c>
      <c r="V662" s="253">
        <v>17.584600448608398</v>
      </c>
      <c r="W662" s="253">
        <v>17.847267150878899</v>
      </c>
      <c r="X662" s="253">
        <v>17.9585571289063</v>
      </c>
      <c r="Y662" s="253">
        <v>18.1527404785156</v>
      </c>
    </row>
    <row r="663" spans="1:26" x14ac:dyDescent="0.25">
      <c r="A663" s="249" t="s">
        <v>492</v>
      </c>
      <c r="B663" s="253">
        <v>7.2317700386047399</v>
      </c>
      <c r="C663" s="253">
        <v>9.0444478988647496</v>
      </c>
      <c r="D663" s="253">
        <v>9.7142210006713903</v>
      </c>
      <c r="E663" s="253">
        <v>9.7955017089843803</v>
      </c>
      <c r="F663" s="253">
        <v>9.2987012863159197</v>
      </c>
      <c r="G663" s="253">
        <v>9.0087041854858398</v>
      </c>
      <c r="H663" s="253">
        <v>8.73461818695068</v>
      </c>
      <c r="I663" s="253">
        <v>8.6602125167846697</v>
      </c>
      <c r="J663" s="253">
        <v>8.6087532043456996</v>
      </c>
      <c r="K663" s="253">
        <v>8.6854057312011701</v>
      </c>
      <c r="L663" s="253">
        <v>8.7734069824218803</v>
      </c>
      <c r="M663" s="253">
        <v>8.9131555557250994</v>
      </c>
      <c r="N663" s="253">
        <v>9.0697097778320295</v>
      </c>
      <c r="O663" s="253">
        <v>9.1761322021484393</v>
      </c>
      <c r="P663" s="253">
        <v>9.2086582183837908</v>
      </c>
      <c r="Q663" s="253">
        <v>9.1414461135864293</v>
      </c>
      <c r="R663" s="253">
        <v>9.1881532669067401</v>
      </c>
      <c r="S663" s="253">
        <v>9.3183298110961896</v>
      </c>
      <c r="T663" s="253">
        <v>9.5262966156005895</v>
      </c>
      <c r="U663" s="253">
        <v>9.6340904235839808</v>
      </c>
      <c r="V663" s="253">
        <v>9.6386470794677699</v>
      </c>
      <c r="W663" s="253">
        <v>9.6553201675415004</v>
      </c>
      <c r="X663" s="253">
        <v>9.7052288055419904</v>
      </c>
      <c r="Y663" s="253">
        <v>9.7829256057739293</v>
      </c>
    </row>
    <row r="664" spans="1:26" x14ac:dyDescent="0.25">
      <c r="A664" s="282" t="s">
        <v>497</v>
      </c>
      <c r="B664" s="253">
        <v>14.6543264389038</v>
      </c>
      <c r="C664" s="253">
        <v>16.232709884643601</v>
      </c>
      <c r="D664" s="253">
        <v>19.6646022796631</v>
      </c>
      <c r="E664" s="253">
        <v>19.716905593872099</v>
      </c>
      <c r="F664" s="253">
        <v>20.910398483276399</v>
      </c>
      <c r="G664" s="253">
        <v>20.088336944580099</v>
      </c>
      <c r="H664" s="253">
        <v>20.034643173217798</v>
      </c>
      <c r="I664" s="253">
        <v>19.876234054565401</v>
      </c>
      <c r="J664" s="253">
        <v>19.0899848937988</v>
      </c>
      <c r="K664" s="253">
        <v>19.0770473480225</v>
      </c>
      <c r="L664" s="253">
        <v>18.9334907531738</v>
      </c>
      <c r="M664" s="253">
        <v>18.8203315734863</v>
      </c>
      <c r="N664" s="253">
        <v>18.8769016265869</v>
      </c>
      <c r="O664" s="253">
        <v>18.733657836914102</v>
      </c>
      <c r="P664" s="253">
        <v>18.836368560791001</v>
      </c>
      <c r="Q664" s="253">
        <v>18.717578887939499</v>
      </c>
      <c r="R664" s="253">
        <v>18.677961349487301</v>
      </c>
      <c r="S664" s="253">
        <v>18.768825531005898</v>
      </c>
      <c r="T664" s="253">
        <v>18.702945709228501</v>
      </c>
      <c r="U664" s="253">
        <v>19.039726257324201</v>
      </c>
      <c r="V664" s="253">
        <v>19.213029861450199</v>
      </c>
      <c r="W664" s="253">
        <v>19.429216384887699</v>
      </c>
      <c r="X664" s="253">
        <v>19.537574768066399</v>
      </c>
      <c r="Y664" s="253">
        <v>19.6945476531982</v>
      </c>
      <c r="Z664" s="289">
        <f>Y664+($AI$494-$Y$664)/10</f>
        <v>19.593947309306923</v>
      </c>
    </row>
    <row r="665" spans="1:26" x14ac:dyDescent="0.25">
      <c r="A665" s="249" t="s">
        <v>479</v>
      </c>
      <c r="B665" s="253">
        <v>20.034517288208001</v>
      </c>
      <c r="C665" s="253">
        <v>20.636144638061499</v>
      </c>
      <c r="D665" s="253">
        <v>21.2071418762207</v>
      </c>
      <c r="E665" s="253">
        <v>20.9249382019043</v>
      </c>
      <c r="F665" s="253">
        <v>20.016746520996101</v>
      </c>
      <c r="G665" s="253">
        <v>19.1842136383057</v>
      </c>
      <c r="H665" s="253">
        <v>18.876358032226602</v>
      </c>
      <c r="I665" s="253">
        <v>18.930015563964801</v>
      </c>
      <c r="J665" s="253">
        <v>18.9569396972656</v>
      </c>
      <c r="K665" s="253">
        <v>18.971715927123999</v>
      </c>
      <c r="L665" s="253">
        <v>19.161241531372099</v>
      </c>
      <c r="M665" s="253">
        <v>19.352525711059599</v>
      </c>
      <c r="N665" s="253">
        <v>19.6624240875244</v>
      </c>
      <c r="O665" s="253">
        <v>19.699916839599599</v>
      </c>
      <c r="P665" s="253">
        <v>19.754545211791999</v>
      </c>
      <c r="Q665" s="253">
        <v>19.6803493499756</v>
      </c>
      <c r="R665" s="253">
        <v>19.749149322509801</v>
      </c>
      <c r="S665" s="253">
        <v>19.913064956665</v>
      </c>
      <c r="T665" s="253">
        <v>20.148523330688501</v>
      </c>
      <c r="U665" s="253">
        <v>20.261070251464801</v>
      </c>
      <c r="V665" s="253">
        <v>20.168498992919901</v>
      </c>
      <c r="W665" s="253">
        <v>20.043989181518601</v>
      </c>
      <c r="X665" s="253">
        <v>20.096965789794901</v>
      </c>
      <c r="Y665" s="253">
        <v>20.154518127441399</v>
      </c>
    </row>
    <row r="666" spans="1:26" x14ac:dyDescent="0.25">
      <c r="A666" s="249" t="s">
        <v>440</v>
      </c>
      <c r="B666" s="253" t="s">
        <v>440</v>
      </c>
      <c r="C666" s="253" t="s">
        <v>440</v>
      </c>
      <c r="D666" s="253" t="s">
        <v>440</v>
      </c>
      <c r="E666" s="253" t="s">
        <v>440</v>
      </c>
      <c r="F666" s="253" t="s">
        <v>440</v>
      </c>
      <c r="G666" s="253" t="s">
        <v>440</v>
      </c>
      <c r="H666" s="253" t="s">
        <v>440</v>
      </c>
      <c r="I666" s="253" t="s">
        <v>440</v>
      </c>
      <c r="J666" s="253" t="s">
        <v>440</v>
      </c>
      <c r="K666" s="253" t="s">
        <v>440</v>
      </c>
      <c r="L666" s="253" t="s">
        <v>440</v>
      </c>
      <c r="M666" s="253" t="s">
        <v>440</v>
      </c>
      <c r="N666" s="253" t="s">
        <v>440</v>
      </c>
      <c r="O666" s="253" t="s">
        <v>440</v>
      </c>
      <c r="P666" s="253" t="s">
        <v>440</v>
      </c>
      <c r="Q666" s="253" t="s">
        <v>440</v>
      </c>
      <c r="R666" s="253" t="s">
        <v>440</v>
      </c>
      <c r="S666" s="253" t="s">
        <v>440</v>
      </c>
      <c r="T666" s="253" t="s">
        <v>440</v>
      </c>
      <c r="U666" s="253" t="s">
        <v>440</v>
      </c>
      <c r="V666" s="253" t="s">
        <v>440</v>
      </c>
      <c r="W666" s="253" t="s">
        <v>440</v>
      </c>
      <c r="X666" s="253" t="s">
        <v>440</v>
      </c>
      <c r="Y666" s="253" t="s">
        <v>440</v>
      </c>
    </row>
    <row r="667" spans="1:26" x14ac:dyDescent="0.25">
      <c r="A667" s="249" t="s">
        <v>498</v>
      </c>
      <c r="B667" s="253">
        <v>10.2607097625732</v>
      </c>
      <c r="C667" s="253">
        <v>11.4965677261353</v>
      </c>
      <c r="D667" s="253">
        <v>12.4990587234497</v>
      </c>
      <c r="E667" s="253">
        <v>12.3170623779297</v>
      </c>
      <c r="F667" s="253">
        <v>12.135007858276399</v>
      </c>
      <c r="G667" s="253">
        <v>11.845267295837401</v>
      </c>
      <c r="H667" s="253">
        <v>11.6573295593262</v>
      </c>
      <c r="I667" s="253">
        <v>11.6295518875122</v>
      </c>
      <c r="J667" s="253">
        <v>11.5503234863281</v>
      </c>
      <c r="K667" s="253">
        <v>11.540096282959</v>
      </c>
      <c r="L667" s="253">
        <v>11.6076335906982</v>
      </c>
      <c r="M667" s="253">
        <v>11.667243003845201</v>
      </c>
      <c r="N667" s="253">
        <v>11.774538040161101</v>
      </c>
      <c r="O667" s="253">
        <v>11.796236991882299</v>
      </c>
      <c r="P667" s="253">
        <v>11.871965408325201</v>
      </c>
      <c r="Q667" s="253">
        <v>11.843188285827599</v>
      </c>
      <c r="R667" s="253">
        <v>11.9137773513794</v>
      </c>
      <c r="S667" s="253">
        <v>12.034348487854</v>
      </c>
      <c r="T667" s="253">
        <v>12.153738975524901</v>
      </c>
      <c r="U667" s="253">
        <v>12.3460960388184</v>
      </c>
      <c r="V667" s="253">
        <v>12.4321403503418</v>
      </c>
      <c r="W667" s="253">
        <v>12.5191946029663</v>
      </c>
      <c r="X667" s="253">
        <v>12.636996269226101</v>
      </c>
      <c r="Y667" s="253">
        <v>12.8200740814209</v>
      </c>
    </row>
    <row r="668" spans="1:26" x14ac:dyDescent="0.25">
      <c r="A668" s="249" t="s">
        <v>483</v>
      </c>
      <c r="B668" s="253">
        <v>7.8488264083862296</v>
      </c>
      <c r="C668" s="253">
        <v>9.3171482086181605</v>
      </c>
      <c r="D668" s="253">
        <v>10.527009010314901</v>
      </c>
      <c r="E668" s="253">
        <v>10.2968044281006</v>
      </c>
      <c r="F668" s="253">
        <v>10.2268390655518</v>
      </c>
      <c r="G668" s="253">
        <v>10.0435380935669</v>
      </c>
      <c r="H668" s="253">
        <v>9.9028997421264595</v>
      </c>
      <c r="I668" s="253">
        <v>9.8629217147827095</v>
      </c>
      <c r="J668" s="253">
        <v>9.7728738784790004</v>
      </c>
      <c r="K668" s="253">
        <v>9.75823974609375</v>
      </c>
      <c r="L668" s="253">
        <v>9.7822933197021502</v>
      </c>
      <c r="M668" s="253">
        <v>9.7888011932372994</v>
      </c>
      <c r="N668" s="253">
        <v>9.8279809951782209</v>
      </c>
      <c r="O668" s="253">
        <v>9.8149814605712908</v>
      </c>
      <c r="P668" s="253">
        <v>9.8643417358398402</v>
      </c>
      <c r="Q668" s="253">
        <v>9.8190460205078107</v>
      </c>
      <c r="R668" s="253">
        <v>9.8615427017211896</v>
      </c>
      <c r="S668" s="253">
        <v>9.9469861984252894</v>
      </c>
      <c r="T668" s="253">
        <v>10.0096731185913</v>
      </c>
      <c r="U668" s="253">
        <v>10.190193176269499</v>
      </c>
      <c r="V668" s="253">
        <v>10.288735389709499</v>
      </c>
      <c r="W668" s="253">
        <v>10.396104812622101</v>
      </c>
      <c r="X668" s="253">
        <v>10.5091648101807</v>
      </c>
      <c r="Y668" s="253">
        <v>10.694952964782701</v>
      </c>
    </row>
    <row r="669" spans="1:26" x14ac:dyDescent="0.25">
      <c r="A669" s="249" t="s">
        <v>479</v>
      </c>
      <c r="B669" s="253">
        <v>21.599882125854499</v>
      </c>
      <c r="C669" s="253">
        <v>21.735733032226602</v>
      </c>
      <c r="D669" s="253">
        <v>21.731866836547901</v>
      </c>
      <c r="E669" s="253">
        <v>21.659553527831999</v>
      </c>
      <c r="F669" s="253">
        <v>20.918876647949201</v>
      </c>
      <c r="G669" s="253">
        <v>20.055833816528299</v>
      </c>
      <c r="H669" s="253">
        <v>19.596654891967798</v>
      </c>
      <c r="I669" s="253">
        <v>19.579929351806602</v>
      </c>
      <c r="J669" s="253">
        <v>19.517631530761701</v>
      </c>
      <c r="K669" s="253">
        <v>19.486770629882798</v>
      </c>
      <c r="L669" s="253">
        <v>19.702039718627901</v>
      </c>
      <c r="M669" s="253">
        <v>19.955158233642599</v>
      </c>
      <c r="N669" s="253">
        <v>20.317079544067401</v>
      </c>
      <c r="O669" s="253">
        <v>20.442613601684599</v>
      </c>
      <c r="P669" s="253">
        <v>20.578334808349599</v>
      </c>
      <c r="Q669" s="253">
        <v>20.580734252929702</v>
      </c>
      <c r="R669" s="253">
        <v>20.7274265289307</v>
      </c>
      <c r="S669" s="253">
        <v>20.953577041626001</v>
      </c>
      <c r="T669" s="253">
        <v>21.262916564941399</v>
      </c>
      <c r="U669" s="253">
        <v>21.454774856567401</v>
      </c>
      <c r="V669" s="253">
        <v>21.4308891296387</v>
      </c>
      <c r="W669" s="253">
        <v>21.3733520507813</v>
      </c>
      <c r="X669" s="253">
        <v>21.452013015747099</v>
      </c>
      <c r="Y669" s="253">
        <v>21.5757865905762</v>
      </c>
    </row>
    <row r="670" spans="1:26" x14ac:dyDescent="0.25">
      <c r="A670" s="249" t="s">
        <v>440</v>
      </c>
      <c r="B670" s="253" t="s">
        <v>440</v>
      </c>
      <c r="C670" s="253" t="s">
        <v>440</v>
      </c>
      <c r="D670" s="253" t="s">
        <v>440</v>
      </c>
      <c r="E670" s="253" t="s">
        <v>440</v>
      </c>
      <c r="F670" s="253" t="s">
        <v>440</v>
      </c>
      <c r="G670" s="253" t="s">
        <v>440</v>
      </c>
      <c r="H670" s="253" t="s">
        <v>440</v>
      </c>
      <c r="I670" s="253" t="s">
        <v>440</v>
      </c>
      <c r="J670" s="253" t="s">
        <v>440</v>
      </c>
      <c r="K670" s="253" t="s">
        <v>440</v>
      </c>
      <c r="L670" s="253" t="s">
        <v>440</v>
      </c>
      <c r="M670" s="253" t="s">
        <v>440</v>
      </c>
      <c r="N670" s="253" t="s">
        <v>440</v>
      </c>
      <c r="O670" s="253" t="s">
        <v>440</v>
      </c>
      <c r="P670" s="253" t="s">
        <v>440</v>
      </c>
      <c r="Q670" s="253" t="s">
        <v>440</v>
      </c>
      <c r="R670" s="253" t="s">
        <v>440</v>
      </c>
      <c r="S670" s="253" t="s">
        <v>440</v>
      </c>
      <c r="T670" s="253" t="s">
        <v>440</v>
      </c>
      <c r="U670" s="253" t="s">
        <v>440</v>
      </c>
      <c r="V670" s="253" t="s">
        <v>440</v>
      </c>
      <c r="W670" s="253" t="s">
        <v>440</v>
      </c>
      <c r="X670" s="253" t="s">
        <v>440</v>
      </c>
      <c r="Y670" s="253" t="s">
        <v>440</v>
      </c>
    </row>
    <row r="671" spans="1:26" x14ac:dyDescent="0.25">
      <c r="A671" s="249" t="s">
        <v>499</v>
      </c>
      <c r="B671" s="253" t="s">
        <v>440</v>
      </c>
      <c r="C671" s="253" t="s">
        <v>440</v>
      </c>
      <c r="D671" s="253" t="s">
        <v>440</v>
      </c>
      <c r="E671" s="253" t="s">
        <v>440</v>
      </c>
      <c r="F671" s="253" t="s">
        <v>440</v>
      </c>
      <c r="G671" s="253" t="s">
        <v>440</v>
      </c>
      <c r="H671" s="253" t="s">
        <v>440</v>
      </c>
      <c r="I671" s="253" t="s">
        <v>440</v>
      </c>
      <c r="J671" s="253" t="s">
        <v>440</v>
      </c>
      <c r="K671" s="253" t="s">
        <v>440</v>
      </c>
      <c r="L671" s="253" t="s">
        <v>440</v>
      </c>
      <c r="M671" s="253" t="s">
        <v>440</v>
      </c>
      <c r="N671" s="253" t="s">
        <v>440</v>
      </c>
      <c r="O671" s="253" t="s">
        <v>440</v>
      </c>
      <c r="P671" s="253" t="s">
        <v>440</v>
      </c>
      <c r="Q671" s="253" t="s">
        <v>440</v>
      </c>
      <c r="R671" s="253" t="s">
        <v>440</v>
      </c>
      <c r="S671" s="253" t="s">
        <v>440</v>
      </c>
      <c r="T671" s="253" t="s">
        <v>440</v>
      </c>
      <c r="U671" s="253" t="s">
        <v>440</v>
      </c>
      <c r="V671" s="253" t="s">
        <v>440</v>
      </c>
      <c r="W671" s="253" t="s">
        <v>440</v>
      </c>
      <c r="X671" s="253" t="s">
        <v>440</v>
      </c>
      <c r="Y671" s="253" t="s">
        <v>440</v>
      </c>
    </row>
    <row r="672" spans="1:26" x14ac:dyDescent="0.25">
      <c r="A672" s="249" t="s">
        <v>500</v>
      </c>
      <c r="B672" s="253">
        <v>1.8996955156326301</v>
      </c>
      <c r="C672" s="253">
        <v>2.2409727573394802</v>
      </c>
      <c r="D672" s="253">
        <v>2.4239859580993701</v>
      </c>
      <c r="E672" s="253">
        <v>2.3793189525604199</v>
      </c>
      <c r="F672" s="253">
        <v>2.2557969093322798</v>
      </c>
      <c r="G672" s="253">
        <v>2.16659760475159</v>
      </c>
      <c r="H672" s="253">
        <v>2.1260316371917698</v>
      </c>
      <c r="I672" s="253">
        <v>2.1242508888244598</v>
      </c>
      <c r="J672" s="253">
        <v>2.1216156482696502</v>
      </c>
      <c r="K672" s="253">
        <v>2.1531240940093999</v>
      </c>
      <c r="L672" s="253">
        <v>2.1922359466552699</v>
      </c>
      <c r="M672" s="253">
        <v>2.2451419830322301</v>
      </c>
      <c r="N672" s="253">
        <v>2.2968165874481201</v>
      </c>
      <c r="O672" s="253">
        <v>2.3293662071228001</v>
      </c>
      <c r="P672" s="253">
        <v>2.3501963615417498</v>
      </c>
      <c r="Q672" s="253">
        <v>2.3520054817199698</v>
      </c>
      <c r="R672" s="253">
        <v>2.3871843814849898</v>
      </c>
      <c r="S672" s="253">
        <v>2.4302341938018799</v>
      </c>
      <c r="T672" s="253">
        <v>2.5017471313476598</v>
      </c>
      <c r="U672" s="253">
        <v>2.5190291404724099</v>
      </c>
      <c r="V672" s="253">
        <v>2.50686860084534</v>
      </c>
      <c r="W672" s="253">
        <v>2.48747658729553</v>
      </c>
      <c r="X672" s="253">
        <v>2.5030989646911599</v>
      </c>
      <c r="Y672" s="253">
        <v>2.5170097351074201</v>
      </c>
    </row>
    <row r="673" spans="1:26" x14ac:dyDescent="0.25">
      <c r="A673" s="249" t="s">
        <v>502</v>
      </c>
      <c r="B673" s="253">
        <v>4.3748912811279297</v>
      </c>
      <c r="C673" s="253">
        <v>5.2786889076232901</v>
      </c>
      <c r="D673" s="253">
        <v>5.9517350196838397</v>
      </c>
      <c r="E673" s="253">
        <v>5.8146204948425302</v>
      </c>
      <c r="F673" s="253">
        <v>6.06520652770996</v>
      </c>
      <c r="G673" s="253">
        <v>6.0658583641052202</v>
      </c>
      <c r="H673" s="253">
        <v>6.0610094070434597</v>
      </c>
      <c r="I673" s="253">
        <v>6.0499844551086399</v>
      </c>
      <c r="J673" s="253">
        <v>6.0430412292480504</v>
      </c>
      <c r="K673" s="253">
        <v>6.00789546966553</v>
      </c>
      <c r="L673" s="253">
        <v>5.9784431457519496</v>
      </c>
      <c r="M673" s="253">
        <v>5.9840416908264196</v>
      </c>
      <c r="N673" s="253">
        <v>6.0042037963867196</v>
      </c>
      <c r="O673" s="253">
        <v>6.0128812789917001</v>
      </c>
      <c r="P673" s="253">
        <v>6.0971722602844203</v>
      </c>
      <c r="Q673" s="253">
        <v>6.1627969741821298</v>
      </c>
      <c r="R673" s="253">
        <v>6.2556800842285201</v>
      </c>
      <c r="S673" s="253">
        <v>6.3419466018676802</v>
      </c>
      <c r="T673" s="253">
        <v>6.4189195632934597</v>
      </c>
      <c r="U673" s="253">
        <v>6.5561437606811497</v>
      </c>
      <c r="V673" s="253">
        <v>6.6497230529785201</v>
      </c>
      <c r="W673" s="253">
        <v>6.7551417350768999</v>
      </c>
      <c r="X673" s="253">
        <v>6.8526744842529297</v>
      </c>
      <c r="Y673" s="253">
        <v>6.9808459281921396</v>
      </c>
    </row>
    <row r="674" spans="1:26" x14ac:dyDescent="0.25">
      <c r="A674" s="249" t="s">
        <v>476</v>
      </c>
      <c r="B674" s="253">
        <v>5.6938004493713397</v>
      </c>
      <c r="C674" s="253">
        <v>6.4773354530334499</v>
      </c>
      <c r="D674" s="253">
        <v>7.1750593185424796</v>
      </c>
      <c r="E674" s="253">
        <v>6.8899416923522896</v>
      </c>
      <c r="F674" s="253">
        <v>7.0708780288696298</v>
      </c>
      <c r="G674" s="253">
        <v>7.0249619483947798</v>
      </c>
      <c r="H674" s="253">
        <v>6.9838500022888201</v>
      </c>
      <c r="I674" s="253">
        <v>6.9665460586547896</v>
      </c>
      <c r="J674" s="253">
        <v>6.9450497627258301</v>
      </c>
      <c r="K674" s="253">
        <v>6.8211231231689498</v>
      </c>
      <c r="L674" s="253">
        <v>6.8083920478820801</v>
      </c>
      <c r="M674" s="253">
        <v>6.7952175140380904</v>
      </c>
      <c r="N674" s="253">
        <v>6.8354115486145002</v>
      </c>
      <c r="O674" s="253">
        <v>6.8402228355407697</v>
      </c>
      <c r="P674" s="253">
        <v>6.9283905029296902</v>
      </c>
      <c r="Q674" s="253">
        <v>6.9566001892089799</v>
      </c>
      <c r="R674" s="253">
        <v>7.0452814102172896</v>
      </c>
      <c r="S674" s="253">
        <v>7.1418867111206099</v>
      </c>
      <c r="T674" s="253">
        <v>7.2127375602722203</v>
      </c>
      <c r="U674" s="253">
        <v>7.4472899436950701</v>
      </c>
      <c r="V674" s="253">
        <v>7.5714774131774902</v>
      </c>
      <c r="W674" s="253">
        <v>7.7267389297485396</v>
      </c>
      <c r="X674" s="253">
        <v>7.8528199195861799</v>
      </c>
      <c r="Y674" s="253">
        <v>8.0614786148071307</v>
      </c>
    </row>
    <row r="675" spans="1:26" x14ac:dyDescent="0.25">
      <c r="A675" s="249" t="s">
        <v>481</v>
      </c>
      <c r="B675" s="253">
        <v>3.9850425720214799</v>
      </c>
      <c r="C675" s="253">
        <v>4.7911210060119602</v>
      </c>
      <c r="D675" s="253">
        <v>5.5054440498352104</v>
      </c>
      <c r="E675" s="253">
        <v>5.3836627006530797</v>
      </c>
      <c r="F675" s="253">
        <v>5.6116971969604501</v>
      </c>
      <c r="G675" s="253">
        <v>5.6101722717285201</v>
      </c>
      <c r="H675" s="253">
        <v>5.61515140533447</v>
      </c>
      <c r="I675" s="253">
        <v>5.6134881973266602</v>
      </c>
      <c r="J675" s="253">
        <v>5.6123900413513201</v>
      </c>
      <c r="K675" s="253">
        <v>5.6186213493347203</v>
      </c>
      <c r="L675" s="253">
        <v>5.6204733848571804</v>
      </c>
      <c r="M675" s="253">
        <v>5.6265015602111799</v>
      </c>
      <c r="N675" s="253">
        <v>5.6295571327209499</v>
      </c>
      <c r="O675" s="253">
        <v>5.6379580497741699</v>
      </c>
      <c r="P675" s="253">
        <v>5.71999168395996</v>
      </c>
      <c r="Q675" s="253">
        <v>5.7965455055236799</v>
      </c>
      <c r="R675" s="253">
        <v>5.8776378631591797</v>
      </c>
      <c r="S675" s="253">
        <v>5.9570369720459002</v>
      </c>
      <c r="T675" s="253">
        <v>6.0351238250732404</v>
      </c>
      <c r="U675" s="253">
        <v>6.1149992942810103</v>
      </c>
      <c r="V675" s="253">
        <v>6.1950988769531303</v>
      </c>
      <c r="W675" s="253">
        <v>6.27585792541504</v>
      </c>
      <c r="X675" s="253">
        <v>6.3545475006103498</v>
      </c>
      <c r="Y675" s="253">
        <v>6.4353322982788104</v>
      </c>
    </row>
    <row r="676" spans="1:26" x14ac:dyDescent="0.25">
      <c r="A676" s="274" t="s">
        <v>478</v>
      </c>
      <c r="B676" s="253">
        <v>3.6857740879058798</v>
      </c>
      <c r="C676" s="253">
        <v>5.4593739509582502</v>
      </c>
      <c r="D676" s="253">
        <v>5.9836130142211896</v>
      </c>
      <c r="E676" s="253">
        <v>5.9218006134033203</v>
      </c>
      <c r="F676" s="253">
        <v>5.2758417129516602</v>
      </c>
      <c r="G676" s="253">
        <v>4.86041164398193</v>
      </c>
      <c r="H676" s="253">
        <v>4.5085921287536603</v>
      </c>
      <c r="I676" s="253">
        <v>4.4009499549865696</v>
      </c>
      <c r="J676" s="253">
        <v>4.3143215179443404</v>
      </c>
      <c r="K676" s="253">
        <v>4.3619651794433603</v>
      </c>
      <c r="L676" s="253">
        <v>4.4577717781066903</v>
      </c>
      <c r="M676" s="253">
        <v>4.5935211181640598</v>
      </c>
      <c r="N676" s="253">
        <v>4.72908592224121</v>
      </c>
      <c r="O676" s="253">
        <v>4.8101162910461399</v>
      </c>
      <c r="P676" s="253">
        <v>4.8377823829650897</v>
      </c>
      <c r="Q676" s="253">
        <v>4.7923994064331099</v>
      </c>
      <c r="R676" s="253">
        <v>4.8652648925781303</v>
      </c>
      <c r="S676" s="253">
        <v>5.0083761215209996</v>
      </c>
      <c r="T676" s="253">
        <v>5.2321648597717303</v>
      </c>
      <c r="U676" s="253">
        <v>5.32541704177856</v>
      </c>
      <c r="V676" s="253">
        <v>5.3230118751525897</v>
      </c>
      <c r="W676" s="253">
        <v>5.3357062339782697</v>
      </c>
      <c r="X676" s="253">
        <v>5.3972234725952104</v>
      </c>
      <c r="Y676" s="253">
        <v>5.4970946311950701</v>
      </c>
      <c r="Z676" s="283">
        <f>Y676+($AI$506-$Y$676)/10</f>
        <v>5.5250455710201605</v>
      </c>
    </row>
    <row r="677" spans="1:26" x14ac:dyDescent="0.25">
      <c r="A677" s="278" t="s">
        <v>486</v>
      </c>
      <c r="B677" s="253">
        <v>1.2699717283248899</v>
      </c>
      <c r="C677" s="253">
        <v>1.27919089794159</v>
      </c>
      <c r="D677" s="253">
        <v>1.2835900783538801</v>
      </c>
      <c r="E677" s="253">
        <v>1.28959560394287</v>
      </c>
      <c r="F677" s="253">
        <v>1.29778397083282</v>
      </c>
      <c r="G677" s="253">
        <v>1.28695380687714</v>
      </c>
      <c r="H677" s="253">
        <v>1.28577756881714</v>
      </c>
      <c r="I677" s="253">
        <v>1.27679371833801</v>
      </c>
      <c r="J677" s="253">
        <v>1.26281106472015</v>
      </c>
      <c r="K677" s="253">
        <v>1.25397908687592</v>
      </c>
      <c r="L677" s="253">
        <v>1.2489364147186299</v>
      </c>
      <c r="M677" s="253">
        <v>1.2449804544448899</v>
      </c>
      <c r="N677" s="253">
        <v>1.2430621385574301</v>
      </c>
      <c r="O677" s="253">
        <v>1.24259686470032</v>
      </c>
      <c r="P677" s="253">
        <v>1.24424111843109</v>
      </c>
      <c r="Q677" s="253">
        <v>1.2428184747695901</v>
      </c>
      <c r="R677" s="253">
        <v>1.24728739261627</v>
      </c>
      <c r="S677" s="253">
        <v>1.2513284683227499</v>
      </c>
      <c r="T677" s="253">
        <v>1.2762980461120601</v>
      </c>
      <c r="U677" s="253">
        <v>1.2851967811584499</v>
      </c>
      <c r="V677" s="253">
        <v>1.2969329357147199</v>
      </c>
      <c r="W677" s="253">
        <v>1.3016670942306501</v>
      </c>
      <c r="X677" s="253">
        <v>1.31676089763641</v>
      </c>
      <c r="Y677" s="253">
        <v>1.3290703296661399</v>
      </c>
      <c r="Z677" s="291">
        <f>Y677+($AI$507-$Y$677)/10</f>
        <v>1.3327822261431892</v>
      </c>
    </row>
    <row r="678" spans="1:26" x14ac:dyDescent="0.25">
      <c r="A678" s="249" t="s">
        <v>440</v>
      </c>
      <c r="B678" s="253" t="s">
        <v>440</v>
      </c>
      <c r="C678" s="253" t="s">
        <v>440</v>
      </c>
      <c r="D678" s="253" t="s">
        <v>440</v>
      </c>
      <c r="E678" s="253" t="s">
        <v>440</v>
      </c>
      <c r="F678" s="253" t="s">
        <v>440</v>
      </c>
      <c r="G678" s="253" t="s">
        <v>440</v>
      </c>
      <c r="H678" s="253" t="s">
        <v>440</v>
      </c>
      <c r="I678" s="253" t="s">
        <v>440</v>
      </c>
      <c r="J678" s="253" t="s">
        <v>440</v>
      </c>
      <c r="K678" s="253" t="s">
        <v>440</v>
      </c>
      <c r="L678" s="253" t="s">
        <v>440</v>
      </c>
      <c r="M678" s="253" t="s">
        <v>440</v>
      </c>
      <c r="N678" s="253" t="s">
        <v>440</v>
      </c>
      <c r="O678" s="253" t="s">
        <v>440</v>
      </c>
      <c r="P678" s="253" t="s">
        <v>440</v>
      </c>
      <c r="Q678" s="253" t="s">
        <v>440</v>
      </c>
      <c r="R678" s="253" t="s">
        <v>440</v>
      </c>
      <c r="S678" s="253" t="s">
        <v>440</v>
      </c>
      <c r="T678" s="253" t="s">
        <v>440</v>
      </c>
      <c r="U678" s="253" t="s">
        <v>440</v>
      </c>
      <c r="V678" s="253" t="s">
        <v>440</v>
      </c>
      <c r="W678" s="253" t="s">
        <v>440</v>
      </c>
      <c r="X678" s="253" t="s">
        <v>440</v>
      </c>
      <c r="Y678" s="253" t="s">
        <v>440</v>
      </c>
    </row>
    <row r="679" spans="1:26" x14ac:dyDescent="0.25">
      <c r="A679" s="249" t="s">
        <v>503</v>
      </c>
      <c r="B679" s="253" t="s">
        <v>440</v>
      </c>
      <c r="C679" s="253" t="s">
        <v>440</v>
      </c>
      <c r="D679" s="253" t="s">
        <v>440</v>
      </c>
      <c r="E679" s="253" t="s">
        <v>440</v>
      </c>
      <c r="F679" s="253" t="s">
        <v>440</v>
      </c>
      <c r="G679" s="253" t="s">
        <v>440</v>
      </c>
      <c r="H679" s="253" t="s">
        <v>440</v>
      </c>
      <c r="I679" s="253" t="s">
        <v>440</v>
      </c>
      <c r="J679" s="253" t="s">
        <v>440</v>
      </c>
      <c r="K679" s="253" t="s">
        <v>440</v>
      </c>
      <c r="L679" s="253" t="s">
        <v>440</v>
      </c>
      <c r="M679" s="253" t="s">
        <v>440</v>
      </c>
      <c r="N679" s="253" t="s">
        <v>440</v>
      </c>
      <c r="O679" s="253" t="s">
        <v>440</v>
      </c>
      <c r="P679" s="253" t="s">
        <v>440</v>
      </c>
      <c r="Q679" s="253" t="s">
        <v>440</v>
      </c>
      <c r="R679" s="253" t="s">
        <v>440</v>
      </c>
      <c r="S679" s="253" t="s">
        <v>440</v>
      </c>
      <c r="T679" s="253" t="s">
        <v>440</v>
      </c>
      <c r="U679" s="253" t="s">
        <v>440</v>
      </c>
      <c r="V679" s="253" t="s">
        <v>440</v>
      </c>
      <c r="W679" s="253" t="s">
        <v>440</v>
      </c>
      <c r="X679" s="253" t="s">
        <v>440</v>
      </c>
      <c r="Y679" s="253" t="s">
        <v>440</v>
      </c>
    </row>
    <row r="680" spans="1:26" x14ac:dyDescent="0.25">
      <c r="A680" s="249" t="s">
        <v>504</v>
      </c>
      <c r="B680" s="253">
        <v>9.0916013717651403</v>
      </c>
      <c r="C680" s="253">
        <v>10.5092258453369</v>
      </c>
      <c r="D680" s="253">
        <v>12.005053520202599</v>
      </c>
      <c r="E680" s="253">
        <v>11.6376342773438</v>
      </c>
      <c r="F680" s="253">
        <v>11.8251142501831</v>
      </c>
      <c r="G680" s="253">
        <v>11.7351989746094</v>
      </c>
      <c r="H680" s="253">
        <v>11.6926622390747</v>
      </c>
      <c r="I680" s="253">
        <v>11.6848964691162</v>
      </c>
      <c r="J680" s="253">
        <v>11.6311902999878</v>
      </c>
      <c r="K680" s="253">
        <v>11.6124935150146</v>
      </c>
      <c r="L680" s="253">
        <v>11.616386413574199</v>
      </c>
      <c r="M680" s="253">
        <v>11.566198348999</v>
      </c>
      <c r="N680" s="253">
        <v>11.5507049560547</v>
      </c>
      <c r="O680" s="253">
        <v>11.475526809692401</v>
      </c>
      <c r="P680" s="253">
        <v>11.520403861999499</v>
      </c>
      <c r="Q680" s="253">
        <v>11.477831840515099</v>
      </c>
      <c r="R680" s="253">
        <v>11.5152139663696</v>
      </c>
      <c r="S680" s="253">
        <v>11.577165603637701</v>
      </c>
      <c r="T680" s="253">
        <v>11.5678558349609</v>
      </c>
      <c r="U680" s="253">
        <v>11.7752237319946</v>
      </c>
      <c r="V680" s="253">
        <v>11.90793800354</v>
      </c>
      <c r="W680" s="253">
        <v>12.0465354919434</v>
      </c>
      <c r="X680" s="253">
        <v>12.1843271255493</v>
      </c>
      <c r="Y680" s="253">
        <v>12.407506942749</v>
      </c>
    </row>
    <row r="681" spans="1:26" x14ac:dyDescent="0.25">
      <c r="A681" s="249" t="s">
        <v>505</v>
      </c>
      <c r="B681" s="253">
        <v>8.7129955291747994</v>
      </c>
      <c r="C681" s="253">
        <v>9.89868068695068</v>
      </c>
      <c r="D681" s="253">
        <v>10.9323635101318</v>
      </c>
      <c r="E681" s="253">
        <v>10.516573905944799</v>
      </c>
      <c r="F681" s="253">
        <v>10.8896884918213</v>
      </c>
      <c r="G681" s="253">
        <v>11.1545400619507</v>
      </c>
      <c r="H681" s="253">
        <v>11.1602163314819</v>
      </c>
      <c r="I681" s="253">
        <v>11.210696220397899</v>
      </c>
      <c r="J681" s="253">
        <v>11.2655477523804</v>
      </c>
      <c r="K681" s="253">
        <v>11.312797546386699</v>
      </c>
      <c r="L681" s="253">
        <v>11.4240579605103</v>
      </c>
      <c r="M681" s="253">
        <v>11.453408241271999</v>
      </c>
      <c r="N681" s="253">
        <v>11.43030834198</v>
      </c>
      <c r="O681" s="253">
        <v>11.241268157959</v>
      </c>
      <c r="P681" s="253">
        <v>11.0996809005737</v>
      </c>
      <c r="Q681" s="253">
        <v>10.9476537704468</v>
      </c>
      <c r="R681" s="253">
        <v>10.947796821594199</v>
      </c>
      <c r="S681" s="253">
        <v>10.974308013916</v>
      </c>
      <c r="T681" s="253">
        <v>11.019621849060099</v>
      </c>
      <c r="U681" s="253">
        <v>11.1190385818481</v>
      </c>
      <c r="V681" s="253">
        <v>11.172901153564499</v>
      </c>
      <c r="W681" s="253">
        <v>11.2430562973022</v>
      </c>
      <c r="X681" s="253">
        <v>11.376879692077599</v>
      </c>
      <c r="Y681" s="253">
        <v>11.7449541091919</v>
      </c>
    </row>
    <row r="682" spans="1:26" x14ac:dyDescent="0.25">
      <c r="A682" s="249" t="s">
        <v>506</v>
      </c>
      <c r="B682" s="253">
        <v>6.0538434982299796</v>
      </c>
      <c r="C682" s="253">
        <v>6.4578518867492702</v>
      </c>
      <c r="D682" s="253">
        <v>8.1168746948242205</v>
      </c>
      <c r="E682" s="253">
        <v>7.6875567436218297</v>
      </c>
      <c r="F682" s="253">
        <v>7.8739576339721697</v>
      </c>
      <c r="G682" s="253">
        <v>7.8265089988708496</v>
      </c>
      <c r="H682" s="253">
        <v>7.9840884208679199</v>
      </c>
      <c r="I682" s="253">
        <v>8.0166091918945295</v>
      </c>
      <c r="J682" s="253">
        <v>7.8608303070068404</v>
      </c>
      <c r="K682" s="253">
        <v>7.81276655197144</v>
      </c>
      <c r="L682" s="253">
        <v>7.8045797348022496</v>
      </c>
      <c r="M682" s="253">
        <v>7.7928524017334002</v>
      </c>
      <c r="N682" s="253">
        <v>7.7725591659545898</v>
      </c>
      <c r="O682" s="253">
        <v>7.7157216072082502</v>
      </c>
      <c r="P682" s="253">
        <v>7.7164225578308097</v>
      </c>
      <c r="Q682" s="253">
        <v>7.6991229057312003</v>
      </c>
      <c r="R682" s="253">
        <v>7.7546834945678702</v>
      </c>
      <c r="S682" s="253">
        <v>7.8412432670593297</v>
      </c>
      <c r="T682" s="253">
        <v>7.8916783332824698</v>
      </c>
      <c r="U682" s="253">
        <v>8.0530261993408203</v>
      </c>
      <c r="V682" s="253">
        <v>8.1459932327270508</v>
      </c>
      <c r="W682" s="253">
        <v>8.2922735214233398</v>
      </c>
      <c r="X682" s="253">
        <v>8.4199304580688494</v>
      </c>
      <c r="Y682" s="253">
        <v>8.7479171752929705</v>
      </c>
    </row>
    <row r="683" spans="1:26" x14ac:dyDescent="0.25">
      <c r="A683" s="249" t="s">
        <v>507</v>
      </c>
      <c r="B683" s="253">
        <v>9.5166797637939506</v>
      </c>
      <c r="C683" s="253">
        <v>13.0396432876587</v>
      </c>
      <c r="D683" s="253">
        <v>15.6858806610107</v>
      </c>
      <c r="E683" s="253">
        <v>14.0740518569946</v>
      </c>
      <c r="F683" s="253">
        <v>13.2904262542725</v>
      </c>
      <c r="G683" s="253">
        <v>13.309534072876</v>
      </c>
      <c r="H683" s="253">
        <v>13.149743080139199</v>
      </c>
      <c r="I683" s="253">
        <v>13.0244760513306</v>
      </c>
      <c r="J683" s="253">
        <v>13.1580867767334</v>
      </c>
      <c r="K683" s="253">
        <v>12.982262611389199</v>
      </c>
      <c r="L683" s="253">
        <v>12.9337568283081</v>
      </c>
      <c r="M683" s="253">
        <v>12.8646802902222</v>
      </c>
      <c r="N683" s="253">
        <v>12.621651649475099</v>
      </c>
      <c r="O683" s="253">
        <v>12.775475502014199</v>
      </c>
      <c r="P683" s="253">
        <v>12.937217712402299</v>
      </c>
      <c r="Q683" s="253">
        <v>13.1492967605591</v>
      </c>
      <c r="R683" s="253">
        <v>13.286898612976101</v>
      </c>
      <c r="S683" s="253">
        <v>13.3753395080566</v>
      </c>
      <c r="T683" s="253">
        <v>13.277045249939</v>
      </c>
      <c r="U683" s="253">
        <v>13.584378242492701</v>
      </c>
      <c r="V683" s="253">
        <v>13.775920867919901</v>
      </c>
      <c r="W683" s="253">
        <v>13.987989425659199</v>
      </c>
      <c r="X683" s="253">
        <v>14.116153717041</v>
      </c>
      <c r="Y683" s="253">
        <v>14.3756980895996</v>
      </c>
    </row>
    <row r="684" spans="1:26" x14ac:dyDescent="0.25">
      <c r="A684" s="249" t="s">
        <v>508</v>
      </c>
      <c r="B684" s="253">
        <v>11.3185987472534</v>
      </c>
      <c r="C684" s="253">
        <v>12.9258327484131</v>
      </c>
      <c r="D684" s="253">
        <v>14.650143623352101</v>
      </c>
      <c r="E684" s="253">
        <v>14.344244956970201</v>
      </c>
      <c r="F684" s="253">
        <v>14.6975507736206</v>
      </c>
      <c r="G684" s="253">
        <v>14.347893714904799</v>
      </c>
      <c r="H684" s="253">
        <v>14.238919258117701</v>
      </c>
      <c r="I684" s="253">
        <v>14.238542556762701</v>
      </c>
      <c r="J684" s="253">
        <v>14.0666351318359</v>
      </c>
      <c r="K684" s="253">
        <v>14.0516872406006</v>
      </c>
      <c r="L684" s="253">
        <v>14.0139780044556</v>
      </c>
      <c r="M684" s="253">
        <v>13.894681930541999</v>
      </c>
      <c r="N684" s="253">
        <v>13.9225015640259</v>
      </c>
      <c r="O684" s="253">
        <v>13.8080444335938</v>
      </c>
      <c r="P684" s="253">
        <v>13.9091501235962</v>
      </c>
      <c r="Q684" s="253">
        <v>13.810170173645</v>
      </c>
      <c r="R684" s="253">
        <v>13.822598457336399</v>
      </c>
      <c r="S684" s="253">
        <v>13.882239341735801</v>
      </c>
      <c r="T684" s="253">
        <v>13.824323654174799</v>
      </c>
      <c r="U684" s="253">
        <v>14.0693578720093</v>
      </c>
      <c r="V684" s="253">
        <v>14.2271223068237</v>
      </c>
      <c r="W684" s="253">
        <v>14.3637847900391</v>
      </c>
      <c r="X684" s="253">
        <v>14.4981489181519</v>
      </c>
      <c r="Y684" s="253">
        <v>14.5947113037109</v>
      </c>
    </row>
    <row r="685" spans="1:26" x14ac:dyDescent="0.25">
      <c r="A685" s="249" t="s">
        <v>509</v>
      </c>
      <c r="B685" s="253">
        <v>3.9308724403381299</v>
      </c>
      <c r="C685" s="253">
        <v>4.6628575325012198</v>
      </c>
      <c r="D685" s="253">
        <v>5.07232666015625</v>
      </c>
      <c r="E685" s="253">
        <v>5.1433587074279803</v>
      </c>
      <c r="F685" s="253">
        <v>5.4173622131347701</v>
      </c>
      <c r="G685" s="253">
        <v>5.4097323417663601</v>
      </c>
      <c r="H685" s="253">
        <v>5.3977632522582999</v>
      </c>
      <c r="I685" s="253">
        <v>5.3867764472961399</v>
      </c>
      <c r="J685" s="253">
        <v>5.3854241371154803</v>
      </c>
      <c r="K685" s="253">
        <v>5.3919448852539098</v>
      </c>
      <c r="L685" s="253">
        <v>5.3981180191040004</v>
      </c>
      <c r="M685" s="253">
        <v>5.4056487083435103</v>
      </c>
      <c r="N685" s="253">
        <v>5.4104261398315403</v>
      </c>
      <c r="O685" s="253">
        <v>5.4168543815612802</v>
      </c>
      <c r="P685" s="253">
        <v>5.4972262382507298</v>
      </c>
      <c r="Q685" s="253">
        <v>5.5698432922363299</v>
      </c>
      <c r="R685" s="253">
        <v>5.6456804275512704</v>
      </c>
      <c r="S685" s="253">
        <v>5.7250947952270499</v>
      </c>
      <c r="T685" s="253">
        <v>5.8020553588867196</v>
      </c>
      <c r="U685" s="253">
        <v>5.88106393814087</v>
      </c>
      <c r="V685" s="253">
        <v>5.9598326683044398</v>
      </c>
      <c r="W685" s="253">
        <v>6.0394186973571804</v>
      </c>
      <c r="X685" s="253">
        <v>6.11779880523682</v>
      </c>
      <c r="Y685" s="253">
        <v>6.2010583877563503</v>
      </c>
    </row>
    <row r="686" spans="1:26" x14ac:dyDescent="0.25">
      <c r="A686" s="249" t="s">
        <v>510</v>
      </c>
      <c r="B686" s="253">
        <v>5.1461992263793901</v>
      </c>
      <c r="C686" s="253">
        <v>6.8558807373046902</v>
      </c>
      <c r="D686" s="253">
        <v>7.3508062362670898</v>
      </c>
      <c r="E686" s="253">
        <v>7.3840570449829102</v>
      </c>
      <c r="F686" s="253">
        <v>6.7167382240295401</v>
      </c>
      <c r="G686" s="253">
        <v>6.27575588226318</v>
      </c>
      <c r="H686" s="253">
        <v>5.86295366287231</v>
      </c>
      <c r="I686" s="253">
        <v>5.7038016319274902</v>
      </c>
      <c r="J686" s="253">
        <v>5.5520119667053196</v>
      </c>
      <c r="K686" s="253">
        <v>5.5432248115539604</v>
      </c>
      <c r="L686" s="253">
        <v>5.5985813140869096</v>
      </c>
      <c r="M686" s="253">
        <v>5.70459079742432</v>
      </c>
      <c r="N686" s="253">
        <v>5.8318381309509304</v>
      </c>
      <c r="O686" s="253">
        <v>5.9191007614135698</v>
      </c>
      <c r="P686" s="253">
        <v>5.9519534111022896</v>
      </c>
      <c r="Q686" s="253">
        <v>5.8878293037414604</v>
      </c>
      <c r="R686" s="253">
        <v>5.94315385818481</v>
      </c>
      <c r="S686" s="253">
        <v>6.08443307876587</v>
      </c>
      <c r="T686" s="253">
        <v>6.3156557083129901</v>
      </c>
      <c r="U686" s="253">
        <v>6.4281539916992196</v>
      </c>
      <c r="V686" s="253">
        <v>6.4433326721191397</v>
      </c>
      <c r="W686" s="253">
        <v>6.4763746261596697</v>
      </c>
      <c r="X686" s="253">
        <v>6.5396862030029297</v>
      </c>
      <c r="Y686" s="253">
        <v>6.6462817192077601</v>
      </c>
    </row>
    <row r="687" spans="1:26" x14ac:dyDescent="0.25">
      <c r="A687" s="249" t="s">
        <v>511</v>
      </c>
      <c r="B687" s="253">
        <v>1.2938040494918801</v>
      </c>
      <c r="C687" s="253">
        <v>1.29924309253693</v>
      </c>
      <c r="D687" s="253">
        <v>1.3041912317276001</v>
      </c>
      <c r="E687" s="253">
        <v>1.3119194507598899</v>
      </c>
      <c r="F687" s="253">
        <v>1.3187216520309399</v>
      </c>
      <c r="G687" s="253">
        <v>1.3072546720504801</v>
      </c>
      <c r="H687" s="253">
        <v>1.3059933185577399</v>
      </c>
      <c r="I687" s="253">
        <v>1.2971544265747099</v>
      </c>
      <c r="J687" s="253">
        <v>1.2836289405822801</v>
      </c>
      <c r="K687" s="253">
        <v>1.2749706506729099</v>
      </c>
      <c r="L687" s="253">
        <v>1.26953566074371</v>
      </c>
      <c r="M687" s="253">
        <v>1.2652333974838299</v>
      </c>
      <c r="N687" s="253">
        <v>1.2631930112838701</v>
      </c>
      <c r="O687" s="253">
        <v>1.2626041173934901</v>
      </c>
      <c r="P687" s="253">
        <v>1.26433837413788</v>
      </c>
      <c r="Q687" s="253">
        <v>1.26277422904968</v>
      </c>
      <c r="R687" s="253">
        <v>1.2691743373870801</v>
      </c>
      <c r="S687" s="253">
        <v>1.27585673332214</v>
      </c>
      <c r="T687" s="253">
        <v>1.3034254312515301</v>
      </c>
      <c r="U687" s="253">
        <v>1.3139834403991699</v>
      </c>
      <c r="V687" s="253">
        <v>1.32844221591949</v>
      </c>
      <c r="W687" s="253">
        <v>1.3343856334686299</v>
      </c>
      <c r="X687" s="253">
        <v>1.3519768714904801</v>
      </c>
      <c r="Y687" s="253">
        <v>1.3668735027313199</v>
      </c>
    </row>
    <row r="688" spans="1:26" x14ac:dyDescent="0.25">
      <c r="A688" s="249" t="s">
        <v>512</v>
      </c>
      <c r="B688" s="253">
        <v>14.6543264389038</v>
      </c>
      <c r="C688" s="253">
        <v>16.232709884643601</v>
      </c>
      <c r="D688" s="253">
        <v>19.6646022796631</v>
      </c>
      <c r="E688" s="253">
        <v>19.716905593872099</v>
      </c>
      <c r="F688" s="253">
        <v>20.910398483276399</v>
      </c>
      <c r="G688" s="253">
        <v>20.088336944580099</v>
      </c>
      <c r="H688" s="253">
        <v>20.034643173217798</v>
      </c>
      <c r="I688" s="253">
        <v>19.876234054565401</v>
      </c>
      <c r="J688" s="253">
        <v>19.0899848937988</v>
      </c>
      <c r="K688" s="253">
        <v>19.0770473480225</v>
      </c>
      <c r="L688" s="253">
        <v>18.9334907531738</v>
      </c>
      <c r="M688" s="253">
        <v>18.8203315734863</v>
      </c>
      <c r="N688" s="253">
        <v>18.8769016265869</v>
      </c>
      <c r="O688" s="253">
        <v>18.733657836914102</v>
      </c>
      <c r="P688" s="253">
        <v>18.836368560791001</v>
      </c>
      <c r="Q688" s="253">
        <v>18.717578887939499</v>
      </c>
      <c r="R688" s="253">
        <v>18.677961349487301</v>
      </c>
      <c r="S688" s="253">
        <v>18.768825531005898</v>
      </c>
      <c r="T688" s="253">
        <v>18.702945709228501</v>
      </c>
      <c r="U688" s="253">
        <v>19.039726257324201</v>
      </c>
      <c r="V688" s="253">
        <v>19.213029861450199</v>
      </c>
      <c r="W688" s="253">
        <v>19.429216384887699</v>
      </c>
      <c r="X688" s="253">
        <v>19.537574768066399</v>
      </c>
      <c r="Y688" s="253">
        <v>19.6945476531982</v>
      </c>
    </row>
    <row r="689" spans="1:28" x14ac:dyDescent="0.25">
      <c r="A689" s="249" t="s">
        <v>479</v>
      </c>
      <c r="B689" s="253">
        <v>21.599882125854499</v>
      </c>
      <c r="C689" s="253">
        <v>21.735733032226602</v>
      </c>
      <c r="D689" s="253">
        <v>21.731866836547901</v>
      </c>
      <c r="E689" s="253">
        <v>21.659553527831999</v>
      </c>
      <c r="F689" s="253">
        <v>20.918876647949201</v>
      </c>
      <c r="G689" s="253">
        <v>20.055833816528299</v>
      </c>
      <c r="H689" s="253">
        <v>19.596654891967798</v>
      </c>
      <c r="I689" s="253">
        <v>19.579929351806602</v>
      </c>
      <c r="J689" s="253">
        <v>19.517631530761701</v>
      </c>
      <c r="K689" s="253">
        <v>19.486770629882798</v>
      </c>
      <c r="L689" s="253">
        <v>19.702039718627901</v>
      </c>
      <c r="M689" s="253">
        <v>19.955158233642599</v>
      </c>
      <c r="N689" s="253">
        <v>20.317079544067401</v>
      </c>
      <c r="O689" s="253">
        <v>20.442613601684599</v>
      </c>
      <c r="P689" s="253">
        <v>20.578334808349599</v>
      </c>
      <c r="Q689" s="253">
        <v>20.580734252929702</v>
      </c>
      <c r="R689" s="253">
        <v>20.7274265289307</v>
      </c>
      <c r="S689" s="253">
        <v>20.953577041626001</v>
      </c>
      <c r="T689" s="253">
        <v>21.262916564941399</v>
      </c>
      <c r="U689" s="253">
        <v>21.454774856567401</v>
      </c>
      <c r="V689" s="253">
        <v>21.4308891296387</v>
      </c>
      <c r="W689" s="253">
        <v>21.3733520507813</v>
      </c>
      <c r="X689" s="253">
        <v>21.452013015747099</v>
      </c>
      <c r="Y689" s="253">
        <v>21.5757865905762</v>
      </c>
    </row>
    <row r="690" spans="1:28" x14ac:dyDescent="0.25">
      <c r="A690" s="249" t="s">
        <v>440</v>
      </c>
      <c r="B690" s="253" t="s">
        <v>440</v>
      </c>
      <c r="C690" s="253" t="s">
        <v>440</v>
      </c>
      <c r="D690" s="253" t="s">
        <v>440</v>
      </c>
      <c r="E690" s="253" t="s">
        <v>440</v>
      </c>
      <c r="F690" s="253" t="s">
        <v>440</v>
      </c>
      <c r="G690" s="253" t="s">
        <v>440</v>
      </c>
      <c r="H690" s="253" t="s">
        <v>440</v>
      </c>
      <c r="I690" s="253" t="s">
        <v>440</v>
      </c>
      <c r="J690" s="253" t="s">
        <v>440</v>
      </c>
      <c r="K690" s="253" t="s">
        <v>440</v>
      </c>
      <c r="L690" s="253" t="s">
        <v>440</v>
      </c>
      <c r="M690" s="253" t="s">
        <v>440</v>
      </c>
      <c r="N690" s="253" t="s">
        <v>440</v>
      </c>
      <c r="O690" s="253" t="s">
        <v>440</v>
      </c>
      <c r="P690" s="253" t="s">
        <v>440</v>
      </c>
      <c r="Q690" s="253" t="s">
        <v>440</v>
      </c>
      <c r="R690" s="253" t="s">
        <v>440</v>
      </c>
      <c r="S690" s="253" t="s">
        <v>440</v>
      </c>
      <c r="T690" s="253" t="s">
        <v>440</v>
      </c>
      <c r="U690" s="253" t="s">
        <v>440</v>
      </c>
      <c r="V690" s="253" t="s">
        <v>440</v>
      </c>
      <c r="W690" s="253" t="s">
        <v>440</v>
      </c>
      <c r="X690" s="253" t="s">
        <v>440</v>
      </c>
      <c r="Y690" s="253" t="s">
        <v>440</v>
      </c>
    </row>
    <row r="691" spans="1:28" x14ac:dyDescent="0.25">
      <c r="A691" s="249" t="s">
        <v>513</v>
      </c>
      <c r="B691" s="253" t="s">
        <v>440</v>
      </c>
      <c r="C691" s="253" t="s">
        <v>440</v>
      </c>
      <c r="D691" s="253" t="s">
        <v>440</v>
      </c>
      <c r="E691" s="253" t="s">
        <v>440</v>
      </c>
      <c r="F691" s="253" t="s">
        <v>440</v>
      </c>
      <c r="G691" s="253" t="s">
        <v>440</v>
      </c>
      <c r="H691" s="253" t="s">
        <v>440</v>
      </c>
      <c r="I691" s="253" t="s">
        <v>440</v>
      </c>
      <c r="J691" s="253" t="s">
        <v>440</v>
      </c>
      <c r="K691" s="253" t="s">
        <v>440</v>
      </c>
      <c r="L691" s="253" t="s">
        <v>440</v>
      </c>
      <c r="M691" s="253" t="s">
        <v>440</v>
      </c>
      <c r="N691" s="253" t="s">
        <v>440</v>
      </c>
      <c r="O691" s="253" t="s">
        <v>440</v>
      </c>
      <c r="P691" s="253" t="s">
        <v>440</v>
      </c>
      <c r="Q691" s="253" t="s">
        <v>440</v>
      </c>
      <c r="R691" s="253" t="s">
        <v>440</v>
      </c>
      <c r="S691" s="253" t="s">
        <v>440</v>
      </c>
      <c r="T691" s="253" t="s">
        <v>440</v>
      </c>
      <c r="U691" s="253" t="s">
        <v>440</v>
      </c>
      <c r="V691" s="253" t="s">
        <v>440</v>
      </c>
      <c r="W691" s="253" t="s">
        <v>440</v>
      </c>
      <c r="X691" s="253" t="s">
        <v>440</v>
      </c>
      <c r="Y691" s="253" t="s">
        <v>440</v>
      </c>
    </row>
    <row r="692" spans="1:28" x14ac:dyDescent="0.25">
      <c r="A692" s="249" t="s">
        <v>514</v>
      </c>
      <c r="B692" s="253" t="s">
        <v>440</v>
      </c>
      <c r="C692" s="253" t="s">
        <v>440</v>
      </c>
      <c r="D692" s="253" t="s">
        <v>440</v>
      </c>
      <c r="E692" s="253" t="s">
        <v>440</v>
      </c>
      <c r="F692" s="253" t="s">
        <v>440</v>
      </c>
      <c r="G692" s="253" t="s">
        <v>440</v>
      </c>
      <c r="H692" s="253" t="s">
        <v>440</v>
      </c>
      <c r="I692" s="253" t="s">
        <v>440</v>
      </c>
      <c r="J692" s="253" t="s">
        <v>440</v>
      </c>
      <c r="K692" s="253" t="s">
        <v>440</v>
      </c>
      <c r="L692" s="253" t="s">
        <v>440</v>
      </c>
      <c r="M692" s="253" t="s">
        <v>440</v>
      </c>
      <c r="N692" s="253" t="s">
        <v>440</v>
      </c>
      <c r="O692" s="253" t="s">
        <v>440</v>
      </c>
      <c r="P692" s="253" t="s">
        <v>440</v>
      </c>
      <c r="Q692" s="253" t="s">
        <v>440</v>
      </c>
      <c r="R692" s="253" t="s">
        <v>440</v>
      </c>
      <c r="S692" s="253" t="s">
        <v>440</v>
      </c>
      <c r="T692" s="253" t="s">
        <v>440</v>
      </c>
      <c r="U692" s="253" t="s">
        <v>440</v>
      </c>
      <c r="V692" s="253" t="s">
        <v>440</v>
      </c>
      <c r="W692" s="253" t="s">
        <v>440</v>
      </c>
      <c r="X692" s="253" t="s">
        <v>440</v>
      </c>
      <c r="Y692" s="253" t="s">
        <v>440</v>
      </c>
    </row>
    <row r="693" spans="1:28" x14ac:dyDescent="0.25">
      <c r="A693" s="249" t="s">
        <v>473</v>
      </c>
      <c r="B693" s="253">
        <v>163.90481567382801</v>
      </c>
      <c r="C693" s="253">
        <v>177.16523742675801</v>
      </c>
      <c r="D693" s="253">
        <v>181.73590087890599</v>
      </c>
      <c r="E693" s="253">
        <v>185.241622924805</v>
      </c>
      <c r="F693" s="253">
        <v>180.05682373046901</v>
      </c>
      <c r="G693" s="253">
        <v>176.427001953125</v>
      </c>
      <c r="H693" s="253">
        <v>175.07618713378901</v>
      </c>
      <c r="I693" s="253">
        <v>176.51165771484401</v>
      </c>
      <c r="J693" s="253">
        <v>178.08059692382801</v>
      </c>
      <c r="K693" s="253">
        <v>180.014236450195</v>
      </c>
      <c r="L693" s="253">
        <v>183.85498046875</v>
      </c>
      <c r="M693" s="253">
        <v>187.18310546875</v>
      </c>
      <c r="N693" s="253">
        <v>191.43936157226599</v>
      </c>
      <c r="O693" s="253">
        <v>194.37899780273401</v>
      </c>
      <c r="P693" s="253">
        <v>197.52023315429699</v>
      </c>
      <c r="Q693" s="253">
        <v>198.76248168945301</v>
      </c>
      <c r="R693" s="253">
        <v>201.94073486328099</v>
      </c>
      <c r="S693" s="253">
        <v>206.017013549805</v>
      </c>
      <c r="T693" s="253">
        <v>211.20541381835901</v>
      </c>
      <c r="U693" s="253">
        <v>214.41099548339801</v>
      </c>
      <c r="V693" s="253">
        <v>216.40347290039099</v>
      </c>
      <c r="W693" s="253">
        <v>218.64796447753901</v>
      </c>
      <c r="X693" s="253">
        <v>222.25126647949199</v>
      </c>
      <c r="Y693" s="253">
        <v>225.36584472656301</v>
      </c>
      <c r="AA693" s="305"/>
      <c r="AB693" s="305"/>
    </row>
    <row r="694" spans="1:28" x14ac:dyDescent="0.25">
      <c r="A694" s="249" t="s">
        <v>480</v>
      </c>
      <c r="B694" s="253">
        <v>122.690147399902</v>
      </c>
      <c r="C694" s="253">
        <v>128.153732299805</v>
      </c>
      <c r="D694" s="253">
        <v>130.48612976074199</v>
      </c>
      <c r="E694" s="253">
        <v>132.29133605957</v>
      </c>
      <c r="F694" s="253">
        <v>129.27566528320301</v>
      </c>
      <c r="G694" s="253">
        <v>126.887260437012</v>
      </c>
      <c r="H694" s="253">
        <v>126.692184448242</v>
      </c>
      <c r="I694" s="253">
        <v>129.41491699218801</v>
      </c>
      <c r="J694" s="253">
        <v>131.90731811523401</v>
      </c>
      <c r="K694" s="253">
        <v>135.04089355468801</v>
      </c>
      <c r="L694" s="253">
        <v>139.741943359375</v>
      </c>
      <c r="M694" s="253">
        <v>144.63902282714801</v>
      </c>
      <c r="N694" s="253">
        <v>150.53921508789099</v>
      </c>
      <c r="O694" s="253">
        <v>154.864669799805</v>
      </c>
      <c r="P694" s="253">
        <v>159.25378417968801</v>
      </c>
      <c r="Q694" s="253">
        <v>162.59527587890599</v>
      </c>
      <c r="R694" s="253">
        <v>167.29981994628901</v>
      </c>
      <c r="S694" s="253">
        <v>172.854415893555</v>
      </c>
      <c r="T694" s="253">
        <v>179.18412780761699</v>
      </c>
      <c r="U694" s="253">
        <v>184.76553344726599</v>
      </c>
      <c r="V694" s="253">
        <v>188.65592956543</v>
      </c>
      <c r="W694" s="253">
        <v>192.56275939941401</v>
      </c>
      <c r="X694" s="253">
        <v>197.80290222168</v>
      </c>
      <c r="Y694" s="253">
        <v>203.64804077148401</v>
      </c>
    </row>
    <row r="695" spans="1:28" x14ac:dyDescent="0.25">
      <c r="A695" s="249" t="s">
        <v>515</v>
      </c>
      <c r="B695" s="253">
        <v>124.39901733398401</v>
      </c>
      <c r="C695" s="253">
        <v>147.11244201660199</v>
      </c>
      <c r="D695" s="253">
        <v>168.13270568847699</v>
      </c>
      <c r="E695" s="253">
        <v>167.53501892089801</v>
      </c>
      <c r="F695" s="253">
        <v>157.82022094726599</v>
      </c>
      <c r="G695" s="253">
        <v>152.842697143555</v>
      </c>
      <c r="H695" s="253">
        <v>151.28466796875</v>
      </c>
      <c r="I695" s="253">
        <v>151.59564208984401</v>
      </c>
      <c r="J695" s="253">
        <v>151.94683837890599</v>
      </c>
      <c r="K695" s="253">
        <v>152.62234497070301</v>
      </c>
      <c r="L695" s="253">
        <v>154.60144042968801</v>
      </c>
      <c r="M695" s="253">
        <v>156.88139343261699</v>
      </c>
      <c r="N695" s="253">
        <v>159.98997497558599</v>
      </c>
      <c r="O695" s="253">
        <v>162.62356567382801</v>
      </c>
      <c r="P695" s="253">
        <v>164.507247924805</v>
      </c>
      <c r="Q695" s="253">
        <v>166.59835815429699</v>
      </c>
      <c r="R695" s="253">
        <v>170.382568359375</v>
      </c>
      <c r="S695" s="253">
        <v>174.95167541503901</v>
      </c>
      <c r="T695" s="253">
        <v>179.57080078125</v>
      </c>
      <c r="U695" s="253">
        <v>184.12712097168</v>
      </c>
      <c r="V695" s="253">
        <v>186.42012023925801</v>
      </c>
      <c r="W695" s="253">
        <v>189.56260681152301</v>
      </c>
      <c r="X695" s="253">
        <v>192.98284912109401</v>
      </c>
      <c r="Y695" s="253">
        <v>198.25885009765599</v>
      </c>
    </row>
    <row r="696" spans="1:28" x14ac:dyDescent="0.25">
      <c r="A696" s="249" t="s">
        <v>487</v>
      </c>
      <c r="B696" s="253">
        <v>263.72879028320301</v>
      </c>
      <c r="C696" s="253">
        <v>302.59255981445301</v>
      </c>
      <c r="D696" s="253">
        <v>352.23825073242199</v>
      </c>
      <c r="E696" s="253">
        <v>351.13717651367199</v>
      </c>
      <c r="F696" s="253">
        <v>366.34793090820301</v>
      </c>
      <c r="G696" s="253">
        <v>368.76159667968801</v>
      </c>
      <c r="H696" s="253">
        <v>374.76626586914102</v>
      </c>
      <c r="I696" s="253">
        <v>382.39471435546898</v>
      </c>
      <c r="J696" s="253">
        <v>385.90115356445301</v>
      </c>
      <c r="K696" s="253">
        <v>392.12625122070301</v>
      </c>
      <c r="L696" s="253">
        <v>398.68222045898398</v>
      </c>
      <c r="M696" s="253">
        <v>403.06192016601602</v>
      </c>
      <c r="N696" s="253">
        <v>409.94515991210898</v>
      </c>
      <c r="O696" s="253">
        <v>412.30630493164102</v>
      </c>
      <c r="P696" s="253">
        <v>418.64147949218801</v>
      </c>
      <c r="Q696" s="253">
        <v>421.60382080078102</v>
      </c>
      <c r="R696" s="253">
        <v>428.44393920898398</v>
      </c>
      <c r="S696" s="253">
        <v>436.35858154296898</v>
      </c>
      <c r="T696" s="253">
        <v>441.71078491210898</v>
      </c>
      <c r="U696" s="253">
        <v>454.05059814453102</v>
      </c>
      <c r="V696" s="253">
        <v>464.07431030273398</v>
      </c>
      <c r="W696" s="253">
        <v>474.87463378906301</v>
      </c>
      <c r="X696" s="253">
        <v>486.72909545898398</v>
      </c>
      <c r="Y696" s="253">
        <v>501.322265625</v>
      </c>
    </row>
    <row r="697" spans="1:28" x14ac:dyDescent="0.25">
      <c r="A697" s="249" t="s">
        <v>516</v>
      </c>
      <c r="B697" s="253">
        <v>674.72277832031295</v>
      </c>
      <c r="C697" s="253">
        <v>755.02398681640602</v>
      </c>
      <c r="D697" s="253">
        <v>832.593017578125</v>
      </c>
      <c r="E697" s="253">
        <v>836.20513916015602</v>
      </c>
      <c r="F697" s="253">
        <v>833.50061035156295</v>
      </c>
      <c r="G697" s="253">
        <v>824.91857910156295</v>
      </c>
      <c r="H697" s="253">
        <v>827.8193359375</v>
      </c>
      <c r="I697" s="253">
        <v>839.91693115234398</v>
      </c>
      <c r="J697" s="253">
        <v>847.8359375</v>
      </c>
      <c r="K697" s="253">
        <v>859.8037109375</v>
      </c>
      <c r="L697" s="253">
        <v>876.880615234375</v>
      </c>
      <c r="M697" s="253">
        <v>891.76544189453102</v>
      </c>
      <c r="N697" s="253">
        <v>911.91369628906295</v>
      </c>
      <c r="O697" s="253">
        <v>924.17352294921898</v>
      </c>
      <c r="P697" s="253">
        <v>939.92272949218795</v>
      </c>
      <c r="Q697" s="253">
        <v>949.55993652343795</v>
      </c>
      <c r="R697" s="253">
        <v>968.06707763671898</v>
      </c>
      <c r="S697" s="253">
        <v>990.18170166015602</v>
      </c>
      <c r="T697" s="253">
        <v>1011.67114257813</v>
      </c>
      <c r="U697" s="253">
        <v>1037.35424804688</v>
      </c>
      <c r="V697" s="253">
        <v>1055.55383300781</v>
      </c>
      <c r="W697" s="253">
        <v>1075.64794921875</v>
      </c>
      <c r="X697" s="253">
        <v>1099.76611328125</v>
      </c>
      <c r="Y697" s="253">
        <v>1128.59497070313</v>
      </c>
    </row>
    <row r="698" spans="1:28" x14ac:dyDescent="0.25">
      <c r="A698" s="249" t="s">
        <v>517</v>
      </c>
      <c r="B698" s="253">
        <v>1.1704622767865699E-2</v>
      </c>
      <c r="C698" s="253">
        <v>1.72001253813505E-2</v>
      </c>
      <c r="D698" s="253">
        <v>2.0739471539855E-2</v>
      </c>
      <c r="E698" s="253">
        <v>2.2715086117386801E-2</v>
      </c>
      <c r="F698" s="253">
        <v>2.5078095495700801E-2</v>
      </c>
      <c r="G698" s="253">
        <v>2.8324941173195801E-2</v>
      </c>
      <c r="H698" s="253">
        <v>3.1410280615091303E-2</v>
      </c>
      <c r="I698" s="253">
        <v>3.5102743655443198E-2</v>
      </c>
      <c r="J698" s="253">
        <v>3.9645586162805599E-2</v>
      </c>
      <c r="K698" s="253">
        <v>4.3348435312509502E-2</v>
      </c>
      <c r="L698" s="253">
        <v>4.6531450003385502E-2</v>
      </c>
      <c r="M698" s="253">
        <v>4.9735426902771003E-2</v>
      </c>
      <c r="N698" s="253">
        <v>5.3442426025867497E-2</v>
      </c>
      <c r="O698" s="253">
        <v>5.6060969829559298E-2</v>
      </c>
      <c r="P698" s="253">
        <v>6.0336232185363797E-2</v>
      </c>
      <c r="Q698" s="253">
        <v>6.3296250998973805E-2</v>
      </c>
      <c r="R698" s="253">
        <v>6.6096656024455996E-2</v>
      </c>
      <c r="S698" s="253">
        <v>6.9950148463249207E-2</v>
      </c>
      <c r="T698" s="253">
        <v>7.2811737656593295E-2</v>
      </c>
      <c r="U698" s="253">
        <v>7.6670221984386402E-2</v>
      </c>
      <c r="V698" s="253">
        <v>8.0276548862457303E-2</v>
      </c>
      <c r="W698" s="253">
        <v>8.4626309573650402E-2</v>
      </c>
      <c r="X698" s="253">
        <v>8.8446177542209597E-2</v>
      </c>
      <c r="Y698" s="253">
        <v>9.2330038547515897E-2</v>
      </c>
    </row>
    <row r="699" spans="1:28" x14ac:dyDescent="0.25">
      <c r="A699" s="249" t="s">
        <v>518</v>
      </c>
      <c r="B699" s="253">
        <v>674.73449707031295</v>
      </c>
      <c r="C699" s="253">
        <v>755.04119873046898</v>
      </c>
      <c r="D699" s="253">
        <v>832.61376953125</v>
      </c>
      <c r="E699" s="253">
        <v>836.22784423828102</v>
      </c>
      <c r="F699" s="253">
        <v>833.52569580078102</v>
      </c>
      <c r="G699" s="253">
        <v>824.94689941406295</v>
      </c>
      <c r="H699" s="253">
        <v>827.85076904296898</v>
      </c>
      <c r="I699" s="253">
        <v>839.95202636718795</v>
      </c>
      <c r="J699" s="253">
        <v>847.87561035156295</v>
      </c>
      <c r="K699" s="253">
        <v>859.84704589843795</v>
      </c>
      <c r="L699" s="253">
        <v>876.92712402343795</v>
      </c>
      <c r="M699" s="253">
        <v>891.815185546875</v>
      </c>
      <c r="N699" s="253">
        <v>911.96716308593795</v>
      </c>
      <c r="O699" s="253">
        <v>924.22961425781295</v>
      </c>
      <c r="P699" s="253">
        <v>939.98309326171898</v>
      </c>
      <c r="Q699" s="253">
        <v>949.62322998046898</v>
      </c>
      <c r="R699" s="253">
        <v>968.13317871093795</v>
      </c>
      <c r="S699" s="253">
        <v>990.25164794921898</v>
      </c>
      <c r="T699" s="253">
        <v>1011.74395751953</v>
      </c>
      <c r="U699" s="253">
        <v>1037.43090820313</v>
      </c>
      <c r="V699" s="253">
        <v>1055.63415527344</v>
      </c>
      <c r="W699" s="253">
        <v>1075.73254394531</v>
      </c>
      <c r="X699" s="253">
        <v>1099.85461425781</v>
      </c>
      <c r="Y699" s="253">
        <v>1128.68725585938</v>
      </c>
    </row>
    <row r="700" spans="1:28" x14ac:dyDescent="0.25">
      <c r="A700" s="249" t="s">
        <v>592</v>
      </c>
      <c r="B700" s="253"/>
      <c r="C700" s="253"/>
      <c r="D700" s="253"/>
      <c r="E700" s="253"/>
      <c r="F700" s="253"/>
      <c r="G700" s="253"/>
      <c r="H700" s="253"/>
      <c r="I700" s="253"/>
      <c r="J700" s="253"/>
      <c r="K700" s="253"/>
      <c r="L700" s="253"/>
      <c r="M700" s="253"/>
      <c r="N700" s="253"/>
      <c r="O700" s="253"/>
      <c r="P700" s="253"/>
      <c r="Q700" s="253"/>
      <c r="R700" s="253"/>
      <c r="S700" s="253"/>
      <c r="T700" s="253"/>
      <c r="U700" s="253"/>
      <c r="V700" s="253"/>
      <c r="W700" s="253"/>
      <c r="X700" s="253"/>
      <c r="Y700" s="253"/>
    </row>
    <row r="701" spans="1:28" x14ac:dyDescent="0.25">
      <c r="A701" s="302" t="s">
        <v>1082</v>
      </c>
      <c r="B701" s="298">
        <v>1.1960935989170374</v>
      </c>
      <c r="C701" s="298">
        <v>1.1960935989170374</v>
      </c>
      <c r="D701" s="298">
        <v>1.1960935989170374</v>
      </c>
      <c r="E701" s="298">
        <v>1.1960935989170374</v>
      </c>
      <c r="F701" s="298">
        <v>1.1960935989170374</v>
      </c>
      <c r="G701" s="298">
        <v>1.1960935989170374</v>
      </c>
      <c r="H701" s="298">
        <v>1.1960935989170374</v>
      </c>
      <c r="I701" s="298">
        <v>1.1960935989170374</v>
      </c>
      <c r="J701" s="298">
        <v>1.1960935989170374</v>
      </c>
      <c r="K701" s="298">
        <v>1.198027460839296</v>
      </c>
      <c r="L701" s="298">
        <v>1.2067298394894606</v>
      </c>
      <c r="M701" s="298">
        <v>1.2415393540901181</v>
      </c>
      <c r="N701" s="298">
        <v>1.244440146973506</v>
      </c>
      <c r="O701" s="298">
        <v>1.2657126281183524</v>
      </c>
      <c r="P701" s="298">
        <v>1.2686134210017406</v>
      </c>
      <c r="Q701" s="298">
        <v>1.2840843163798106</v>
      </c>
      <c r="R701" s="298">
        <v>1.2792496615741635</v>
      </c>
      <c r="S701" s="298">
        <v>1.3034229356023981</v>
      </c>
      <c r="T701" s="298">
        <v>1.3217946238638563</v>
      </c>
      <c r="U701" s="298">
        <v>1.3759427576871011</v>
      </c>
      <c r="V701" s="298">
        <v>1.3943144459485595</v>
      </c>
      <c r="W701" s="299">
        <v>1.4001160317153356</v>
      </c>
      <c r="X701" s="299">
        <v>1.4242893057435699</v>
      </c>
      <c r="Y701" s="299">
        <v>1.4378263391993813</v>
      </c>
      <c r="Z701" s="296">
        <f>Y701+($AI$531-$Y$701)/10</f>
        <v>1.5542937052794432</v>
      </c>
    </row>
    <row r="702" spans="1:28" x14ac:dyDescent="0.25">
      <c r="A702" s="282" t="s">
        <v>311</v>
      </c>
      <c r="B702" s="298">
        <v>8.7353999999999985</v>
      </c>
      <c r="C702" s="298">
        <v>8.7353999999999985</v>
      </c>
      <c r="D702" s="298">
        <v>8.7353999999999985</v>
      </c>
      <c r="E702" s="298">
        <v>8.7353999999999985</v>
      </c>
      <c r="F702" s="298">
        <v>8.7353999999999985</v>
      </c>
      <c r="G702" s="298">
        <v>8.7353999999999985</v>
      </c>
      <c r="H702" s="298">
        <v>8.7353999999999985</v>
      </c>
      <c r="I702" s="298">
        <v>8.7353999999999985</v>
      </c>
      <c r="J702" s="298">
        <v>8.7353999999999985</v>
      </c>
      <c r="K702" s="298">
        <v>8.7353999999999985</v>
      </c>
      <c r="L702" s="298">
        <v>8.7353999999999985</v>
      </c>
      <c r="M702" s="298">
        <v>8.7353999999999985</v>
      </c>
      <c r="N702" s="298">
        <v>8.7353999999999985</v>
      </c>
      <c r="O702" s="298">
        <v>8.7353999999999985</v>
      </c>
      <c r="P702" s="298">
        <v>8.7353999999999985</v>
      </c>
      <c r="Q702" s="298">
        <v>8.7353999999999985</v>
      </c>
      <c r="R702" s="298">
        <v>8.7353999999999985</v>
      </c>
      <c r="S702" s="298">
        <v>8.7353999999999985</v>
      </c>
      <c r="T702" s="298">
        <v>8.7353999999999985</v>
      </c>
      <c r="U702" s="298">
        <v>8.7353999999999985</v>
      </c>
      <c r="V702" s="298">
        <v>8.7353999999999985</v>
      </c>
      <c r="W702" s="299">
        <v>8.7353999999999985</v>
      </c>
      <c r="X702" s="299">
        <v>8.7353999999999985</v>
      </c>
      <c r="Y702" s="299">
        <v>8.7353999999999985</v>
      </c>
      <c r="Z702" s="299">
        <v>8.7353999999999985</v>
      </c>
    </row>
    <row r="703" spans="1:28" x14ac:dyDescent="0.25">
      <c r="A703" s="303" t="s">
        <v>594</v>
      </c>
      <c r="B703" s="300">
        <v>4.78</v>
      </c>
      <c r="C703" s="300">
        <v>4.78</v>
      </c>
      <c r="D703" s="300">
        <v>4.78</v>
      </c>
      <c r="E703" s="300">
        <v>4.78</v>
      </c>
      <c r="F703" s="300">
        <v>4.78</v>
      </c>
      <c r="G703" s="300">
        <v>4.78</v>
      </c>
      <c r="H703" s="300">
        <v>4.78</v>
      </c>
      <c r="I703" s="300">
        <v>4.78</v>
      </c>
      <c r="J703" s="300">
        <v>4.78</v>
      </c>
      <c r="K703" s="300">
        <v>4.78</v>
      </c>
      <c r="L703" s="300">
        <v>4.78</v>
      </c>
      <c r="M703" s="300">
        <v>4.78</v>
      </c>
      <c r="N703" s="300">
        <v>4.78</v>
      </c>
      <c r="O703" s="300">
        <v>4.78</v>
      </c>
      <c r="P703" s="300">
        <v>4.78</v>
      </c>
      <c r="Q703" s="300">
        <v>4.78</v>
      </c>
      <c r="R703" s="300">
        <v>4.78</v>
      </c>
      <c r="S703" s="300">
        <v>4.78</v>
      </c>
      <c r="T703" s="300">
        <v>4.78</v>
      </c>
      <c r="U703" s="300">
        <v>4.78</v>
      </c>
      <c r="V703" s="300">
        <v>4.78</v>
      </c>
      <c r="W703" s="300">
        <v>4.78</v>
      </c>
      <c r="X703" s="300">
        <v>4.78</v>
      </c>
      <c r="Y703" s="300">
        <v>4.78</v>
      </c>
      <c r="Z703" s="300">
        <v>4.78</v>
      </c>
    </row>
    <row r="704" spans="1:28" x14ac:dyDescent="0.25">
      <c r="A704" s="304" t="s">
        <v>595</v>
      </c>
      <c r="B704" s="299" t="e">
        <f t="shared" ref="B704:Z704" si="81">B703*GJ_p_MMBtu</f>
        <v>#NAME?</v>
      </c>
      <c r="C704" s="299" t="e">
        <f t="shared" si="81"/>
        <v>#NAME?</v>
      </c>
      <c r="D704" s="299" t="e">
        <f t="shared" si="81"/>
        <v>#NAME?</v>
      </c>
      <c r="E704" s="299" t="e">
        <f t="shared" si="81"/>
        <v>#NAME?</v>
      </c>
      <c r="F704" s="299" t="e">
        <f t="shared" si="81"/>
        <v>#NAME?</v>
      </c>
      <c r="G704" s="299" t="e">
        <f t="shared" si="81"/>
        <v>#NAME?</v>
      </c>
      <c r="H704" s="299" t="e">
        <f t="shared" si="81"/>
        <v>#NAME?</v>
      </c>
      <c r="I704" s="299" t="e">
        <f t="shared" si="81"/>
        <v>#NAME?</v>
      </c>
      <c r="J704" s="299" t="e">
        <f t="shared" si="81"/>
        <v>#NAME?</v>
      </c>
      <c r="K704" s="299" t="e">
        <f t="shared" si="81"/>
        <v>#NAME?</v>
      </c>
      <c r="L704" s="299" t="e">
        <f t="shared" si="81"/>
        <v>#NAME?</v>
      </c>
      <c r="M704" s="299" t="e">
        <f t="shared" si="81"/>
        <v>#NAME?</v>
      </c>
      <c r="N704" s="299" t="e">
        <f t="shared" si="81"/>
        <v>#NAME?</v>
      </c>
      <c r="O704" s="299" t="e">
        <f t="shared" si="81"/>
        <v>#NAME?</v>
      </c>
      <c r="P704" s="299" t="e">
        <f t="shared" si="81"/>
        <v>#NAME?</v>
      </c>
      <c r="Q704" s="299" t="e">
        <f t="shared" si="81"/>
        <v>#NAME?</v>
      </c>
      <c r="R704" s="299" t="e">
        <f t="shared" si="81"/>
        <v>#NAME?</v>
      </c>
      <c r="S704" s="299" t="e">
        <f t="shared" si="81"/>
        <v>#NAME?</v>
      </c>
      <c r="T704" s="299" t="e">
        <f t="shared" si="81"/>
        <v>#NAME?</v>
      </c>
      <c r="U704" s="299" t="e">
        <f t="shared" si="81"/>
        <v>#NAME?</v>
      </c>
      <c r="V704" s="299" t="e">
        <f t="shared" si="81"/>
        <v>#NAME?</v>
      </c>
      <c r="W704" s="299" t="e">
        <f t="shared" si="81"/>
        <v>#NAME?</v>
      </c>
      <c r="X704" s="299" t="e">
        <f t="shared" si="81"/>
        <v>#NAME?</v>
      </c>
      <c r="Y704" s="299" t="e">
        <f t="shared" si="81"/>
        <v>#NAME?</v>
      </c>
      <c r="Z704" s="299" t="e">
        <f t="shared" si="81"/>
        <v>#NAME?</v>
      </c>
    </row>
    <row r="705" spans="1:26" x14ac:dyDescent="0.25">
      <c r="A705" s="302" t="s">
        <v>596</v>
      </c>
      <c r="B705" s="253"/>
      <c r="C705" s="253"/>
      <c r="D705" s="253"/>
      <c r="E705" s="253"/>
      <c r="F705" s="253"/>
      <c r="G705" s="253"/>
      <c r="H705" s="253"/>
      <c r="I705" s="253"/>
      <c r="J705" s="253"/>
      <c r="K705" s="253"/>
      <c r="L705" s="253"/>
      <c r="M705" s="253"/>
      <c r="N705" s="253"/>
      <c r="O705" s="253"/>
      <c r="P705" s="253"/>
      <c r="Q705" s="253"/>
      <c r="R705" s="253"/>
      <c r="S705" s="253"/>
      <c r="T705" s="253"/>
      <c r="U705" s="253"/>
      <c r="V705" s="253"/>
      <c r="W705" s="253"/>
      <c r="X705" s="253"/>
      <c r="Y705" s="253"/>
      <c r="Z705" s="253"/>
    </row>
    <row r="706" spans="1:26" x14ac:dyDescent="0.25">
      <c r="A706" s="249" t="s">
        <v>519</v>
      </c>
      <c r="B706" s="253"/>
      <c r="C706" s="253"/>
      <c r="D706" s="253"/>
      <c r="E706" s="253" t="s">
        <v>440</v>
      </c>
      <c r="F706" s="253" t="s">
        <v>440</v>
      </c>
      <c r="G706" s="253" t="s">
        <v>440</v>
      </c>
      <c r="H706" s="253" t="s">
        <v>440</v>
      </c>
      <c r="I706" s="253" t="s">
        <v>440</v>
      </c>
      <c r="J706" s="253" t="s">
        <v>440</v>
      </c>
      <c r="K706" s="253" t="s">
        <v>440</v>
      </c>
      <c r="L706" s="253" t="s">
        <v>440</v>
      </c>
      <c r="M706" s="253" t="s">
        <v>440</v>
      </c>
      <c r="N706" s="253" t="s">
        <v>440</v>
      </c>
      <c r="O706" s="253" t="s">
        <v>440</v>
      </c>
      <c r="P706" s="253" t="s">
        <v>440</v>
      </c>
      <c r="Q706" s="253" t="s">
        <v>440</v>
      </c>
      <c r="R706" s="253" t="s">
        <v>440</v>
      </c>
      <c r="S706" s="253" t="s">
        <v>440</v>
      </c>
      <c r="T706" s="253" t="s">
        <v>440</v>
      </c>
      <c r="U706" s="253" t="s">
        <v>440</v>
      </c>
      <c r="V706" s="253" t="s">
        <v>440</v>
      </c>
      <c r="W706" s="253" t="s">
        <v>440</v>
      </c>
      <c r="X706" s="253" t="s">
        <v>440</v>
      </c>
      <c r="Y706" s="253" t="s">
        <v>440</v>
      </c>
    </row>
    <row r="707" spans="1:26" x14ac:dyDescent="0.25">
      <c r="A707" s="249" t="s">
        <v>520</v>
      </c>
      <c r="B707" s="250"/>
      <c r="C707" s="250"/>
      <c r="D707" s="250"/>
      <c r="E707" s="250"/>
      <c r="F707" s="250"/>
      <c r="G707" s="250"/>
      <c r="H707" s="250"/>
      <c r="I707" s="250"/>
      <c r="J707" s="250"/>
      <c r="K707" s="250"/>
      <c r="L707" s="250"/>
      <c r="M707" s="250"/>
      <c r="N707" s="250"/>
      <c r="O707" s="250"/>
      <c r="P707" s="250"/>
      <c r="Q707" s="250"/>
      <c r="R707" s="250"/>
      <c r="S707" s="250"/>
      <c r="T707" s="250"/>
      <c r="U707" s="250"/>
      <c r="V707" s="250"/>
      <c r="W707" s="250"/>
      <c r="X707" s="250"/>
      <c r="Y707" s="250"/>
    </row>
    <row r="708" spans="1:26" x14ac:dyDescent="0.25">
      <c r="A708" s="249" t="s">
        <v>521</v>
      </c>
      <c r="B708" s="250"/>
      <c r="C708" s="250"/>
      <c r="D708" s="250"/>
      <c r="E708" s="250"/>
      <c r="F708" s="250"/>
      <c r="G708" s="250"/>
      <c r="H708" s="250"/>
      <c r="I708" s="250"/>
      <c r="J708" s="250"/>
      <c r="K708" s="250"/>
      <c r="L708" s="250"/>
      <c r="M708" s="250"/>
      <c r="N708" s="250"/>
      <c r="O708" s="250"/>
      <c r="P708" s="250"/>
      <c r="Q708" s="250"/>
      <c r="R708" s="250"/>
      <c r="S708" s="250"/>
      <c r="T708" s="250"/>
      <c r="U708" s="250"/>
      <c r="V708" s="250"/>
      <c r="W708" s="250"/>
      <c r="X708" s="250"/>
      <c r="Y708" s="250"/>
    </row>
    <row r="709" spans="1:26" x14ac:dyDescent="0.25">
      <c r="A709" s="249" t="s">
        <v>522</v>
      </c>
      <c r="B709" s="250"/>
      <c r="C709" s="250"/>
      <c r="D709" s="250"/>
      <c r="E709" s="250"/>
      <c r="F709" s="250"/>
      <c r="G709" s="250"/>
      <c r="H709" s="250"/>
      <c r="I709" s="250"/>
      <c r="J709" s="250"/>
      <c r="K709" s="250"/>
      <c r="L709" s="250"/>
      <c r="M709" s="250"/>
      <c r="N709" s="250"/>
      <c r="O709" s="250"/>
      <c r="P709" s="250"/>
      <c r="Q709" s="250"/>
      <c r="R709" s="250"/>
      <c r="S709" s="250"/>
      <c r="T709" s="250"/>
      <c r="U709" s="250"/>
      <c r="V709" s="250"/>
      <c r="W709" s="250"/>
      <c r="X709" s="250"/>
      <c r="Y709" s="250"/>
    </row>
    <row r="710" spans="1:26" x14ac:dyDescent="0.25">
      <c r="A710" s="249" t="s">
        <v>523</v>
      </c>
      <c r="B710" s="250"/>
      <c r="C710" s="250"/>
      <c r="D710" s="250"/>
      <c r="E710" s="250"/>
      <c r="F710" s="250"/>
      <c r="G710" s="250"/>
      <c r="H710" s="250"/>
      <c r="I710" s="250"/>
      <c r="J710" s="250"/>
      <c r="K710" s="250"/>
      <c r="L710" s="250"/>
      <c r="M710" s="250"/>
      <c r="N710" s="250"/>
      <c r="O710" s="250"/>
      <c r="P710" s="250"/>
      <c r="Q710" s="250"/>
      <c r="R710" s="250"/>
      <c r="S710" s="250"/>
      <c r="T710" s="250"/>
      <c r="U710" s="250"/>
      <c r="V710" s="250"/>
      <c r="W710" s="250"/>
      <c r="X710" s="250"/>
      <c r="Y710" s="250"/>
    </row>
    <row r="711" spans="1:26" x14ac:dyDescent="0.25">
      <c r="A711" s="249" t="s">
        <v>524</v>
      </c>
      <c r="B711" s="250"/>
      <c r="C711" s="250"/>
      <c r="D711" s="250"/>
      <c r="E711" s="250"/>
      <c r="F711" s="250"/>
      <c r="G711" s="250"/>
      <c r="H711" s="250"/>
      <c r="I711" s="250"/>
      <c r="J711" s="250"/>
      <c r="K711" s="250"/>
      <c r="L711" s="250"/>
      <c r="M711" s="250"/>
      <c r="N711" s="250"/>
      <c r="O711" s="250"/>
      <c r="P711" s="250"/>
      <c r="Q711" s="250"/>
      <c r="R711" s="250"/>
      <c r="S711" s="250"/>
      <c r="T711" s="250"/>
      <c r="U711" s="250"/>
      <c r="V711" s="250"/>
      <c r="W711" s="250"/>
      <c r="X711" s="250"/>
      <c r="Y711" s="250"/>
    </row>
    <row r="712" spans="1:26" x14ac:dyDescent="0.25">
      <c r="A712" s="249" t="s">
        <v>525</v>
      </c>
      <c r="B712" s="250"/>
      <c r="C712" s="250"/>
      <c r="D712" s="250"/>
      <c r="E712" s="250"/>
      <c r="F712" s="250"/>
      <c r="G712" s="250"/>
      <c r="H712" s="250"/>
      <c r="I712" s="250"/>
      <c r="J712" s="250"/>
      <c r="K712" s="250"/>
      <c r="L712" s="250"/>
      <c r="M712" s="250"/>
      <c r="N712" s="250"/>
      <c r="O712" s="250"/>
      <c r="P712" s="250"/>
      <c r="Q712" s="250"/>
      <c r="R712" s="250"/>
      <c r="S712" s="250"/>
      <c r="T712" s="250"/>
      <c r="U712" s="250"/>
      <c r="V712" s="250"/>
      <c r="W712" s="250"/>
      <c r="X712" s="250"/>
      <c r="Y712" s="250"/>
    </row>
    <row r="713" spans="1:26" x14ac:dyDescent="0.25">
      <c r="A713" s="249" t="s">
        <v>526</v>
      </c>
      <c r="B713" s="250"/>
      <c r="C713" s="250"/>
      <c r="D713" s="250"/>
      <c r="E713" s="250"/>
      <c r="F713" s="250"/>
      <c r="G713" s="250"/>
      <c r="H713" s="250"/>
      <c r="I713" s="250"/>
      <c r="J713" s="250"/>
      <c r="K713" s="250"/>
      <c r="L713" s="250"/>
      <c r="M713" s="250"/>
      <c r="N713" s="250"/>
      <c r="O713" s="250"/>
      <c r="P713" s="250"/>
      <c r="Q713" s="250"/>
      <c r="R713" s="250"/>
      <c r="S713" s="250"/>
      <c r="T713" s="250"/>
      <c r="U713" s="250"/>
      <c r="V713" s="250"/>
      <c r="W713" s="250"/>
      <c r="X713" s="250"/>
      <c r="Y713" s="250"/>
    </row>
    <row r="714" spans="1:26" x14ac:dyDescent="0.25">
      <c r="A714" s="249" t="s">
        <v>527</v>
      </c>
      <c r="B714" s="250"/>
      <c r="C714" s="250"/>
      <c r="D714" s="250"/>
      <c r="E714" s="250"/>
      <c r="F714" s="250"/>
      <c r="G714" s="250"/>
      <c r="H714" s="250"/>
      <c r="I714" s="250"/>
      <c r="J714" s="250"/>
      <c r="K714" s="250"/>
      <c r="L714" s="250"/>
      <c r="M714" s="250"/>
      <c r="N714" s="250"/>
      <c r="O714" s="250"/>
      <c r="P714" s="250"/>
      <c r="Q714" s="250"/>
      <c r="R714" s="250"/>
      <c r="S714" s="250"/>
      <c r="T714" s="250"/>
      <c r="U714" s="250"/>
      <c r="V714" s="250"/>
      <c r="W714" s="250"/>
      <c r="X714" s="250"/>
      <c r="Y714" s="250"/>
    </row>
    <row r="715" spans="1:26" x14ac:dyDescent="0.25">
      <c r="A715" s="249" t="s">
        <v>532</v>
      </c>
      <c r="B715" s="250"/>
      <c r="C715" s="250"/>
      <c r="D715" s="250"/>
      <c r="E715" s="250"/>
      <c r="F715" s="250"/>
      <c r="G715" s="250"/>
      <c r="H715" s="250"/>
      <c r="I715" s="250"/>
      <c r="J715" s="250"/>
      <c r="K715" s="250"/>
      <c r="L715" s="250"/>
      <c r="M715" s="250"/>
      <c r="N715" s="250"/>
      <c r="O715" s="250"/>
      <c r="P715" s="250"/>
      <c r="Q715" s="250"/>
      <c r="R715" s="250"/>
      <c r="S715" s="250"/>
      <c r="T715" s="250"/>
      <c r="U715" s="250"/>
      <c r="V715" s="250"/>
      <c r="W715" s="250"/>
      <c r="X715" s="250"/>
      <c r="Y715" s="250"/>
    </row>
    <row r="716" spans="1:26" x14ac:dyDescent="0.25">
      <c r="A716" s="249" t="s">
        <v>542</v>
      </c>
      <c r="B716" s="250"/>
      <c r="C716" s="250"/>
      <c r="D716" s="250"/>
      <c r="E716" s="250"/>
      <c r="F716" s="250"/>
      <c r="G716" s="250"/>
      <c r="H716" s="250"/>
      <c r="I716" s="250"/>
      <c r="J716" s="250"/>
      <c r="K716" s="250"/>
      <c r="L716" s="250"/>
      <c r="M716" s="250"/>
      <c r="N716" s="250"/>
      <c r="O716" s="250"/>
      <c r="P716" s="250"/>
      <c r="Q716" s="250"/>
      <c r="R716" s="250"/>
      <c r="S716" s="250"/>
      <c r="T716" s="250"/>
      <c r="U716" s="250"/>
      <c r="V716" s="250"/>
      <c r="W716" s="250"/>
      <c r="X716" s="250"/>
      <c r="Y716" s="250"/>
    </row>
    <row r="717" spans="1:26" x14ac:dyDescent="0.25">
      <c r="A717" s="249" t="s">
        <v>543</v>
      </c>
      <c r="B717" s="250"/>
      <c r="C717" s="250"/>
      <c r="D717" s="250"/>
      <c r="E717" s="250"/>
      <c r="F717" s="250"/>
      <c r="G717" s="250"/>
      <c r="H717" s="250"/>
      <c r="I717" s="250"/>
      <c r="J717" s="250"/>
      <c r="K717" s="250"/>
      <c r="L717" s="250"/>
      <c r="M717" s="250"/>
      <c r="N717" s="250"/>
      <c r="O717" s="250"/>
      <c r="P717" s="250"/>
      <c r="Q717" s="250"/>
      <c r="R717" s="250"/>
      <c r="S717" s="250"/>
      <c r="T717" s="250"/>
      <c r="U717" s="250"/>
      <c r="V717" s="250"/>
      <c r="W717" s="250"/>
      <c r="X717" s="250"/>
      <c r="Y717" s="250"/>
    </row>
    <row r="718" spans="1:26" x14ac:dyDescent="0.25">
      <c r="A718" s="249" t="s">
        <v>544</v>
      </c>
      <c r="B718" s="250"/>
      <c r="C718" s="250"/>
      <c r="D718" s="250"/>
      <c r="E718" s="250"/>
      <c r="F718" s="250"/>
      <c r="G718" s="250"/>
      <c r="H718" s="250"/>
      <c r="I718" s="250"/>
      <c r="J718" s="250"/>
      <c r="K718" s="250"/>
      <c r="L718" s="250"/>
      <c r="M718" s="250"/>
      <c r="N718" s="250"/>
      <c r="O718" s="250"/>
      <c r="P718" s="250"/>
      <c r="Q718" s="250"/>
      <c r="R718" s="250"/>
      <c r="S718" s="250"/>
      <c r="T718" s="250"/>
      <c r="U718" s="250"/>
      <c r="V718" s="250"/>
      <c r="W718" s="250"/>
      <c r="X718" s="250"/>
      <c r="Y718" s="250"/>
    </row>
    <row r="719" spans="1:26" x14ac:dyDescent="0.25">
      <c r="A719" s="249" t="s">
        <v>545</v>
      </c>
      <c r="B719" s="250"/>
      <c r="C719" s="250"/>
      <c r="D719" s="250"/>
      <c r="E719" s="250"/>
      <c r="F719" s="250"/>
      <c r="G719" s="250"/>
      <c r="H719" s="250"/>
      <c r="I719" s="250"/>
      <c r="J719" s="250"/>
      <c r="K719" s="250"/>
      <c r="L719" s="250"/>
      <c r="M719" s="250"/>
      <c r="N719" s="250"/>
      <c r="O719" s="250"/>
      <c r="P719" s="250"/>
      <c r="Q719" s="250"/>
      <c r="R719" s="250"/>
      <c r="S719" s="250"/>
      <c r="T719" s="250"/>
      <c r="U719" s="250"/>
      <c r="V719" s="250"/>
      <c r="W719" s="250"/>
      <c r="X719" s="250"/>
      <c r="Y719" s="250"/>
    </row>
    <row r="720" spans="1:26" x14ac:dyDescent="0.25">
      <c r="A720" s="249" t="s">
        <v>546</v>
      </c>
      <c r="B720" s="250"/>
      <c r="C720" s="250"/>
      <c r="D720" s="250"/>
      <c r="E720" s="250"/>
      <c r="F720" s="250"/>
      <c r="G720" s="250"/>
      <c r="H720" s="250"/>
      <c r="I720" s="250"/>
      <c r="J720" s="250"/>
      <c r="K720" s="250"/>
      <c r="L720" s="250"/>
      <c r="M720" s="250"/>
      <c r="N720" s="250"/>
      <c r="O720" s="250"/>
      <c r="P720" s="250"/>
      <c r="Q720" s="250"/>
      <c r="R720" s="250"/>
      <c r="S720" s="250"/>
      <c r="T720" s="250"/>
      <c r="U720" s="250"/>
      <c r="V720" s="250"/>
      <c r="W720" s="250"/>
      <c r="X720" s="250"/>
      <c r="Y720" s="250"/>
    </row>
    <row r="721" spans="1:25" x14ac:dyDescent="0.25">
      <c r="A721" s="249" t="s">
        <v>547</v>
      </c>
      <c r="B721" s="250"/>
      <c r="C721" s="250"/>
      <c r="D721" s="250"/>
      <c r="E721" s="250"/>
      <c r="F721" s="250"/>
      <c r="G721" s="250"/>
      <c r="H721" s="250"/>
      <c r="I721" s="250"/>
      <c r="J721" s="250"/>
      <c r="K721" s="250"/>
      <c r="L721" s="250"/>
      <c r="M721" s="250"/>
      <c r="N721" s="250"/>
      <c r="O721" s="250"/>
      <c r="P721" s="250"/>
      <c r="Q721" s="250"/>
      <c r="R721" s="250"/>
      <c r="S721" s="250"/>
      <c r="T721" s="250"/>
      <c r="U721" s="250"/>
      <c r="V721" s="250"/>
      <c r="W721" s="250"/>
      <c r="X721" s="250"/>
      <c r="Y721" s="250"/>
    </row>
    <row r="722" spans="1:25" x14ac:dyDescent="0.25">
      <c r="A722" s="249" t="s">
        <v>548</v>
      </c>
      <c r="B722" s="250"/>
      <c r="C722" s="250"/>
      <c r="D722" s="250"/>
      <c r="E722" s="250"/>
      <c r="F722" s="250"/>
      <c r="G722" s="250"/>
      <c r="H722" s="250"/>
      <c r="I722" s="250"/>
      <c r="J722" s="250"/>
      <c r="K722" s="250"/>
      <c r="L722" s="250"/>
      <c r="M722" s="250"/>
      <c r="N722" s="250"/>
      <c r="O722" s="250"/>
      <c r="P722" s="250"/>
      <c r="Q722" s="250"/>
      <c r="R722" s="250"/>
      <c r="S722" s="250"/>
      <c r="T722" s="250"/>
      <c r="U722" s="250"/>
      <c r="V722" s="250"/>
      <c r="W722" s="250"/>
      <c r="X722" s="250"/>
      <c r="Y722" s="250"/>
    </row>
    <row r="723" spans="1:25" x14ac:dyDescent="0.25">
      <c r="A723" s="249" t="s">
        <v>552</v>
      </c>
      <c r="B723" s="250"/>
      <c r="C723" s="250"/>
      <c r="D723" s="250"/>
      <c r="E723" s="250"/>
      <c r="F723" s="250"/>
      <c r="G723" s="250"/>
      <c r="H723" s="250"/>
      <c r="I723" s="250"/>
      <c r="J723" s="250"/>
      <c r="K723" s="250"/>
      <c r="L723" s="250"/>
      <c r="M723" s="250"/>
      <c r="N723" s="250"/>
      <c r="O723" s="250"/>
      <c r="P723" s="250"/>
      <c r="Q723" s="250"/>
      <c r="R723" s="250"/>
      <c r="S723" s="250"/>
      <c r="T723" s="250"/>
      <c r="U723" s="250"/>
      <c r="V723" s="250"/>
      <c r="W723" s="250"/>
      <c r="X723" s="250"/>
      <c r="Y723" s="250"/>
    </row>
    <row r="724" spans="1:25" x14ac:dyDescent="0.25">
      <c r="A724" s="249" t="s">
        <v>553</v>
      </c>
      <c r="B724" s="250"/>
      <c r="C724" s="250"/>
      <c r="D724" s="250"/>
      <c r="E724" s="250"/>
      <c r="F724" s="250"/>
      <c r="G724" s="250"/>
      <c r="H724" s="250"/>
      <c r="I724" s="250"/>
      <c r="J724" s="250"/>
      <c r="K724" s="250"/>
      <c r="L724" s="250"/>
      <c r="M724" s="250"/>
      <c r="N724" s="250"/>
      <c r="O724" s="250"/>
      <c r="P724" s="250"/>
      <c r="Q724" s="250"/>
      <c r="R724" s="250"/>
      <c r="S724" s="250"/>
      <c r="T724" s="250"/>
      <c r="U724" s="250"/>
      <c r="V724" s="250"/>
      <c r="W724" s="250"/>
      <c r="X724" s="250"/>
      <c r="Y724" s="250"/>
    </row>
    <row r="725" spans="1:25" x14ac:dyDescent="0.25">
      <c r="A725" s="249" t="s">
        <v>554</v>
      </c>
      <c r="B725" s="250"/>
      <c r="C725" s="250"/>
      <c r="D725" s="250"/>
      <c r="E725" s="250"/>
      <c r="F725" s="250"/>
      <c r="G725" s="250"/>
      <c r="H725" s="250"/>
      <c r="I725" s="250"/>
      <c r="J725" s="250"/>
      <c r="K725" s="250"/>
      <c r="L725" s="250"/>
      <c r="M725" s="250"/>
      <c r="N725" s="250"/>
      <c r="O725" s="250"/>
      <c r="P725" s="250"/>
      <c r="Q725" s="250"/>
      <c r="R725" s="250"/>
      <c r="S725" s="250"/>
      <c r="T725" s="250"/>
      <c r="U725" s="250"/>
      <c r="V725" s="250"/>
      <c r="W725" s="250"/>
      <c r="X725" s="250"/>
      <c r="Y725" s="250"/>
    </row>
    <row r="726" spans="1:25" x14ac:dyDescent="0.25">
      <c r="A726" s="249" t="s">
        <v>555</v>
      </c>
      <c r="B726" s="250"/>
      <c r="C726" s="250"/>
      <c r="D726" s="250"/>
      <c r="E726" s="250"/>
      <c r="F726" s="250"/>
      <c r="G726" s="250"/>
      <c r="H726" s="250"/>
      <c r="I726" s="250"/>
      <c r="J726" s="250"/>
      <c r="K726" s="250"/>
      <c r="L726" s="250"/>
      <c r="M726" s="250"/>
      <c r="N726" s="250"/>
      <c r="O726" s="250"/>
      <c r="P726" s="250"/>
      <c r="Q726" s="250"/>
      <c r="R726" s="250"/>
      <c r="S726" s="250"/>
      <c r="T726" s="250"/>
      <c r="U726" s="250"/>
      <c r="V726" s="250"/>
      <c r="W726" s="250"/>
      <c r="X726" s="250"/>
      <c r="Y726" s="250"/>
    </row>
    <row r="727" spans="1:25" x14ac:dyDescent="0.25">
      <c r="A727" s="249" t="s">
        <v>556</v>
      </c>
      <c r="B727" s="250"/>
      <c r="C727" s="250"/>
      <c r="D727" s="250"/>
      <c r="E727" s="250"/>
      <c r="F727" s="250"/>
      <c r="G727" s="250"/>
      <c r="H727" s="250"/>
      <c r="I727" s="250"/>
      <c r="J727" s="250"/>
      <c r="K727" s="250"/>
      <c r="L727" s="250"/>
      <c r="M727" s="250"/>
      <c r="N727" s="250"/>
      <c r="O727" s="250"/>
      <c r="P727" s="250"/>
      <c r="Q727" s="250"/>
      <c r="R727" s="250"/>
      <c r="S727" s="250"/>
      <c r="T727" s="250"/>
      <c r="U727" s="250"/>
      <c r="V727" s="250"/>
      <c r="W727" s="250"/>
      <c r="X727" s="250"/>
      <c r="Y727" s="250"/>
    </row>
    <row r="728" spans="1:25" x14ac:dyDescent="0.25">
      <c r="A728" s="249" t="s">
        <v>557</v>
      </c>
      <c r="B728" s="250"/>
      <c r="C728" s="250"/>
      <c r="D728" s="250"/>
      <c r="E728" s="250"/>
      <c r="F728" s="250"/>
      <c r="G728" s="250"/>
      <c r="H728" s="250"/>
      <c r="I728" s="250"/>
      <c r="J728" s="250"/>
      <c r="K728" s="250"/>
      <c r="L728" s="250"/>
      <c r="M728" s="250"/>
      <c r="N728" s="250"/>
      <c r="O728" s="250"/>
      <c r="P728" s="250"/>
      <c r="Q728" s="250"/>
      <c r="R728" s="250"/>
      <c r="S728" s="250"/>
      <c r="T728" s="250"/>
      <c r="U728" s="250"/>
      <c r="V728" s="250"/>
      <c r="W728" s="250"/>
      <c r="X728" s="250"/>
      <c r="Y728" s="250"/>
    </row>
    <row r="729" spans="1:25" x14ac:dyDescent="0.25">
      <c r="A729" s="249" t="s">
        <v>558</v>
      </c>
      <c r="B729" s="250"/>
      <c r="C729" s="250"/>
      <c r="D729" s="250"/>
      <c r="E729" s="250"/>
      <c r="F729" s="250"/>
      <c r="G729" s="250"/>
      <c r="H729" s="250"/>
      <c r="I729" s="250"/>
      <c r="J729" s="250"/>
      <c r="K729" s="250"/>
      <c r="L729" s="250"/>
      <c r="M729" s="250"/>
      <c r="N729" s="250"/>
      <c r="O729" s="250"/>
      <c r="P729" s="250"/>
      <c r="Q729" s="250"/>
      <c r="R729" s="250"/>
      <c r="S729" s="250"/>
      <c r="T729" s="250"/>
      <c r="U729" s="250"/>
      <c r="V729" s="250"/>
      <c r="W729" s="250"/>
      <c r="X729" s="250"/>
      <c r="Y729" s="250"/>
    </row>
    <row r="730" spans="1:25" x14ac:dyDescent="0.25">
      <c r="A730" s="249" t="s">
        <v>559</v>
      </c>
      <c r="B730" s="250"/>
      <c r="C730" s="250"/>
      <c r="D730" s="250"/>
      <c r="E730" s="250"/>
      <c r="F730" s="250"/>
      <c r="G730" s="250"/>
      <c r="H730" s="250"/>
      <c r="I730" s="250"/>
      <c r="J730" s="250"/>
      <c r="K730" s="250"/>
      <c r="L730" s="250"/>
      <c r="M730" s="250"/>
      <c r="N730" s="250"/>
      <c r="O730" s="250"/>
      <c r="P730" s="250"/>
      <c r="Q730" s="250"/>
      <c r="R730" s="250"/>
      <c r="S730" s="250"/>
      <c r="T730" s="250"/>
      <c r="U730" s="250"/>
      <c r="V730" s="250"/>
      <c r="W730" s="250"/>
      <c r="X730" s="250"/>
      <c r="Y730" s="250"/>
    </row>
    <row r="731" spans="1:25" ht="13.8" thickBot="1" x14ac:dyDescent="0.3">
      <c r="A731" s="254" t="s">
        <v>564</v>
      </c>
      <c r="B731" s="259"/>
      <c r="C731" s="259"/>
      <c r="D731" s="259"/>
      <c r="E731" s="259"/>
      <c r="F731" s="259"/>
      <c r="G731" s="259"/>
      <c r="H731" s="259"/>
      <c r="I731" s="259"/>
      <c r="J731" s="259"/>
      <c r="K731" s="259"/>
      <c r="L731" s="259"/>
      <c r="M731" s="259"/>
      <c r="N731" s="259"/>
      <c r="O731" s="259"/>
      <c r="P731" s="259"/>
      <c r="Q731" s="259"/>
      <c r="R731" s="259"/>
      <c r="S731" s="259"/>
      <c r="T731" s="259"/>
      <c r="U731" s="259"/>
      <c r="V731" s="259"/>
      <c r="W731" s="259"/>
      <c r="X731" s="259"/>
      <c r="Y731" s="259"/>
    </row>
    <row r="732" spans="1:25" x14ac:dyDescent="0.25">
      <c r="A732" s="1728" t="s">
        <v>437</v>
      </c>
      <c r="B732" s="1728"/>
      <c r="C732" s="1728"/>
      <c r="D732" s="1728"/>
      <c r="E732" s="1728"/>
      <c r="F732" s="1728"/>
      <c r="G732" s="1728"/>
      <c r="H732" s="1728"/>
      <c r="I732" s="1728"/>
      <c r="J732" s="1728"/>
      <c r="K732" s="1728"/>
      <c r="L732" s="1728"/>
      <c r="M732" s="1728"/>
      <c r="N732" s="295"/>
      <c r="O732" s="295"/>
      <c r="P732" s="295"/>
      <c r="Q732" s="295"/>
      <c r="R732" s="295"/>
      <c r="S732" s="295"/>
      <c r="T732" s="295"/>
      <c r="U732" s="295"/>
      <c r="V732" s="295"/>
      <c r="W732" s="295"/>
      <c r="X732" s="295"/>
      <c r="Y732" s="295"/>
    </row>
    <row r="733" spans="1:25" x14ac:dyDescent="0.25">
      <c r="A733" s="295" t="s">
        <v>1090</v>
      </c>
      <c r="B733" s="295"/>
      <c r="C733" s="295"/>
      <c r="D733" s="295"/>
      <c r="E733" s="295"/>
      <c r="F733" s="295"/>
      <c r="G733" s="295"/>
      <c r="H733" s="295"/>
      <c r="I733" s="295"/>
      <c r="J733" s="295"/>
      <c r="K733" s="295"/>
      <c r="L733" s="295"/>
      <c r="M733" s="295"/>
      <c r="N733" s="295"/>
      <c r="O733" s="295"/>
      <c r="P733" s="295"/>
      <c r="Q733" s="295"/>
      <c r="R733" s="295"/>
      <c r="S733" s="295"/>
      <c r="T733" s="295"/>
      <c r="U733" s="295"/>
      <c r="V733" s="295"/>
      <c r="W733" s="295"/>
      <c r="X733" s="295"/>
      <c r="Y733" s="295"/>
    </row>
    <row r="736" spans="1:25" ht="13.8" thickBot="1" x14ac:dyDescent="0.3">
      <c r="A736" s="1726" t="s">
        <v>565</v>
      </c>
      <c r="B736" s="1727"/>
      <c r="C736" s="1727"/>
      <c r="D736" s="260"/>
      <c r="E736" s="260"/>
      <c r="F736" s="260"/>
      <c r="G736" s="260"/>
      <c r="H736" s="260"/>
      <c r="I736" s="260"/>
      <c r="J736" s="260"/>
    </row>
    <row r="737" spans="1:10" ht="53.4" thickTop="1" x14ac:dyDescent="0.25">
      <c r="A737" s="261"/>
      <c r="B737" s="262" t="s">
        <v>566</v>
      </c>
      <c r="C737" s="262" t="s">
        <v>567</v>
      </c>
      <c r="D737" s="262" t="s">
        <v>568</v>
      </c>
      <c r="E737" s="262" t="s">
        <v>590</v>
      </c>
      <c r="F737" s="263"/>
      <c r="G737" s="263"/>
      <c r="H737" s="263"/>
      <c r="I737" s="263"/>
      <c r="J737" s="264"/>
    </row>
    <row r="738" spans="1:10" x14ac:dyDescent="0.25">
      <c r="A738" s="265"/>
      <c r="B738" s="266"/>
      <c r="C738" s="266"/>
      <c r="D738" s="266"/>
      <c r="E738" s="266"/>
      <c r="F738" s="266"/>
      <c r="G738" s="266"/>
      <c r="H738" s="266"/>
      <c r="I738" s="266"/>
      <c r="J738" s="267"/>
    </row>
    <row r="739" spans="1:10" x14ac:dyDescent="0.25">
      <c r="A739" s="265"/>
      <c r="B739" s="266"/>
      <c r="C739" s="266"/>
      <c r="D739" s="266"/>
      <c r="E739" s="266"/>
      <c r="F739" s="266"/>
      <c r="G739" s="266"/>
      <c r="H739" s="266"/>
      <c r="I739" s="266"/>
      <c r="J739" s="267"/>
    </row>
    <row r="740" spans="1:10" x14ac:dyDescent="0.25">
      <c r="A740" s="265" t="s">
        <v>569</v>
      </c>
      <c r="B740" s="277">
        <v>1.0439774739816527</v>
      </c>
      <c r="C740" s="277">
        <v>1.0284486209328481</v>
      </c>
      <c r="D740" s="277">
        <v>1.0094828736442827</v>
      </c>
      <c r="E740" s="277">
        <f t="shared" ref="E740:E747" si="82">F752/E752</f>
        <v>1.0704312355553662</v>
      </c>
      <c r="F740" s="266"/>
      <c r="G740" s="266"/>
      <c r="H740" s="266"/>
      <c r="I740" s="266"/>
      <c r="J740" s="267"/>
    </row>
    <row r="741" spans="1:10" x14ac:dyDescent="0.25">
      <c r="A741" s="265" t="s">
        <v>570</v>
      </c>
      <c r="B741" s="266">
        <v>1.2097805877102306</v>
      </c>
      <c r="C741" s="266">
        <v>1.1729343042703535</v>
      </c>
      <c r="D741" s="266">
        <v>1.0576447680901178</v>
      </c>
      <c r="E741" s="266">
        <f t="shared" si="82"/>
        <v>1.1340871534488071</v>
      </c>
      <c r="F741" s="266"/>
      <c r="G741" s="266"/>
      <c r="H741" s="266"/>
      <c r="I741" s="266"/>
      <c r="J741" s="267"/>
    </row>
    <row r="742" spans="1:10" x14ac:dyDescent="0.25">
      <c r="A742" s="265" t="s">
        <v>571</v>
      </c>
      <c r="B742" s="273">
        <v>1.1697889782905726</v>
      </c>
      <c r="C742" s="273">
        <v>1.1485262991479412</v>
      </c>
      <c r="D742" s="273">
        <v>1.049508766382647</v>
      </c>
      <c r="E742" s="273">
        <f t="shared" si="82"/>
        <v>1.1040561955262993</v>
      </c>
      <c r="F742" s="266"/>
      <c r="G742" s="266"/>
      <c r="H742" s="266"/>
      <c r="I742" s="266"/>
      <c r="J742" s="267"/>
    </row>
    <row r="743" spans="1:10" x14ac:dyDescent="0.25">
      <c r="A743" s="265" t="s">
        <v>572</v>
      </c>
      <c r="B743" s="266">
        <v>1.1587647303602575</v>
      </c>
      <c r="C743" s="266">
        <v>1.0854096786599328</v>
      </c>
      <c r="D743" s="266">
        <v>1.0284698928866443</v>
      </c>
      <c r="E743" s="266">
        <f t="shared" si="82"/>
        <v>1.363594657351775</v>
      </c>
      <c r="F743" s="266"/>
      <c r="G743" s="266"/>
      <c r="H743" s="266"/>
      <c r="I743" s="266"/>
      <c r="J743" s="267"/>
    </row>
    <row r="744" spans="1:10" x14ac:dyDescent="0.25">
      <c r="A744" s="265" t="s">
        <v>573</v>
      </c>
      <c r="B744" s="279">
        <v>1.1587647303602575</v>
      </c>
      <c r="C744" s="279">
        <v>1.0854096786599328</v>
      </c>
      <c r="D744" s="279">
        <v>1.0284698928866443</v>
      </c>
      <c r="E744" s="279">
        <f t="shared" si="82"/>
        <v>1.3635946573517748</v>
      </c>
      <c r="F744" s="266"/>
      <c r="G744" s="266"/>
      <c r="H744" s="266"/>
      <c r="I744" s="266"/>
      <c r="J744" s="267"/>
    </row>
    <row r="745" spans="1:10" x14ac:dyDescent="0.25">
      <c r="A745" s="265" t="s">
        <v>574</v>
      </c>
      <c r="B745" s="275">
        <v>0.99410318905494366</v>
      </c>
      <c r="C745" s="275">
        <v>1.0095287120834378</v>
      </c>
      <c r="D745" s="275">
        <v>1.0031762373611459</v>
      </c>
      <c r="E745" s="275">
        <f t="shared" si="82"/>
        <v>0.97316968165904427</v>
      </c>
      <c r="F745" s="266"/>
      <c r="G745" s="266"/>
      <c r="H745" s="266"/>
      <c r="I745" s="266"/>
      <c r="J745" s="267"/>
    </row>
    <row r="746" spans="1:10" x14ac:dyDescent="0.25">
      <c r="A746" s="265" t="s">
        <v>575</v>
      </c>
      <c r="B746" s="297">
        <v>1.0099752422488564</v>
      </c>
      <c r="C746" s="297">
        <v>1.0050974522479115</v>
      </c>
      <c r="D746" s="297">
        <v>1.0016991507493038</v>
      </c>
      <c r="E746" s="297">
        <f t="shared" si="82"/>
        <v>0.99922998787640482</v>
      </c>
      <c r="F746" s="266"/>
      <c r="G746" s="266"/>
      <c r="H746" s="266"/>
      <c r="I746" s="266"/>
      <c r="J746" s="267"/>
    </row>
    <row r="747" spans="1:10" x14ac:dyDescent="0.25">
      <c r="A747" s="265" t="s">
        <v>312</v>
      </c>
      <c r="B747" s="281">
        <v>1.0099752422488564</v>
      </c>
      <c r="C747" s="281">
        <v>1.0050974522479115</v>
      </c>
      <c r="D747" s="281">
        <v>1.0016991507493038</v>
      </c>
      <c r="E747" s="281">
        <f t="shared" si="82"/>
        <v>0.99922998787640471</v>
      </c>
      <c r="F747" s="266"/>
      <c r="G747" s="266"/>
      <c r="H747" s="266"/>
      <c r="I747" s="266"/>
      <c r="J747" s="267"/>
    </row>
    <row r="748" spans="1:10" x14ac:dyDescent="0.25">
      <c r="A748" s="265"/>
      <c r="B748" s="266"/>
      <c r="C748" s="266"/>
      <c r="D748" s="266"/>
      <c r="E748" s="266"/>
      <c r="F748" s="266"/>
      <c r="G748" s="266"/>
      <c r="H748" s="266"/>
      <c r="I748" s="266"/>
      <c r="J748" s="267"/>
    </row>
    <row r="749" spans="1:10" x14ac:dyDescent="0.25">
      <c r="A749" s="265"/>
      <c r="B749" s="266"/>
      <c r="C749" s="266"/>
      <c r="D749" s="266"/>
      <c r="E749" s="1725" t="s">
        <v>576</v>
      </c>
      <c r="F749" s="1725"/>
      <c r="G749" s="1725"/>
      <c r="H749" s="1725"/>
      <c r="I749" s="1725"/>
      <c r="J749" s="268"/>
    </row>
    <row r="750" spans="1:10" x14ac:dyDescent="0.25">
      <c r="A750" s="265" t="s">
        <v>577</v>
      </c>
      <c r="B750" s="266"/>
      <c r="C750" s="266" t="s">
        <v>578</v>
      </c>
      <c r="D750" s="266" t="s">
        <v>578</v>
      </c>
      <c r="E750" s="266"/>
      <c r="F750" s="266"/>
      <c r="G750" s="266"/>
      <c r="H750" s="266"/>
      <c r="I750" s="266"/>
      <c r="J750" s="267"/>
    </row>
    <row r="751" spans="1:10" x14ac:dyDescent="0.25">
      <c r="A751" s="265"/>
      <c r="B751" s="266" t="s">
        <v>1050</v>
      </c>
      <c r="C751" s="266">
        <v>2000</v>
      </c>
      <c r="D751" s="266">
        <v>2005</v>
      </c>
      <c r="E751" s="266">
        <v>2020</v>
      </c>
      <c r="F751" s="266">
        <v>2035</v>
      </c>
      <c r="G751" s="266">
        <v>2050</v>
      </c>
      <c r="H751" s="266">
        <v>2065</v>
      </c>
      <c r="I751" s="266">
        <v>2080</v>
      </c>
      <c r="J751" s="267"/>
    </row>
    <row r="752" spans="1:10" x14ac:dyDescent="0.25">
      <c r="A752" s="265" t="s">
        <v>569</v>
      </c>
      <c r="B752" s="266" t="s">
        <v>579</v>
      </c>
      <c r="C752" s="266">
        <v>25.276500000000002</v>
      </c>
      <c r="D752" s="266">
        <v>25.071000000000002</v>
      </c>
      <c r="E752" s="266">
        <v>24.427484559</v>
      </c>
      <c r="F752" s="266">
        <v>26.147942478000001</v>
      </c>
      <c r="G752" s="266">
        <v>27.297862937999998</v>
      </c>
      <c r="H752" s="266">
        <v>28.074449492999999</v>
      </c>
      <c r="I752" s="266">
        <v>29.9967939</v>
      </c>
      <c r="J752" s="267"/>
    </row>
    <row r="753" spans="1:10" x14ac:dyDescent="0.25">
      <c r="A753" s="265" t="s">
        <v>570</v>
      </c>
      <c r="B753" s="266" t="s">
        <v>580</v>
      </c>
      <c r="C753" s="266">
        <v>3.83</v>
      </c>
      <c r="D753" s="266">
        <v>2.88</v>
      </c>
      <c r="E753" s="266">
        <v>3.1020351176470586</v>
      </c>
      <c r="F753" s="266">
        <v>3.5179781764705877</v>
      </c>
      <c r="G753" s="266">
        <v>4.2559817058823528</v>
      </c>
      <c r="H753" s="266">
        <v>4.9919869411764699</v>
      </c>
      <c r="I753" s="266">
        <v>5.7211905294117642</v>
      </c>
      <c r="J753" s="267"/>
    </row>
    <row r="754" spans="1:10" x14ac:dyDescent="0.25">
      <c r="A754" s="265" t="s">
        <v>571</v>
      </c>
      <c r="B754" s="266" t="s">
        <v>580</v>
      </c>
      <c r="C754" s="266">
        <v>4.333333333333333</v>
      </c>
      <c r="D754" s="266">
        <v>3.2058823529411766</v>
      </c>
      <c r="E754" s="266">
        <v>4.0727964705882354</v>
      </c>
      <c r="F754" s="266">
        <v>4.4965961764705868</v>
      </c>
      <c r="G754" s="266">
        <v>5.2600686470588229</v>
      </c>
      <c r="H754" s="266">
        <v>6.0413271764705883</v>
      </c>
      <c r="I754" s="266">
        <v>6.8262844117647052</v>
      </c>
      <c r="J754" s="267"/>
    </row>
    <row r="755" spans="1:10" x14ac:dyDescent="0.25">
      <c r="A755" s="265" t="s">
        <v>572</v>
      </c>
      <c r="B755" s="266" t="s">
        <v>581</v>
      </c>
      <c r="C755" s="266">
        <v>28.35</v>
      </c>
      <c r="D755" s="266">
        <v>23.27</v>
      </c>
      <c r="E755" s="266">
        <v>17.294973600000002</v>
      </c>
      <c r="F755" s="266">
        <v>23.583333599999996</v>
      </c>
      <c r="G755" s="266">
        <v>27.327535199999996</v>
      </c>
      <c r="H755" s="266">
        <v>29.661571199999997</v>
      </c>
      <c r="I755" s="266"/>
      <c r="J755" s="267"/>
    </row>
    <row r="756" spans="1:10" x14ac:dyDescent="0.25">
      <c r="A756" s="265" t="s">
        <v>573</v>
      </c>
      <c r="B756" s="266" t="s">
        <v>582</v>
      </c>
      <c r="C756" s="266">
        <v>1.5176666666666667</v>
      </c>
      <c r="D756" s="266">
        <v>1.2925714285714285</v>
      </c>
      <c r="E756" s="266">
        <v>0.93587519480519499</v>
      </c>
      <c r="F756" s="266">
        <v>1.2761544155844153</v>
      </c>
      <c r="G756" s="266">
        <v>1.4787627272727271</v>
      </c>
      <c r="H756" s="266">
        <v>1.6050633766233764</v>
      </c>
      <c r="I756" s="266"/>
      <c r="J756" s="267"/>
    </row>
    <row r="757" spans="1:10" x14ac:dyDescent="0.25">
      <c r="A757" s="265" t="s">
        <v>574</v>
      </c>
      <c r="B757" s="266" t="s">
        <v>583</v>
      </c>
      <c r="C757" s="266">
        <v>6.9</v>
      </c>
      <c r="D757" s="266">
        <v>6.4</v>
      </c>
      <c r="E757" s="266">
        <v>6.9130361604720001</v>
      </c>
      <c r="F757" s="266">
        <v>6.7275571995839982</v>
      </c>
      <c r="G757" s="266">
        <v>6.6878860666559987</v>
      </c>
      <c r="H757" s="266">
        <v>6.7516130074319989</v>
      </c>
      <c r="I757" s="266">
        <v>6.8294477356799987</v>
      </c>
      <c r="J757" s="267"/>
    </row>
    <row r="758" spans="1:10" x14ac:dyDescent="0.25">
      <c r="A758" s="265" t="s">
        <v>575</v>
      </c>
      <c r="B758" s="266" t="s">
        <v>584</v>
      </c>
      <c r="C758" s="266"/>
      <c r="D758" s="266"/>
      <c r="E758" s="266">
        <v>3.8637053999999993</v>
      </c>
      <c r="F758" s="266">
        <v>3.8607302999999993</v>
      </c>
      <c r="G758" s="266">
        <v>3.8992420199999995</v>
      </c>
      <c r="H758" s="266">
        <v>3.9191182199999997</v>
      </c>
      <c r="I758" s="266">
        <v>4.4580291000000001</v>
      </c>
      <c r="J758" s="267"/>
    </row>
    <row r="759" spans="1:10" x14ac:dyDescent="0.25">
      <c r="A759" s="265" t="s">
        <v>312</v>
      </c>
      <c r="B759" s="266" t="s">
        <v>584</v>
      </c>
      <c r="C759" s="266"/>
      <c r="D759" s="266"/>
      <c r="E759" s="266">
        <v>19.318526999999996</v>
      </c>
      <c r="F759" s="266">
        <v>19.303651499999994</v>
      </c>
      <c r="G759" s="266">
        <v>19.496210099999995</v>
      </c>
      <c r="H759" s="266">
        <v>19.595591099999996</v>
      </c>
      <c r="I759" s="266">
        <v>22.290145499999998</v>
      </c>
      <c r="J759" s="267"/>
    </row>
    <row r="760" spans="1:10" x14ac:dyDescent="0.25">
      <c r="A760" s="265"/>
      <c r="B760" s="266"/>
      <c r="C760" s="266"/>
      <c r="D760" s="266"/>
      <c r="E760" s="266"/>
      <c r="F760" s="266"/>
      <c r="G760" s="266"/>
      <c r="H760" s="266"/>
      <c r="I760" s="266"/>
      <c r="J760" s="267"/>
    </row>
    <row r="761" spans="1:10" ht="39.6" x14ac:dyDescent="0.25">
      <c r="A761" s="269" t="s">
        <v>585</v>
      </c>
      <c r="B761" s="266" t="s">
        <v>579</v>
      </c>
      <c r="C761" s="266"/>
      <c r="D761" s="266"/>
      <c r="E761" s="266">
        <v>76.455732879999985</v>
      </c>
      <c r="F761" s="266">
        <v>76.404561159999986</v>
      </c>
      <c r="G761" s="266">
        <v>77.066962743999994</v>
      </c>
      <c r="H761" s="266">
        <v>77.40883338399999</v>
      </c>
      <c r="I761" s="266">
        <v>86.678100520000001</v>
      </c>
      <c r="J761" s="267"/>
    </row>
    <row r="762" spans="1:10" ht="13.8" thickBot="1" x14ac:dyDescent="0.3">
      <c r="A762" s="270"/>
      <c r="B762" s="271">
        <v>17.2</v>
      </c>
      <c r="C762" s="271" t="s">
        <v>586</v>
      </c>
      <c r="D762" s="271"/>
      <c r="E762" s="271"/>
      <c r="F762" s="271"/>
      <c r="G762" s="271"/>
      <c r="H762" s="271"/>
      <c r="I762" s="271"/>
      <c r="J762" s="272"/>
    </row>
    <row r="763" spans="1:10" ht="13.8" thickTop="1" x14ac:dyDescent="0.25"/>
    <row r="764" spans="1:10" x14ac:dyDescent="0.25">
      <c r="A764" s="463" t="s">
        <v>813</v>
      </c>
    </row>
    <row r="765" spans="1:10" x14ac:dyDescent="0.25">
      <c r="A765" t="s">
        <v>807</v>
      </c>
    </row>
    <row r="766" spans="1:10" x14ac:dyDescent="0.25">
      <c r="A766" t="s">
        <v>808</v>
      </c>
    </row>
    <row r="767" spans="1:10" x14ac:dyDescent="0.25">
      <c r="A767" t="s">
        <v>809</v>
      </c>
    </row>
    <row r="769" spans="1:27" x14ac:dyDescent="0.25">
      <c r="A769" t="s">
        <v>447</v>
      </c>
    </row>
    <row r="770" spans="1:27" x14ac:dyDescent="0.25">
      <c r="A770" t="s">
        <v>722</v>
      </c>
    </row>
    <row r="773" spans="1:27" x14ac:dyDescent="0.25">
      <c r="AA773" t="s">
        <v>810</v>
      </c>
    </row>
    <row r="774" spans="1:27" x14ac:dyDescent="0.25">
      <c r="B774" t="s">
        <v>453</v>
      </c>
      <c r="C774" t="s">
        <v>454</v>
      </c>
      <c r="D774" t="s">
        <v>455</v>
      </c>
      <c r="E774" t="s">
        <v>456</v>
      </c>
      <c r="F774" t="s">
        <v>457</v>
      </c>
      <c r="G774" t="s">
        <v>458</v>
      </c>
      <c r="H774" t="s">
        <v>459</v>
      </c>
      <c r="I774" t="s">
        <v>460</v>
      </c>
      <c r="J774" t="s">
        <v>461</v>
      </c>
      <c r="K774" t="s">
        <v>462</v>
      </c>
      <c r="L774" t="s">
        <v>463</v>
      </c>
      <c r="M774" t="s">
        <v>464</v>
      </c>
      <c r="N774" t="s">
        <v>465</v>
      </c>
      <c r="O774" t="s">
        <v>466</v>
      </c>
      <c r="P774" t="s">
        <v>467</v>
      </c>
      <c r="Q774" t="s">
        <v>468</v>
      </c>
      <c r="R774" t="s">
        <v>469</v>
      </c>
      <c r="S774" t="s">
        <v>470</v>
      </c>
      <c r="T774" t="s">
        <v>471</v>
      </c>
      <c r="U774" t="s">
        <v>472</v>
      </c>
      <c r="V774" t="s">
        <v>604</v>
      </c>
      <c r="W774" t="s">
        <v>605</v>
      </c>
      <c r="X774" t="s">
        <v>606</v>
      </c>
      <c r="Y774" t="s">
        <v>607</v>
      </c>
      <c r="Z774" t="s">
        <v>608</v>
      </c>
      <c r="AA774" t="s">
        <v>608</v>
      </c>
    </row>
    <row r="777" spans="1:27" x14ac:dyDescent="0.25">
      <c r="A777" t="s">
        <v>473</v>
      </c>
    </row>
    <row r="778" spans="1:27" x14ac:dyDescent="0.25">
      <c r="A778" t="s">
        <v>609</v>
      </c>
      <c r="B778">
        <v>23.883546829223601</v>
      </c>
      <c r="C778">
        <v>24.976987838745099</v>
      </c>
      <c r="D778">
        <v>28.3833827972412</v>
      </c>
      <c r="E778">
        <v>22.3542995452881</v>
      </c>
      <c r="F778">
        <v>27.926952362060501</v>
      </c>
      <c r="G778">
        <v>30.764682769775401</v>
      </c>
      <c r="H778">
        <v>33.661342620849602</v>
      </c>
      <c r="I778">
        <v>36.453559875488303</v>
      </c>
      <c r="J778">
        <v>39.494522094726598</v>
      </c>
      <c r="K778">
        <v>41.980697631835902</v>
      </c>
      <c r="L778">
        <v>43.916378021240199</v>
      </c>
      <c r="M778">
        <v>45.360519409179702</v>
      </c>
      <c r="N778">
        <v>46.395816802978501</v>
      </c>
      <c r="O778">
        <v>47.017768859863303</v>
      </c>
      <c r="P778">
        <v>47.646530151367202</v>
      </c>
      <c r="Q778">
        <v>48.008190155029297</v>
      </c>
      <c r="R778">
        <v>48.261722564697301</v>
      </c>
      <c r="S778">
        <v>48.628421783447301</v>
      </c>
      <c r="T778">
        <v>48.848987579345703</v>
      </c>
      <c r="U778">
        <v>49.201820373535199</v>
      </c>
      <c r="V778">
        <v>49.638439178466797</v>
      </c>
      <c r="W778">
        <v>49.873706817627003</v>
      </c>
      <c r="X778">
        <v>50.123619079589801</v>
      </c>
      <c r="Y778">
        <v>50.456356048583999</v>
      </c>
      <c r="Z778">
        <v>50.7625923156738</v>
      </c>
      <c r="AA778">
        <v>3.13153266906738E-2</v>
      </c>
    </row>
    <row r="779" spans="1:27" x14ac:dyDescent="0.25">
      <c r="A779" t="s">
        <v>610</v>
      </c>
      <c r="B779">
        <v>18.464220046997099</v>
      </c>
      <c r="C779">
        <v>19.6639919281006</v>
      </c>
      <c r="D779">
        <v>23.795093536376999</v>
      </c>
      <c r="E779">
        <v>18.337640762329102</v>
      </c>
      <c r="F779">
        <v>20.694063186645501</v>
      </c>
      <c r="G779">
        <v>23.041601181030298</v>
      </c>
      <c r="H779">
        <v>25.2962837219238</v>
      </c>
      <c r="I779">
        <v>27.2604274749756</v>
      </c>
      <c r="J779">
        <v>30.121095657348601</v>
      </c>
      <c r="K779">
        <v>32.154388427734403</v>
      </c>
      <c r="L779">
        <v>33.5627632141113</v>
      </c>
      <c r="M779">
        <v>34.602504730224602</v>
      </c>
      <c r="N779">
        <v>35.554206848144503</v>
      </c>
      <c r="O779">
        <v>36.023918151855497</v>
      </c>
      <c r="P779">
        <v>36.510219573974602</v>
      </c>
      <c r="Q779">
        <v>36.482681274414098</v>
      </c>
      <c r="R779">
        <v>36.622692108154297</v>
      </c>
      <c r="S779">
        <v>37.053558349609403</v>
      </c>
      <c r="T779">
        <v>37.097206115722699</v>
      </c>
      <c r="U779">
        <v>37.402278900146499</v>
      </c>
      <c r="V779">
        <v>37.843147277832003</v>
      </c>
      <c r="W779">
        <v>38.237148284912102</v>
      </c>
      <c r="X779">
        <v>38.632442474365199</v>
      </c>
      <c r="Y779">
        <v>38.983299255371101</v>
      </c>
      <c r="Z779">
        <v>39.194442749023402</v>
      </c>
      <c r="AA779">
        <v>3.0443191528320299E-2</v>
      </c>
    </row>
    <row r="780" spans="1:27" x14ac:dyDescent="0.25">
      <c r="A780" t="s">
        <v>510</v>
      </c>
      <c r="B780">
        <v>13.7000589370728</v>
      </c>
      <c r="C780">
        <v>12.691158294677701</v>
      </c>
      <c r="D780">
        <v>13.015861511230501</v>
      </c>
      <c r="E780">
        <v>11.686484336853001</v>
      </c>
      <c r="F780">
        <v>12.3283596038818</v>
      </c>
      <c r="G780">
        <v>12.249480247497599</v>
      </c>
      <c r="H780">
        <v>12.273024559021</v>
      </c>
      <c r="I780">
        <v>12.2969045639038</v>
      </c>
      <c r="J780">
        <v>12.4211750030518</v>
      </c>
      <c r="K780">
        <v>12.5907487869263</v>
      </c>
      <c r="L780">
        <v>12.705096244811999</v>
      </c>
      <c r="M780">
        <v>12.9095964431763</v>
      </c>
      <c r="N780">
        <v>13.0879106521606</v>
      </c>
      <c r="O780">
        <v>13.1304607391357</v>
      </c>
      <c r="P780">
        <v>12.9131679534912</v>
      </c>
      <c r="Q780">
        <v>12.562335968017599</v>
      </c>
      <c r="R780">
        <v>12.61110496521</v>
      </c>
      <c r="S780">
        <v>12.871636390686</v>
      </c>
      <c r="T780">
        <v>13.125649452209499</v>
      </c>
      <c r="U780">
        <v>13.3413944244385</v>
      </c>
      <c r="V780">
        <v>13.6169128417969</v>
      </c>
      <c r="W780">
        <v>13.8638000488281</v>
      </c>
      <c r="X780">
        <v>14.1467199325562</v>
      </c>
      <c r="Y780">
        <v>14.4200448989868</v>
      </c>
      <c r="Z780">
        <v>14.611619949340801</v>
      </c>
      <c r="AA780">
        <v>6.1453580856323199E-3</v>
      </c>
    </row>
    <row r="781" spans="1:27" x14ac:dyDescent="0.25">
      <c r="A781" t="s">
        <v>479</v>
      </c>
      <c r="B781">
        <v>31.206779479980501</v>
      </c>
      <c r="C781">
        <v>31.187788009643601</v>
      </c>
      <c r="D781">
        <v>32.338191986083999</v>
      </c>
      <c r="E781">
        <v>32.416282653808601</v>
      </c>
      <c r="F781">
        <v>31.140913009643601</v>
      </c>
      <c r="G781">
        <v>31.8760585784912</v>
      </c>
      <c r="H781">
        <v>31.922065734863299</v>
      </c>
      <c r="I781">
        <v>32.300529479980497</v>
      </c>
      <c r="J781">
        <v>32.352581024169901</v>
      </c>
      <c r="K781">
        <v>32.639389038085902</v>
      </c>
      <c r="L781">
        <v>32.894443511962898</v>
      </c>
      <c r="M781">
        <v>33.117340087890597</v>
      </c>
      <c r="N781">
        <v>33.414459228515597</v>
      </c>
      <c r="O781">
        <v>33.629150390625</v>
      </c>
      <c r="P781">
        <v>33.777111053466797</v>
      </c>
      <c r="Q781">
        <v>33.604824066162102</v>
      </c>
      <c r="R781">
        <v>33.664745330810497</v>
      </c>
      <c r="S781">
        <v>34.025123596191399</v>
      </c>
      <c r="T781">
        <v>34.538562774658203</v>
      </c>
      <c r="U781">
        <v>35.105255126953097</v>
      </c>
      <c r="V781">
        <v>35.529582977294901</v>
      </c>
      <c r="W781">
        <v>35.8877983093262</v>
      </c>
      <c r="X781">
        <v>36.209835052490199</v>
      </c>
      <c r="Y781">
        <v>36.388431549072301</v>
      </c>
      <c r="Z781">
        <v>36.494224548339801</v>
      </c>
      <c r="AA781">
        <v>6.8550109863281302E-3</v>
      </c>
    </row>
    <row r="783" spans="1:27" x14ac:dyDescent="0.25">
      <c r="A783" t="s">
        <v>480</v>
      </c>
    </row>
    <row r="784" spans="1:27" x14ac:dyDescent="0.25">
      <c r="A784" t="s">
        <v>609</v>
      </c>
      <c r="B784">
        <v>21.1974983215332</v>
      </c>
      <c r="C784">
        <v>23.041419982910199</v>
      </c>
      <c r="D784">
        <v>23.604557037353501</v>
      </c>
      <c r="E784">
        <v>18.681890487670898</v>
      </c>
      <c r="F784">
        <v>24.74609375</v>
      </c>
      <c r="G784">
        <v>27.568971633911101</v>
      </c>
      <c r="H784">
        <v>30.4514064788818</v>
      </c>
      <c r="I784">
        <v>33.230876922607401</v>
      </c>
      <c r="J784">
        <v>36.258987426757798</v>
      </c>
      <c r="K784">
        <v>38.733001708984403</v>
      </c>
      <c r="L784">
        <v>40.657176971435497</v>
      </c>
      <c r="M784">
        <v>42.090251922607401</v>
      </c>
      <c r="N784">
        <v>43.1152153015137</v>
      </c>
      <c r="O784">
        <v>43.7275390625</v>
      </c>
      <c r="P784">
        <v>44.347579956054702</v>
      </c>
      <c r="Q784">
        <v>44.701267242431598</v>
      </c>
      <c r="R784">
        <v>44.947372436523402</v>
      </c>
      <c r="S784">
        <v>45.307144165039098</v>
      </c>
      <c r="T784">
        <v>45.5213012695313</v>
      </c>
      <c r="U784">
        <v>45.867866516113303</v>
      </c>
      <c r="V784">
        <v>46.298439025878899</v>
      </c>
      <c r="W784">
        <v>46.528209686279297</v>
      </c>
      <c r="X784">
        <v>46.772487640380902</v>
      </c>
      <c r="Y784">
        <v>47.099220275878899</v>
      </c>
      <c r="Z784">
        <v>47.399448394775398</v>
      </c>
      <c r="AA784">
        <v>3.1858563423156697E-2</v>
      </c>
    </row>
    <row r="785" spans="1:27" x14ac:dyDescent="0.25">
      <c r="A785" t="s">
        <v>610</v>
      </c>
      <c r="B785">
        <v>15.0199489593506</v>
      </c>
      <c r="C785">
        <v>16.054103851318398</v>
      </c>
      <c r="D785">
        <v>20.836805343627901</v>
      </c>
      <c r="E785">
        <v>16.0582466125488</v>
      </c>
      <c r="F785">
        <v>18.1372261047363</v>
      </c>
      <c r="G785">
        <v>20.7669353485107</v>
      </c>
      <c r="H785">
        <v>23.078548431396499</v>
      </c>
      <c r="I785">
        <v>25.270603179931602</v>
      </c>
      <c r="J785">
        <v>28.107904434204102</v>
      </c>
      <c r="K785">
        <v>30.082014083862301</v>
      </c>
      <c r="L785">
        <v>31.343215942382798</v>
      </c>
      <c r="M785">
        <v>32.504638671875</v>
      </c>
      <c r="N785">
        <v>33.3633842468262</v>
      </c>
      <c r="O785">
        <v>33.805187225341797</v>
      </c>
      <c r="P785">
        <v>34.229515075683601</v>
      </c>
      <c r="Q785">
        <v>34.103286743164098</v>
      </c>
      <c r="R785">
        <v>34.2811889648438</v>
      </c>
      <c r="S785">
        <v>34.681198120117202</v>
      </c>
      <c r="T785">
        <v>34.715034484863303</v>
      </c>
      <c r="U785">
        <v>35.0353393554688</v>
      </c>
      <c r="V785">
        <v>35.459774017333999</v>
      </c>
      <c r="W785">
        <v>35.835098266601598</v>
      </c>
      <c r="X785">
        <v>36.246971130371101</v>
      </c>
      <c r="Y785">
        <v>36.616977691650398</v>
      </c>
      <c r="Z785">
        <v>36.9903373718262</v>
      </c>
      <c r="AA785">
        <v>3.6957502365112298E-2</v>
      </c>
    </row>
    <row r="786" spans="1:27" x14ac:dyDescent="0.25">
      <c r="A786" t="s">
        <v>723</v>
      </c>
      <c r="B786">
        <v>8.8815975189209002</v>
      </c>
      <c r="C786">
        <v>10.2142028808594</v>
      </c>
      <c r="D786">
        <v>13.357634544372599</v>
      </c>
      <c r="E786">
        <v>6.7629709243774396</v>
      </c>
      <c r="F786">
        <v>12.823133468627899</v>
      </c>
      <c r="G786">
        <v>15.3392543792725</v>
      </c>
      <c r="H786">
        <v>17.4722385406494</v>
      </c>
      <c r="I786">
        <v>19.700599670410199</v>
      </c>
      <c r="J786">
        <v>21.254331588745099</v>
      </c>
      <c r="K786">
        <v>22.305961608886701</v>
      </c>
      <c r="L786">
        <v>23.786525726318398</v>
      </c>
      <c r="M786">
        <v>25.024957656860401</v>
      </c>
      <c r="N786">
        <v>25.9401969909668</v>
      </c>
      <c r="O786">
        <v>26.507759094238299</v>
      </c>
      <c r="P786">
        <v>27.019905090331999</v>
      </c>
      <c r="Q786">
        <v>27.1827697753906</v>
      </c>
      <c r="R786">
        <v>27.4323539733887</v>
      </c>
      <c r="S786">
        <v>27.776666641235401</v>
      </c>
      <c r="T786">
        <v>28.037864685058601</v>
      </c>
      <c r="U786">
        <v>28.392919540405298</v>
      </c>
      <c r="V786">
        <v>28.7309265136719</v>
      </c>
      <c r="W786">
        <v>28.9971923828125</v>
      </c>
      <c r="X786">
        <v>29.337739944458001</v>
      </c>
      <c r="Y786">
        <v>29.677482604980501</v>
      </c>
      <c r="Z786">
        <v>29.9862384796143</v>
      </c>
      <c r="AA786">
        <v>4.79378700256348E-2</v>
      </c>
    </row>
    <row r="787" spans="1:27" x14ac:dyDescent="0.25">
      <c r="A787" t="s">
        <v>510</v>
      </c>
      <c r="B787">
        <v>11.896094322204601</v>
      </c>
      <c r="C787">
        <v>10.9898433685303</v>
      </c>
      <c r="D787">
        <v>11.522585868835399</v>
      </c>
      <c r="E787">
        <v>10.173228263855</v>
      </c>
      <c r="F787">
        <v>10.782675743103001</v>
      </c>
      <c r="G787">
        <v>10.7339086532593</v>
      </c>
      <c r="H787">
        <v>10.799374580383301</v>
      </c>
      <c r="I787">
        <v>10.8246822357178</v>
      </c>
      <c r="J787">
        <v>10.967120170593301</v>
      </c>
      <c r="K787">
        <v>11.158206939697299</v>
      </c>
      <c r="L787">
        <v>11.2802991867065</v>
      </c>
      <c r="M787">
        <v>11.486307144165</v>
      </c>
      <c r="N787">
        <v>11.6717615127563</v>
      </c>
      <c r="O787">
        <v>11.7226161956787</v>
      </c>
      <c r="P787">
        <v>11.525540351867701</v>
      </c>
      <c r="Q787">
        <v>11.1890621185303</v>
      </c>
      <c r="R787">
        <v>11.2596950531006</v>
      </c>
      <c r="S787">
        <v>11.5338354110718</v>
      </c>
      <c r="T787">
        <v>11.800594329834</v>
      </c>
      <c r="U787">
        <v>12.0026235580444</v>
      </c>
      <c r="V787">
        <v>12.273542404174799</v>
      </c>
      <c r="W787">
        <v>12.5177307128906</v>
      </c>
      <c r="X787">
        <v>12.805614471435501</v>
      </c>
      <c r="Y787">
        <v>13.061990737915</v>
      </c>
      <c r="Z787">
        <v>13.243557929992701</v>
      </c>
      <c r="AA787">
        <v>8.1434249877929705E-3</v>
      </c>
    </row>
    <row r="788" spans="1:27" x14ac:dyDescent="0.25">
      <c r="A788" t="s">
        <v>479</v>
      </c>
      <c r="B788">
        <v>28.3762531280518</v>
      </c>
      <c r="C788">
        <v>28.073511123657202</v>
      </c>
      <c r="D788">
        <v>29.5588493347168</v>
      </c>
      <c r="E788">
        <v>29.575660705566399</v>
      </c>
      <c r="F788">
        <v>27.526445388793899</v>
      </c>
      <c r="G788">
        <v>27.8994140625</v>
      </c>
      <c r="H788">
        <v>27.624683380126999</v>
      </c>
      <c r="I788">
        <v>27.748167037963899</v>
      </c>
      <c r="J788">
        <v>27.707677841186499</v>
      </c>
      <c r="K788">
        <v>28.011663436889599</v>
      </c>
      <c r="L788">
        <v>28.3554382324219</v>
      </c>
      <c r="M788">
        <v>28.5976047515869</v>
      </c>
      <c r="N788">
        <v>28.930782318115199</v>
      </c>
      <c r="O788">
        <v>29.165691375732401</v>
      </c>
      <c r="P788">
        <v>29.300102233886701</v>
      </c>
      <c r="Q788">
        <v>29.014184951782202</v>
      </c>
      <c r="R788">
        <v>29.003173828125</v>
      </c>
      <c r="S788">
        <v>29.329126358032202</v>
      </c>
      <c r="T788">
        <v>29.795009613037099</v>
      </c>
      <c r="U788">
        <v>30.299129486083999</v>
      </c>
      <c r="V788">
        <v>30.6775302886963</v>
      </c>
      <c r="W788">
        <v>31.039953231811499</v>
      </c>
      <c r="X788">
        <v>31.389379501342798</v>
      </c>
      <c r="Y788">
        <v>31.541213989257798</v>
      </c>
      <c r="Z788">
        <v>31.7004203796387</v>
      </c>
      <c r="AA788">
        <v>5.2967071533203099E-3</v>
      </c>
    </row>
    <row r="790" spans="1:27" x14ac:dyDescent="0.25">
      <c r="A790" t="s">
        <v>612</v>
      </c>
    </row>
    <row r="791" spans="1:27" x14ac:dyDescent="0.25">
      <c r="A791" t="s">
        <v>609</v>
      </c>
      <c r="B791">
        <v>21.0410861968994</v>
      </c>
      <c r="C791">
        <v>23.3795356750488</v>
      </c>
      <c r="D791">
        <v>25.519689559936499</v>
      </c>
      <c r="E791">
        <v>18.770734786987301</v>
      </c>
      <c r="F791">
        <v>23.917289733886701</v>
      </c>
      <c r="G791">
        <v>26.7415580749512</v>
      </c>
      <c r="H791">
        <v>29.674488067626999</v>
      </c>
      <c r="I791">
        <v>32.454425811767599</v>
      </c>
      <c r="J791">
        <v>35.485988616943402</v>
      </c>
      <c r="K791">
        <v>37.9550170898438</v>
      </c>
      <c r="L791">
        <v>39.876785278320298</v>
      </c>
      <c r="M791">
        <v>41.308006286621101</v>
      </c>
      <c r="N791">
        <v>42.332942962646499</v>
      </c>
      <c r="O791">
        <v>42.9459419250488</v>
      </c>
      <c r="P791">
        <v>43.565265655517599</v>
      </c>
      <c r="Q791">
        <v>43.919185638427699</v>
      </c>
      <c r="R791">
        <v>44.164951324462898</v>
      </c>
      <c r="S791">
        <v>44.525180816650398</v>
      </c>
      <c r="T791">
        <v>44.739585876464801</v>
      </c>
      <c r="U791">
        <v>45.087501525878899</v>
      </c>
      <c r="V791">
        <v>45.519046783447301</v>
      </c>
      <c r="W791">
        <v>45.747432708740199</v>
      </c>
      <c r="X791">
        <v>45.991909027099602</v>
      </c>
      <c r="Y791">
        <v>46.318729400634801</v>
      </c>
      <c r="Z791">
        <v>46.6203422546387</v>
      </c>
      <c r="AA791">
        <v>3.0462384223937999E-2</v>
      </c>
    </row>
    <row r="792" spans="1:27" x14ac:dyDescent="0.25">
      <c r="A792" t="s">
        <v>610</v>
      </c>
      <c r="B792">
        <v>15.735449790954601</v>
      </c>
      <c r="C792">
        <v>16.821935653686499</v>
      </c>
      <c r="D792">
        <v>21.808429718017599</v>
      </c>
      <c r="E792">
        <v>16.708997726440401</v>
      </c>
      <c r="F792">
        <v>17.9886360168457</v>
      </c>
      <c r="G792">
        <v>21.028125762939499</v>
      </c>
      <c r="H792">
        <v>23.343002319335898</v>
      </c>
      <c r="I792">
        <v>25.786291122436499</v>
      </c>
      <c r="J792">
        <v>28.5029201507568</v>
      </c>
      <c r="K792">
        <v>30.4483127593994</v>
      </c>
      <c r="L792">
        <v>31.613187789916999</v>
      </c>
      <c r="M792">
        <v>32.863849639892599</v>
      </c>
      <c r="N792">
        <v>33.663894653320298</v>
      </c>
      <c r="O792">
        <v>34.092327117919901</v>
      </c>
      <c r="P792">
        <v>34.4815673828125</v>
      </c>
      <c r="Q792">
        <v>34.296230316162102</v>
      </c>
      <c r="R792">
        <v>34.5044975280762</v>
      </c>
      <c r="S792">
        <v>34.907333374023402</v>
      </c>
      <c r="T792">
        <v>34.931465148925803</v>
      </c>
      <c r="U792">
        <v>35.251617431640597</v>
      </c>
      <c r="V792">
        <v>35.650547027587898</v>
      </c>
      <c r="W792">
        <v>36.0166206359863</v>
      </c>
      <c r="X792">
        <v>36.444431304931598</v>
      </c>
      <c r="Y792">
        <v>36.830661773681598</v>
      </c>
      <c r="Z792">
        <v>37.303695678710902</v>
      </c>
      <c r="AA792">
        <v>3.5232901573181201E-2</v>
      </c>
    </row>
    <row r="793" spans="1:27" x14ac:dyDescent="0.25">
      <c r="A793" t="s">
        <v>611</v>
      </c>
      <c r="B793">
        <v>9.2125148773193395</v>
      </c>
      <c r="C793">
        <v>10.494535446166999</v>
      </c>
      <c r="D793">
        <v>13.694963455200201</v>
      </c>
      <c r="E793">
        <v>6.9981408119201696</v>
      </c>
      <c r="F793">
        <v>17.262666702270501</v>
      </c>
      <c r="G793">
        <v>19.511152267456101</v>
      </c>
      <c r="H793">
        <v>21.9067897796631</v>
      </c>
      <c r="I793">
        <v>24.078254699706999</v>
      </c>
      <c r="J793">
        <v>26.237388610839801</v>
      </c>
      <c r="K793">
        <v>27.981674194335898</v>
      </c>
      <c r="L793">
        <v>29.130001068115199</v>
      </c>
      <c r="M793">
        <v>30.3923149108887</v>
      </c>
      <c r="N793">
        <v>31.137657165527301</v>
      </c>
      <c r="O793">
        <v>31.575212478637699</v>
      </c>
      <c r="P793">
        <v>32.042640686035199</v>
      </c>
      <c r="Q793">
        <v>31.994066238403299</v>
      </c>
      <c r="R793">
        <v>32.249111175537102</v>
      </c>
      <c r="S793">
        <v>32.508918762207003</v>
      </c>
      <c r="T793">
        <v>32.660282135009801</v>
      </c>
      <c r="U793">
        <v>32.957084655761697</v>
      </c>
      <c r="V793">
        <v>33.298637390136697</v>
      </c>
      <c r="W793">
        <v>33.551937103271499</v>
      </c>
      <c r="X793">
        <v>33.991706848144503</v>
      </c>
      <c r="Y793">
        <v>34.317066192627003</v>
      </c>
      <c r="Z793">
        <v>34.482418060302699</v>
      </c>
      <c r="AA793">
        <v>5.3082466125488302E-2</v>
      </c>
    </row>
    <row r="794" spans="1:27" x14ac:dyDescent="0.25">
      <c r="A794" t="s">
        <v>613</v>
      </c>
      <c r="B794">
        <v>7.9563031196594203</v>
      </c>
      <c r="C794">
        <v>7.5151352882385298</v>
      </c>
      <c r="D794">
        <v>8.9608917236328107</v>
      </c>
      <c r="E794">
        <v>6.6214537620544398</v>
      </c>
      <c r="F794">
        <v>7.1234536170959499</v>
      </c>
      <c r="G794">
        <v>7.0705270767211896</v>
      </c>
      <c r="H794">
        <v>7.1530704498290998</v>
      </c>
      <c r="I794">
        <v>7.2213044166564897</v>
      </c>
      <c r="J794">
        <v>7.3800201416015598</v>
      </c>
      <c r="K794">
        <v>7.5896773338317898</v>
      </c>
      <c r="L794">
        <v>7.6845889091491699</v>
      </c>
      <c r="M794">
        <v>7.8647842407226598</v>
      </c>
      <c r="N794">
        <v>8.0319690704345703</v>
      </c>
      <c r="O794">
        <v>8.0643510818481392</v>
      </c>
      <c r="P794">
        <v>7.8568081855773899</v>
      </c>
      <c r="Q794">
        <v>7.5151796340942401</v>
      </c>
      <c r="R794">
        <v>7.5926008224487296</v>
      </c>
      <c r="S794">
        <v>7.8076257705688503</v>
      </c>
      <c r="T794">
        <v>8.0573301315307599</v>
      </c>
      <c r="U794">
        <v>8.2859725952148402</v>
      </c>
      <c r="V794">
        <v>8.5280551910400408</v>
      </c>
      <c r="W794">
        <v>8.7343835830688494</v>
      </c>
      <c r="X794">
        <v>8.9821290969848597</v>
      </c>
      <c r="Y794">
        <v>9.2285404205322301</v>
      </c>
      <c r="Z794">
        <v>9.4173421859741193</v>
      </c>
      <c r="AA794">
        <v>9.8584890365600603E-3</v>
      </c>
    </row>
    <row r="795" spans="1:27" x14ac:dyDescent="0.25">
      <c r="A795" t="s">
        <v>614</v>
      </c>
      <c r="B795">
        <v>3.6353600025177002</v>
      </c>
      <c r="C795">
        <v>3.6099998950958301</v>
      </c>
      <c r="D795">
        <v>4.0379996299743697</v>
      </c>
      <c r="E795">
        <v>4.5020823478698704</v>
      </c>
      <c r="F795">
        <v>4.3855228424072301</v>
      </c>
      <c r="G795">
        <v>4.3762397766113299</v>
      </c>
      <c r="H795">
        <v>4.3997368812561</v>
      </c>
      <c r="I795">
        <v>4.4189567565918004</v>
      </c>
      <c r="J795">
        <v>4.4347076416015598</v>
      </c>
      <c r="K795">
        <v>4.4522905349731401</v>
      </c>
      <c r="L795">
        <v>4.4603638648986799</v>
      </c>
      <c r="M795">
        <v>4.4635276794433603</v>
      </c>
      <c r="N795">
        <v>4.4729104042053196</v>
      </c>
      <c r="O795">
        <v>4.4708456993103001</v>
      </c>
      <c r="P795">
        <v>4.4873232841491699</v>
      </c>
      <c r="Q795">
        <v>4.5196957588195801</v>
      </c>
      <c r="R795">
        <v>4.5735583305358896</v>
      </c>
      <c r="S795">
        <v>4.6242790222168004</v>
      </c>
      <c r="T795">
        <v>4.6478152275085396</v>
      </c>
      <c r="U795">
        <v>4.6480631828308097</v>
      </c>
      <c r="V795">
        <v>4.6606159210205096</v>
      </c>
      <c r="W795">
        <v>4.6456594467163104</v>
      </c>
      <c r="X795">
        <v>4.6185407638549796</v>
      </c>
      <c r="Y795">
        <v>4.56589651107788</v>
      </c>
      <c r="Z795">
        <v>4.4889969825744602</v>
      </c>
      <c r="AA795">
        <v>9.5199346542358398E-3</v>
      </c>
    </row>
    <row r="796" spans="1:27" x14ac:dyDescent="0.25">
      <c r="A796" t="s">
        <v>615</v>
      </c>
      <c r="B796">
        <v>2.4029979705810498</v>
      </c>
      <c r="C796">
        <v>2.4299483299255402</v>
      </c>
      <c r="D796">
        <v>2.5571811199188201</v>
      </c>
      <c r="E796">
        <v>2.56162786483765</v>
      </c>
      <c r="F796">
        <v>2.56748747825623</v>
      </c>
      <c r="G796">
        <v>2.60902070999146</v>
      </c>
      <c r="H796">
        <v>2.6235916614532502</v>
      </c>
      <c r="I796">
        <v>2.6379292011261</v>
      </c>
      <c r="J796">
        <v>2.6488504409789999</v>
      </c>
      <c r="K796">
        <v>2.67559719085693</v>
      </c>
      <c r="L796">
        <v>2.6456270217895499</v>
      </c>
      <c r="M796">
        <v>2.6335513591766402</v>
      </c>
      <c r="N796">
        <v>2.63612961769104</v>
      </c>
      <c r="O796">
        <v>2.6347033977508501</v>
      </c>
      <c r="P796">
        <v>2.63350534439087</v>
      </c>
      <c r="Q796">
        <v>2.6284878253936799</v>
      </c>
      <c r="R796">
        <v>2.6334505081176802</v>
      </c>
      <c r="S796">
        <v>2.6471104621887198</v>
      </c>
      <c r="T796">
        <v>2.6563882827758798</v>
      </c>
      <c r="U796">
        <v>2.6693737506866499</v>
      </c>
      <c r="V796">
        <v>2.6800231933593799</v>
      </c>
      <c r="W796">
        <v>2.6932156085968</v>
      </c>
      <c r="X796">
        <v>2.7120738029479998</v>
      </c>
      <c r="Y796">
        <v>2.7318363189697301</v>
      </c>
      <c r="Z796">
        <v>2.7488965988159202</v>
      </c>
      <c r="AA796">
        <v>5.3765773773193403E-3</v>
      </c>
    </row>
    <row r="797" spans="1:27" x14ac:dyDescent="0.25">
      <c r="A797" t="s">
        <v>616</v>
      </c>
      <c r="B797" t="s">
        <v>788</v>
      </c>
      <c r="C797" t="s">
        <v>788</v>
      </c>
      <c r="D797">
        <v>0</v>
      </c>
      <c r="E797">
        <v>0</v>
      </c>
      <c r="F797">
        <v>0</v>
      </c>
      <c r="G797">
        <v>1.41293036937714</v>
      </c>
      <c r="H797">
        <v>1.2184369564056401</v>
      </c>
      <c r="I797">
        <v>1.17754483222961</v>
      </c>
      <c r="J797">
        <v>1.3116322755813601</v>
      </c>
      <c r="K797">
        <v>1.2733211517334</v>
      </c>
      <c r="L797">
        <v>1.2851463556289699</v>
      </c>
      <c r="M797">
        <v>1.28024590015411</v>
      </c>
      <c r="N797">
        <v>1.30277991294861</v>
      </c>
      <c r="O797">
        <v>1.29882299900055</v>
      </c>
      <c r="P797">
        <v>1.29265284538269</v>
      </c>
      <c r="Q797">
        <v>1.32939457893372</v>
      </c>
      <c r="R797">
        <v>1.3688597679138199</v>
      </c>
      <c r="S797">
        <v>1.4024136066436801</v>
      </c>
      <c r="T797">
        <v>1.4137438535690301</v>
      </c>
      <c r="U797">
        <v>1.42857146263123</v>
      </c>
      <c r="V797">
        <v>1.43632352352142</v>
      </c>
      <c r="W797">
        <v>1.44281482696533</v>
      </c>
      <c r="X797">
        <v>1.44536685943604</v>
      </c>
      <c r="Y797">
        <v>1.4501197338104199</v>
      </c>
      <c r="Z797">
        <v>1.4655066728591899</v>
      </c>
      <c r="AA797" t="s">
        <v>788</v>
      </c>
    </row>
    <row r="798" spans="1:27" x14ac:dyDescent="0.25">
      <c r="A798" t="s">
        <v>479</v>
      </c>
      <c r="B798">
        <v>18.411262512206999</v>
      </c>
      <c r="C798">
        <v>18.634252548217798</v>
      </c>
      <c r="D798">
        <v>20.706560134887699</v>
      </c>
      <c r="E798">
        <v>20.639848709106399</v>
      </c>
      <c r="F798">
        <v>18.9005832672119</v>
      </c>
      <c r="G798">
        <v>18.9754123687744</v>
      </c>
      <c r="H798">
        <v>18.748577117919901</v>
      </c>
      <c r="I798">
        <v>18.7451286315918</v>
      </c>
      <c r="J798">
        <v>18.622827529907202</v>
      </c>
      <c r="K798">
        <v>18.823989868164102</v>
      </c>
      <c r="L798">
        <v>19.081008911132798</v>
      </c>
      <c r="M798">
        <v>19.220748901367202</v>
      </c>
      <c r="N798">
        <v>19.446659088134801</v>
      </c>
      <c r="O798">
        <v>19.608354568481399</v>
      </c>
      <c r="P798">
        <v>19.6959743499756</v>
      </c>
      <c r="Q798">
        <v>19.505567550659201</v>
      </c>
      <c r="R798">
        <v>19.549434661865199</v>
      </c>
      <c r="S798">
        <v>19.802045822143601</v>
      </c>
      <c r="T798">
        <v>20.232648849487301</v>
      </c>
      <c r="U798">
        <v>20.693027496337901</v>
      </c>
      <c r="V798">
        <v>21.023696899414102</v>
      </c>
      <c r="W798">
        <v>21.339708328247099</v>
      </c>
      <c r="X798">
        <v>21.629344940185501</v>
      </c>
      <c r="Y798">
        <v>21.733781814575199</v>
      </c>
      <c r="Z798">
        <v>21.762773513793899</v>
      </c>
      <c r="AA798">
        <v>6.7706108093261701E-3</v>
      </c>
    </row>
    <row r="800" spans="1:27" x14ac:dyDescent="0.25">
      <c r="A800" t="s">
        <v>487</v>
      </c>
    </row>
    <row r="801" spans="1:27" x14ac:dyDescent="0.25">
      <c r="A801" t="s">
        <v>617</v>
      </c>
      <c r="B801">
        <v>22.2963676452637</v>
      </c>
      <c r="C801">
        <v>25.0072422027588</v>
      </c>
      <c r="D801">
        <v>28.459692001342798</v>
      </c>
      <c r="E801">
        <v>22.469375610351602</v>
      </c>
      <c r="F801">
        <v>27.7350177764893</v>
      </c>
      <c r="G801">
        <v>30.574182510376001</v>
      </c>
      <c r="H801">
        <v>33.472511291503899</v>
      </c>
      <c r="I801">
        <v>36.259494781494098</v>
      </c>
      <c r="J801">
        <v>39.291736602783203</v>
      </c>
      <c r="K801">
        <v>41.768077850341797</v>
      </c>
      <c r="L801">
        <v>43.697544097900398</v>
      </c>
      <c r="M801">
        <v>45.127403259277301</v>
      </c>
      <c r="N801">
        <v>46.152801513671903</v>
      </c>
      <c r="O801">
        <v>46.761356353759801</v>
      </c>
      <c r="P801">
        <v>47.381011962890597</v>
      </c>
      <c r="Q801">
        <v>47.734935760497997</v>
      </c>
      <c r="R801">
        <v>47.977794647216797</v>
      </c>
      <c r="S801">
        <v>48.333538055419901</v>
      </c>
      <c r="T801">
        <v>48.545326232910199</v>
      </c>
      <c r="U801">
        <v>48.889308929443402</v>
      </c>
      <c r="V801">
        <v>49.317207336425803</v>
      </c>
      <c r="W801">
        <v>49.543441772460902</v>
      </c>
      <c r="X801">
        <v>49.784286499023402</v>
      </c>
      <c r="Y801">
        <v>50.108409881591797</v>
      </c>
      <c r="Z801">
        <v>50.406246185302699</v>
      </c>
      <c r="AA801">
        <v>3.0945181846618701E-2</v>
      </c>
    </row>
    <row r="802" spans="1:27" x14ac:dyDescent="0.25">
      <c r="A802" t="s">
        <v>618</v>
      </c>
      <c r="B802">
        <v>25.5142211914063</v>
      </c>
      <c r="C802">
        <v>26.671012878418001</v>
      </c>
      <c r="D802">
        <v>33.849239349365199</v>
      </c>
      <c r="E802">
        <v>33.586345672607401</v>
      </c>
      <c r="F802">
        <v>27.6864833831787</v>
      </c>
      <c r="G802">
        <v>30.227962493896499</v>
      </c>
      <c r="H802">
        <v>32.657257080078097</v>
      </c>
      <c r="I802">
        <v>32.785953521728501</v>
      </c>
      <c r="J802">
        <v>32.346141815185497</v>
      </c>
      <c r="K802">
        <v>33.964523315429702</v>
      </c>
      <c r="L802">
        <v>35.691123962402301</v>
      </c>
      <c r="M802">
        <v>37.409137725830099</v>
      </c>
      <c r="N802">
        <v>37.7480278015137</v>
      </c>
      <c r="O802">
        <v>37.745933532714801</v>
      </c>
      <c r="P802">
        <v>36.169681549072301</v>
      </c>
      <c r="Q802">
        <v>35.874843597412102</v>
      </c>
      <c r="R802">
        <v>36.162742614746101</v>
      </c>
      <c r="S802">
        <v>36.566848754882798</v>
      </c>
      <c r="T802">
        <v>36.620006561279297</v>
      </c>
      <c r="U802">
        <v>36.971061706542997</v>
      </c>
      <c r="V802">
        <v>37.408500671386697</v>
      </c>
      <c r="W802">
        <v>37.711296081542997</v>
      </c>
      <c r="X802">
        <v>38.137138366699197</v>
      </c>
      <c r="Y802">
        <v>38.524795532226598</v>
      </c>
      <c r="Z802">
        <v>38.908096313476598</v>
      </c>
      <c r="AA802">
        <v>1.65539979934692E-2</v>
      </c>
    </row>
    <row r="803" spans="1:27" x14ac:dyDescent="0.25">
      <c r="A803" t="s">
        <v>619</v>
      </c>
      <c r="B803">
        <v>21.784559249877901</v>
      </c>
      <c r="C803">
        <v>22.982162475585898</v>
      </c>
      <c r="D803">
        <v>26.493778228759801</v>
      </c>
      <c r="E803">
        <v>18.863723754882798</v>
      </c>
      <c r="F803">
        <v>25.437911987304702</v>
      </c>
      <c r="G803">
        <v>27.775495529174801</v>
      </c>
      <c r="H803">
        <v>29.9758186340332</v>
      </c>
      <c r="I803">
        <v>32.350837707519503</v>
      </c>
      <c r="J803">
        <v>35.054023742675803</v>
      </c>
      <c r="K803">
        <v>37.158294677734403</v>
      </c>
      <c r="L803">
        <v>38.482601165771499</v>
      </c>
      <c r="M803">
        <v>39.982501983642599</v>
      </c>
      <c r="N803">
        <v>40.787757873535199</v>
      </c>
      <c r="O803">
        <v>41.354404449462898</v>
      </c>
      <c r="P803">
        <v>41.681800842285199</v>
      </c>
      <c r="Q803">
        <v>41.651054382324197</v>
      </c>
      <c r="R803">
        <v>41.988578796386697</v>
      </c>
      <c r="S803">
        <v>42.463710784912102</v>
      </c>
      <c r="T803">
        <v>42.524349212646499</v>
      </c>
      <c r="U803">
        <v>42.938045501708999</v>
      </c>
      <c r="V803">
        <v>43.455722808837898</v>
      </c>
      <c r="W803">
        <v>43.8155326843262</v>
      </c>
      <c r="X803">
        <v>44.317115783691399</v>
      </c>
      <c r="Y803">
        <v>44.772129058837898</v>
      </c>
      <c r="Z803">
        <v>45.225753784179702</v>
      </c>
      <c r="AA803">
        <v>2.9869914054870599E-2</v>
      </c>
    </row>
    <row r="804" spans="1:27" x14ac:dyDescent="0.25">
      <c r="A804" t="s">
        <v>620</v>
      </c>
      <c r="B804">
        <v>15.2446508407593</v>
      </c>
      <c r="C804">
        <v>16.0964660644531</v>
      </c>
      <c r="D804">
        <v>22.0368041992188</v>
      </c>
      <c r="E804">
        <v>14.6258354187012</v>
      </c>
      <c r="F804">
        <v>18.117679595947301</v>
      </c>
      <c r="G804">
        <v>20.790958404541001</v>
      </c>
      <c r="H804">
        <v>23.098089218139599</v>
      </c>
      <c r="I804">
        <v>25.277437210083001</v>
      </c>
      <c r="J804">
        <v>28.108070373535199</v>
      </c>
      <c r="K804">
        <v>30.063097000122099</v>
      </c>
      <c r="L804">
        <v>31.2007732391357</v>
      </c>
      <c r="M804">
        <v>32.563095092773402</v>
      </c>
      <c r="N804">
        <v>33.216217041015597</v>
      </c>
      <c r="O804">
        <v>33.609565734863303</v>
      </c>
      <c r="P804">
        <v>33.985622406005902</v>
      </c>
      <c r="Q804">
        <v>33.9229927062988</v>
      </c>
      <c r="R804">
        <v>34.1160697937012</v>
      </c>
      <c r="S804">
        <v>34.517745971679702</v>
      </c>
      <c r="T804">
        <v>34.4479789733887</v>
      </c>
      <c r="U804">
        <v>34.882648468017599</v>
      </c>
      <c r="V804">
        <v>35.356975555419901</v>
      </c>
      <c r="W804">
        <v>35.6980171203613</v>
      </c>
      <c r="X804">
        <v>36.117191314697301</v>
      </c>
      <c r="Y804">
        <v>36.502471923828097</v>
      </c>
      <c r="Z804">
        <v>36.943180084228501</v>
      </c>
      <c r="AA804">
        <v>3.6781191825866699E-2</v>
      </c>
    </row>
    <row r="805" spans="1:27" x14ac:dyDescent="0.25">
      <c r="A805" t="s">
        <v>724</v>
      </c>
      <c r="B805">
        <v>20.2724208831787</v>
      </c>
      <c r="C805">
        <v>20.921422958373999</v>
      </c>
      <c r="D805">
        <v>27.137769699096701</v>
      </c>
      <c r="E805">
        <v>19.170770645141602</v>
      </c>
      <c r="F805">
        <v>22.028490066528299</v>
      </c>
      <c r="G805">
        <v>24.713983535766602</v>
      </c>
      <c r="H805">
        <v>27.011182785034201</v>
      </c>
      <c r="I805">
        <v>29.495634078979499</v>
      </c>
      <c r="J805">
        <v>32.183456420898402</v>
      </c>
      <c r="K805">
        <v>34.083713531494098</v>
      </c>
      <c r="L805">
        <v>35.161376953125</v>
      </c>
      <c r="M805">
        <v>36.449062347412102</v>
      </c>
      <c r="N805">
        <v>37.198707580566399</v>
      </c>
      <c r="O805">
        <v>37.612049102783203</v>
      </c>
      <c r="P805">
        <v>37.951786041259801</v>
      </c>
      <c r="Q805">
        <v>37.7472534179688</v>
      </c>
      <c r="R805">
        <v>37.957847595214801</v>
      </c>
      <c r="S805">
        <v>38.353157043457003</v>
      </c>
      <c r="T805">
        <v>38.333263397216797</v>
      </c>
      <c r="U805">
        <v>38.682945251464801</v>
      </c>
      <c r="V805">
        <v>39.052806854247997</v>
      </c>
      <c r="W805">
        <v>39.384151458740199</v>
      </c>
      <c r="X805">
        <v>39.812137603759801</v>
      </c>
      <c r="Y805">
        <v>40.192409515380902</v>
      </c>
      <c r="Z805">
        <v>40.681694030761697</v>
      </c>
      <c r="AA805">
        <v>2.93352603912354E-2</v>
      </c>
    </row>
    <row r="806" spans="1:27" x14ac:dyDescent="0.25">
      <c r="A806" t="s">
        <v>611</v>
      </c>
      <c r="B806">
        <v>8.20648097991943</v>
      </c>
      <c r="C806">
        <v>9.3524312973022496</v>
      </c>
      <c r="D806">
        <v>13.736819267272899</v>
      </c>
      <c r="E806">
        <v>7.9047741889953604</v>
      </c>
      <c r="F806">
        <v>13.998456954956101</v>
      </c>
      <c r="G806">
        <v>16.239332199096701</v>
      </c>
      <c r="H806">
        <v>18.616979598998999</v>
      </c>
      <c r="I806">
        <v>20.834623336791999</v>
      </c>
      <c r="J806">
        <v>23.251203536987301</v>
      </c>
      <c r="K806">
        <v>25.300340652465799</v>
      </c>
      <c r="L806">
        <v>26.520757675170898</v>
      </c>
      <c r="M806">
        <v>27.721658706665</v>
      </c>
      <c r="N806">
        <v>28.4222621917725</v>
      </c>
      <c r="O806">
        <v>28.894708633422901</v>
      </c>
      <c r="P806">
        <v>29.233545303344702</v>
      </c>
      <c r="Q806">
        <v>29.354173660278299</v>
      </c>
      <c r="R806">
        <v>29.542749404907202</v>
      </c>
      <c r="S806">
        <v>29.811567306518601</v>
      </c>
      <c r="T806">
        <v>29.883472442626999</v>
      </c>
      <c r="U806">
        <v>30.208297729492202</v>
      </c>
      <c r="V806">
        <v>30.753358840942401</v>
      </c>
      <c r="W806">
        <v>31.1088161468506</v>
      </c>
      <c r="X806">
        <v>31.5337104797363</v>
      </c>
      <c r="Y806">
        <v>31.915937423706101</v>
      </c>
      <c r="Z806">
        <v>32.455944061279297</v>
      </c>
      <c r="AA806">
        <v>5.55877685546875E-2</v>
      </c>
    </row>
    <row r="807" spans="1:27" x14ac:dyDescent="0.25">
      <c r="A807" t="s">
        <v>622</v>
      </c>
      <c r="B807">
        <v>16.0437107086182</v>
      </c>
      <c r="C807">
        <v>15.4583129882813</v>
      </c>
      <c r="D807">
        <v>17.019536972045898</v>
      </c>
      <c r="E807">
        <v>14.5970249176025</v>
      </c>
      <c r="F807">
        <v>15.1249084472656</v>
      </c>
      <c r="G807">
        <v>15.054651260376</v>
      </c>
      <c r="H807">
        <v>15.074832916259799</v>
      </c>
      <c r="I807">
        <v>15.052045822143601</v>
      </c>
      <c r="J807">
        <v>15.142041206359901</v>
      </c>
      <c r="K807">
        <v>15.2916584014893</v>
      </c>
      <c r="L807">
        <v>15.3377676010132</v>
      </c>
      <c r="M807">
        <v>15.4715919494629</v>
      </c>
      <c r="N807">
        <v>15.583300590515099</v>
      </c>
      <c r="O807">
        <v>15.570981025695801</v>
      </c>
      <c r="P807">
        <v>15.303962707519499</v>
      </c>
      <c r="Q807">
        <v>14.909815788269</v>
      </c>
      <c r="R807">
        <v>14.9584617614746</v>
      </c>
      <c r="S807">
        <v>15.1840562820435</v>
      </c>
      <c r="T807">
        <v>15.399169921875</v>
      </c>
      <c r="U807">
        <v>15.568284988403301</v>
      </c>
      <c r="V807">
        <v>15.7804002761841</v>
      </c>
      <c r="W807">
        <v>15.981484413146999</v>
      </c>
      <c r="X807">
        <v>16.220918655395501</v>
      </c>
      <c r="Y807">
        <v>16.434350967407202</v>
      </c>
      <c r="Z807">
        <v>16.567071914672901</v>
      </c>
      <c r="AA807">
        <v>3.0162334442138698E-3</v>
      </c>
    </row>
    <row r="808" spans="1:27" x14ac:dyDescent="0.25">
      <c r="A808" t="s">
        <v>479</v>
      </c>
      <c r="B808">
        <v>30.389289855956999</v>
      </c>
      <c r="C808">
        <v>30.640342712402301</v>
      </c>
      <c r="D808">
        <v>34.162754058837898</v>
      </c>
      <c r="E808">
        <v>33.815212249755902</v>
      </c>
      <c r="F808">
        <v>30.533897399902301</v>
      </c>
      <c r="G808">
        <v>30.904481887817401</v>
      </c>
      <c r="H808">
        <v>30.761266708373999</v>
      </c>
      <c r="I808">
        <v>30.656822204589801</v>
      </c>
      <c r="J808">
        <v>30.208518981933601</v>
      </c>
      <c r="K808">
        <v>30.091423034668001</v>
      </c>
      <c r="L808">
        <v>30.193696975708001</v>
      </c>
      <c r="M808">
        <v>30.0047798156738</v>
      </c>
      <c r="N808">
        <v>29.991252899169901</v>
      </c>
      <c r="O808">
        <v>30.379962921142599</v>
      </c>
      <c r="P808">
        <v>30.558404922485401</v>
      </c>
      <c r="Q808">
        <v>30.327966690063501</v>
      </c>
      <c r="R808">
        <v>30.564914703369102</v>
      </c>
      <c r="S808">
        <v>31.263238906860401</v>
      </c>
      <c r="T808">
        <v>32.143627166747997</v>
      </c>
      <c r="U808">
        <v>32.985675811767599</v>
      </c>
      <c r="V808">
        <v>33.582263946533203</v>
      </c>
      <c r="W808">
        <v>34.167488098144503</v>
      </c>
      <c r="X808">
        <v>34.703441619872997</v>
      </c>
      <c r="Y808">
        <v>34.847152709960902</v>
      </c>
      <c r="Z808">
        <v>34.984054565429702</v>
      </c>
      <c r="AA808">
        <v>5.7690143585205104E-3</v>
      </c>
    </row>
    <row r="810" spans="1:27" x14ac:dyDescent="0.25">
      <c r="A810" t="s">
        <v>623</v>
      </c>
    </row>
    <row r="811" spans="1:27" x14ac:dyDescent="0.25">
      <c r="A811" t="s">
        <v>610</v>
      </c>
      <c r="B811">
        <v>13.773189544677701</v>
      </c>
      <c r="C811">
        <v>14.7723951339722</v>
      </c>
      <c r="D811">
        <v>19.0520629882813</v>
      </c>
      <c r="E811">
        <v>14.607873916626</v>
      </c>
      <c r="F811">
        <v>17.083803176879901</v>
      </c>
      <c r="G811">
        <v>19.3275451660156</v>
      </c>
      <c r="H811">
        <v>21.593971252441399</v>
      </c>
      <c r="I811">
        <v>23.5840148925781</v>
      </c>
      <c r="J811">
        <v>26.404422760009801</v>
      </c>
      <c r="K811">
        <v>28.420751571655298</v>
      </c>
      <c r="L811">
        <v>29.800575256347699</v>
      </c>
      <c r="M811">
        <v>30.8314094543457</v>
      </c>
      <c r="N811">
        <v>31.78662109375</v>
      </c>
      <c r="O811">
        <v>32.266555786132798</v>
      </c>
      <c r="P811">
        <v>32.755008697509801</v>
      </c>
      <c r="Q811">
        <v>32.748939514160199</v>
      </c>
      <c r="R811">
        <v>32.898239135742202</v>
      </c>
      <c r="S811">
        <v>33.249435424804702</v>
      </c>
      <c r="T811">
        <v>33.280975341796903</v>
      </c>
      <c r="U811">
        <v>33.615665435791001</v>
      </c>
      <c r="V811">
        <v>34.1393432617188</v>
      </c>
      <c r="W811">
        <v>34.519859313964801</v>
      </c>
      <c r="X811">
        <v>34.915023803710902</v>
      </c>
      <c r="Y811">
        <v>35.267223358154297</v>
      </c>
      <c r="Z811">
        <v>35.541374206542997</v>
      </c>
      <c r="AA811">
        <v>3.8909077644348103E-2</v>
      </c>
    </row>
    <row r="812" spans="1:27" x14ac:dyDescent="0.25">
      <c r="A812" t="s">
        <v>611</v>
      </c>
      <c r="B812">
        <v>8.3781757354736293</v>
      </c>
      <c r="C812">
        <v>8.3772602081298793</v>
      </c>
      <c r="D812">
        <v>13.767860412597701</v>
      </c>
      <c r="E812">
        <v>8.0074138641357404</v>
      </c>
      <c r="F812">
        <v>15.1507024765015</v>
      </c>
      <c r="G812">
        <v>17.445198059081999</v>
      </c>
      <c r="H812">
        <v>19.8086948394775</v>
      </c>
      <c r="I812">
        <v>22.028682708740199</v>
      </c>
      <c r="J812">
        <v>24.317232131958001</v>
      </c>
      <c r="K812">
        <v>26.1839485168457</v>
      </c>
      <c r="L812">
        <v>27.423599243164102</v>
      </c>
      <c r="M812">
        <v>28.603431701660199</v>
      </c>
      <c r="N812">
        <v>29.3214435577393</v>
      </c>
      <c r="O812">
        <v>29.774486541748001</v>
      </c>
      <c r="P812">
        <v>30.1320896148682</v>
      </c>
      <c r="Q812">
        <v>30.226545333862301</v>
      </c>
      <c r="R812">
        <v>30.416906356811499</v>
      </c>
      <c r="S812">
        <v>30.663860321044901</v>
      </c>
      <c r="T812">
        <v>30.799253463745099</v>
      </c>
      <c r="U812">
        <v>31.115032196044901</v>
      </c>
      <c r="V812">
        <v>31.5948371887207</v>
      </c>
      <c r="W812">
        <v>31.898286819458001</v>
      </c>
      <c r="X812">
        <v>32.294849395752003</v>
      </c>
      <c r="Y812">
        <v>32.6415824890137</v>
      </c>
      <c r="Z812">
        <v>33.036785125732401</v>
      </c>
      <c r="AA812">
        <v>6.1471939086914097E-2</v>
      </c>
    </row>
    <row r="813" spans="1:27" x14ac:dyDescent="0.25">
      <c r="A813" t="s">
        <v>510</v>
      </c>
      <c r="B813">
        <v>7.0546379089355504</v>
      </c>
      <c r="C813">
        <v>7.0191588401794398</v>
      </c>
      <c r="D813">
        <v>9.1784105300903303</v>
      </c>
      <c r="E813">
        <v>6.3232793807983398</v>
      </c>
      <c r="F813">
        <v>6.7862815856933603</v>
      </c>
      <c r="G813">
        <v>6.7554225921630904</v>
      </c>
      <c r="H813">
        <v>6.8966388702392596</v>
      </c>
      <c r="I813">
        <v>6.9007439613342303</v>
      </c>
      <c r="J813">
        <v>7.0371451377868697</v>
      </c>
      <c r="K813">
        <v>7.2394108772277797</v>
      </c>
      <c r="L813">
        <v>7.3461008071899396</v>
      </c>
      <c r="M813">
        <v>7.5131673812866202</v>
      </c>
      <c r="N813">
        <v>7.6775636672973597</v>
      </c>
      <c r="O813">
        <v>7.7008471488952601</v>
      </c>
      <c r="P813">
        <v>7.47206687927246</v>
      </c>
      <c r="Q813">
        <v>7.1458010673522896</v>
      </c>
      <c r="R813">
        <v>7.2566452026367196</v>
      </c>
      <c r="S813">
        <v>7.4941387176513699</v>
      </c>
      <c r="T813">
        <v>7.74432277679443</v>
      </c>
      <c r="U813">
        <v>7.9791569709777797</v>
      </c>
      <c r="V813">
        <v>8.1962327957153303</v>
      </c>
      <c r="W813">
        <v>8.3967161178588903</v>
      </c>
      <c r="X813">
        <v>8.6154594421386701</v>
      </c>
      <c r="Y813">
        <v>8.8489608764648402</v>
      </c>
      <c r="Z813">
        <v>9.0075101852416992</v>
      </c>
      <c r="AA813">
        <v>1.09031200408936E-2</v>
      </c>
    </row>
    <row r="814" spans="1:27" x14ac:dyDescent="0.25">
      <c r="A814" t="s">
        <v>624</v>
      </c>
      <c r="B814">
        <v>1.7355251312255899</v>
      </c>
      <c r="C814">
        <v>1.78000032901764</v>
      </c>
      <c r="D814">
        <v>1.9430780410766599</v>
      </c>
      <c r="E814">
        <v>1.9159911870956401</v>
      </c>
      <c r="F814">
        <v>1.9215773344039899</v>
      </c>
      <c r="G814">
        <v>1.94381320476532</v>
      </c>
      <c r="H814">
        <v>1.96493256092072</v>
      </c>
      <c r="I814">
        <v>1.9859246015548699</v>
      </c>
      <c r="J814">
        <v>2.01386618614197</v>
      </c>
      <c r="K814">
        <v>2.0425341129303001</v>
      </c>
      <c r="L814">
        <v>2.0265669822692902</v>
      </c>
      <c r="M814">
        <v>2.0264971256256099</v>
      </c>
      <c r="N814">
        <v>2.0284991264343302</v>
      </c>
      <c r="O814">
        <v>2.03088283538818</v>
      </c>
      <c r="P814">
        <v>2.0331871509552002</v>
      </c>
      <c r="Q814">
        <v>2.0308041572570801</v>
      </c>
      <c r="R814">
        <v>2.03707003593445</v>
      </c>
      <c r="S814">
        <v>2.0511178970336901</v>
      </c>
      <c r="T814">
        <v>2.0604875087738002</v>
      </c>
      <c r="U814">
        <v>2.07539582252502</v>
      </c>
      <c r="V814">
        <v>2.08802461624146</v>
      </c>
      <c r="W814">
        <v>2.09706377983093</v>
      </c>
      <c r="X814">
        <v>2.11007905006409</v>
      </c>
      <c r="Y814">
        <v>2.1255011558532702</v>
      </c>
      <c r="Z814">
        <v>2.14128541946411</v>
      </c>
      <c r="AA814">
        <v>8.0668926239013707E-3</v>
      </c>
    </row>
    <row r="816" spans="1:27" x14ac:dyDescent="0.25">
      <c r="A816" t="s">
        <v>625</v>
      </c>
    </row>
    <row r="817" spans="1:27" x14ac:dyDescent="0.25">
      <c r="A817" t="s">
        <v>609</v>
      </c>
      <c r="B817">
        <v>15.6574239730835</v>
      </c>
      <c r="C817">
        <v>18.532711029052699</v>
      </c>
      <c r="D817">
        <v>19.588813781738299</v>
      </c>
      <c r="E817">
        <v>17.695808410644499</v>
      </c>
      <c r="F817">
        <v>22.89772605896</v>
      </c>
      <c r="G817">
        <v>25.525800704956101</v>
      </c>
      <c r="H817">
        <v>28.135374069213899</v>
      </c>
      <c r="I817">
        <v>30.695905685424801</v>
      </c>
      <c r="J817">
        <v>33.5143013000488</v>
      </c>
      <c r="K817">
        <v>35.840816497802699</v>
      </c>
      <c r="L817">
        <v>37.6836967468262</v>
      </c>
      <c r="M817">
        <v>39.047306060791001</v>
      </c>
      <c r="N817">
        <v>40.043754577636697</v>
      </c>
      <c r="O817">
        <v>40.646400451660199</v>
      </c>
      <c r="P817">
        <v>41.227584838867202</v>
      </c>
      <c r="Q817">
        <v>41.557403564453097</v>
      </c>
      <c r="R817">
        <v>41.8039360046387</v>
      </c>
      <c r="S817">
        <v>42.135208129882798</v>
      </c>
      <c r="T817">
        <v>42.369644165039098</v>
      </c>
      <c r="U817">
        <v>42.704635620117202</v>
      </c>
      <c r="V817">
        <v>43.125633239746101</v>
      </c>
      <c r="W817">
        <v>43.351551055908203</v>
      </c>
      <c r="X817">
        <v>43.615390777587898</v>
      </c>
      <c r="Y817">
        <v>43.933467864990199</v>
      </c>
      <c r="Z817">
        <v>44.235824584960902</v>
      </c>
      <c r="AA817">
        <v>3.8550496101379401E-2</v>
      </c>
    </row>
    <row r="818" spans="1:27" x14ac:dyDescent="0.25">
      <c r="A818" t="s">
        <v>618</v>
      </c>
      <c r="B818">
        <v>25.5142211914063</v>
      </c>
      <c r="C818">
        <v>26.671012878418001</v>
      </c>
      <c r="D818">
        <v>33.849239349365199</v>
      </c>
      <c r="E818">
        <v>33.586345672607401</v>
      </c>
      <c r="F818">
        <v>27.6864833831787</v>
      </c>
      <c r="G818">
        <v>30.227962493896499</v>
      </c>
      <c r="H818">
        <v>32.657257080078097</v>
      </c>
      <c r="I818">
        <v>32.785953521728501</v>
      </c>
      <c r="J818">
        <v>32.346141815185497</v>
      </c>
      <c r="K818">
        <v>33.964523315429702</v>
      </c>
      <c r="L818">
        <v>35.691123962402301</v>
      </c>
      <c r="M818">
        <v>37.409137725830099</v>
      </c>
      <c r="N818">
        <v>37.7480278015137</v>
      </c>
      <c r="O818">
        <v>37.745933532714801</v>
      </c>
      <c r="P818">
        <v>36.169681549072301</v>
      </c>
      <c r="Q818">
        <v>35.874843597412102</v>
      </c>
      <c r="R818">
        <v>36.162742614746101</v>
      </c>
      <c r="S818">
        <v>36.566848754882798</v>
      </c>
      <c r="T818">
        <v>36.620006561279297</v>
      </c>
      <c r="U818">
        <v>36.971061706542997</v>
      </c>
      <c r="V818">
        <v>37.408500671386697</v>
      </c>
      <c r="W818">
        <v>37.711296081542997</v>
      </c>
      <c r="X818">
        <v>38.137138366699197</v>
      </c>
      <c r="Y818">
        <v>38.524795532226598</v>
      </c>
      <c r="Z818">
        <v>38.908096313476598</v>
      </c>
      <c r="AA818">
        <v>1.65539979934692E-2</v>
      </c>
    </row>
    <row r="819" spans="1:27" x14ac:dyDescent="0.25">
      <c r="A819" t="s">
        <v>619</v>
      </c>
      <c r="B819">
        <v>21.648998260498001</v>
      </c>
      <c r="C819">
        <v>22.819190979003899</v>
      </c>
      <c r="D819">
        <v>26.322273254394499</v>
      </c>
      <c r="E819">
        <v>18.9177551269531</v>
      </c>
      <c r="F819">
        <v>25.436496734619102</v>
      </c>
      <c r="G819">
        <v>27.772588729858398</v>
      </c>
      <c r="H819">
        <v>29.973018646240199</v>
      </c>
      <c r="I819">
        <v>32.347999572753899</v>
      </c>
      <c r="J819">
        <v>35.050952911377003</v>
      </c>
      <c r="K819">
        <v>37.155685424804702</v>
      </c>
      <c r="L819">
        <v>38.4801635742188</v>
      </c>
      <c r="M819">
        <v>39.979705810546903</v>
      </c>
      <c r="N819">
        <v>40.785068511962898</v>
      </c>
      <c r="O819">
        <v>41.3517036437988</v>
      </c>
      <c r="P819">
        <v>41.679214477539098</v>
      </c>
      <c r="Q819">
        <v>41.648273468017599</v>
      </c>
      <c r="R819">
        <v>41.985744476318402</v>
      </c>
      <c r="S819">
        <v>42.461280822753899</v>
      </c>
      <c r="T819">
        <v>42.522396087646499</v>
      </c>
      <c r="U819">
        <v>42.935802459716797</v>
      </c>
      <c r="V819">
        <v>43.453563690185497</v>
      </c>
      <c r="W819">
        <v>43.8141899108887</v>
      </c>
      <c r="X819">
        <v>44.316211700439503</v>
      </c>
      <c r="Y819">
        <v>44.771690368652301</v>
      </c>
      <c r="Z819">
        <v>45.225814819335902</v>
      </c>
      <c r="AA819">
        <v>3.0188679695129401E-2</v>
      </c>
    </row>
    <row r="820" spans="1:27" x14ac:dyDescent="0.25">
      <c r="A820" t="s">
        <v>626</v>
      </c>
      <c r="B820">
        <v>15.2446508407593</v>
      </c>
      <c r="C820">
        <v>16.0964660644531</v>
      </c>
      <c r="D820">
        <v>22.0368041992188</v>
      </c>
      <c r="E820">
        <v>14.6258354187012</v>
      </c>
      <c r="F820">
        <v>18.117679595947301</v>
      </c>
      <c r="G820">
        <v>20.790958404541001</v>
      </c>
      <c r="H820">
        <v>23.098089218139599</v>
      </c>
      <c r="I820">
        <v>25.277437210083001</v>
      </c>
      <c r="J820">
        <v>28.108070373535199</v>
      </c>
      <c r="K820">
        <v>30.063097000122099</v>
      </c>
      <c r="L820">
        <v>31.2007732391357</v>
      </c>
      <c r="M820">
        <v>32.563095092773402</v>
      </c>
      <c r="N820">
        <v>33.216217041015597</v>
      </c>
      <c r="O820">
        <v>33.609565734863303</v>
      </c>
      <c r="P820">
        <v>33.985622406005902</v>
      </c>
      <c r="Q820">
        <v>33.9229927062988</v>
      </c>
      <c r="R820">
        <v>34.1160697937012</v>
      </c>
      <c r="S820">
        <v>34.517745971679702</v>
      </c>
      <c r="T820">
        <v>34.4479789733887</v>
      </c>
      <c r="U820">
        <v>34.882648468017599</v>
      </c>
      <c r="V820">
        <v>35.356975555419901</v>
      </c>
      <c r="W820">
        <v>35.6980171203613</v>
      </c>
      <c r="X820">
        <v>36.117191314697301</v>
      </c>
      <c r="Y820">
        <v>36.502471923828097</v>
      </c>
      <c r="Z820">
        <v>36.943180084228501</v>
      </c>
      <c r="AA820">
        <v>3.6781191825866699E-2</v>
      </c>
    </row>
    <row r="821" spans="1:27" x14ac:dyDescent="0.25">
      <c r="A821" t="s">
        <v>610</v>
      </c>
      <c r="B821">
        <v>19.1713962554932</v>
      </c>
      <c r="C821">
        <v>19.9431247711182</v>
      </c>
      <c r="D821">
        <v>25.703296661376999</v>
      </c>
      <c r="E821">
        <v>18.5521545410156</v>
      </c>
      <c r="F821">
        <v>20.9619140625</v>
      </c>
      <c r="G821">
        <v>23.6791477203369</v>
      </c>
      <c r="H821">
        <v>26.0628471374512</v>
      </c>
      <c r="I821">
        <v>28.599927902221701</v>
      </c>
      <c r="J821">
        <v>31.3183403015137</v>
      </c>
      <c r="K821">
        <v>33.263851165771499</v>
      </c>
      <c r="L821">
        <v>34.408931732177699</v>
      </c>
      <c r="M821">
        <v>35.652828216552699</v>
      </c>
      <c r="N821">
        <v>36.441574096679702</v>
      </c>
      <c r="O821">
        <v>36.859718322753899</v>
      </c>
      <c r="P821">
        <v>37.242115020752003</v>
      </c>
      <c r="Q821">
        <v>37.054904937744098</v>
      </c>
      <c r="R821">
        <v>37.2623291015625</v>
      </c>
      <c r="S821">
        <v>37.674507141113303</v>
      </c>
      <c r="T821">
        <v>37.684783935546903</v>
      </c>
      <c r="U821">
        <v>38.020187377929702</v>
      </c>
      <c r="V821">
        <v>38.413318634033203</v>
      </c>
      <c r="W821">
        <v>38.774890899658203</v>
      </c>
      <c r="X821">
        <v>39.204498291015597</v>
      </c>
      <c r="Y821">
        <v>39.593456268310497</v>
      </c>
      <c r="Z821">
        <v>40.074676513671903</v>
      </c>
      <c r="AA821">
        <v>3.0806779861450199E-2</v>
      </c>
    </row>
    <row r="822" spans="1:27" x14ac:dyDescent="0.25">
      <c r="A822" t="s">
        <v>611</v>
      </c>
      <c r="B822">
        <v>8.4246597290039098</v>
      </c>
      <c r="C822">
        <v>9.2489309310913104</v>
      </c>
      <c r="D822">
        <v>13.7205715179443</v>
      </c>
      <c r="E822">
        <v>7.74660301208496</v>
      </c>
      <c r="F822">
        <v>14.567358970642101</v>
      </c>
      <c r="G822">
        <v>16.791095733642599</v>
      </c>
      <c r="H822">
        <v>19.158735275268601</v>
      </c>
      <c r="I822">
        <v>21.380689620971701</v>
      </c>
      <c r="J822">
        <v>23.7013645172119</v>
      </c>
      <c r="K822">
        <v>25.618089675903299</v>
      </c>
      <c r="L822">
        <v>26.856208801269499</v>
      </c>
      <c r="M822">
        <v>28.053350448608398</v>
      </c>
      <c r="N822">
        <v>28.769941329956101</v>
      </c>
      <c r="O822">
        <v>29.23703956604</v>
      </c>
      <c r="P822">
        <v>29.5975856781006</v>
      </c>
      <c r="Q822">
        <v>29.6960258483887</v>
      </c>
      <c r="R822">
        <v>29.894676208496101</v>
      </c>
      <c r="S822">
        <v>30.160924911498999</v>
      </c>
      <c r="T822">
        <v>30.265388488769499</v>
      </c>
      <c r="U822">
        <v>30.587467193603501</v>
      </c>
      <c r="V822">
        <v>31.0885925292969</v>
      </c>
      <c r="W822">
        <v>31.417993545532202</v>
      </c>
      <c r="X822">
        <v>31.8338527679443</v>
      </c>
      <c r="Y822">
        <v>32.200790405273402</v>
      </c>
      <c r="Z822">
        <v>32.660762786865199</v>
      </c>
      <c r="AA822">
        <v>5.6387543678283698E-2</v>
      </c>
    </row>
    <row r="823" spans="1:27" x14ac:dyDescent="0.25">
      <c r="A823" t="s">
        <v>510</v>
      </c>
      <c r="B823">
        <v>9.5026035308837908</v>
      </c>
      <c r="C823">
        <v>9.0057582855224592</v>
      </c>
      <c r="D823">
        <v>10.3350286483765</v>
      </c>
      <c r="E823">
        <v>8.2461471557617205</v>
      </c>
      <c r="F823">
        <v>8.7815446853637695</v>
      </c>
      <c r="G823">
        <v>8.7498798370361293</v>
      </c>
      <c r="H823">
        <v>8.8216104507446307</v>
      </c>
      <c r="I823">
        <v>8.8623371124267596</v>
      </c>
      <c r="J823">
        <v>9.0222139358520508</v>
      </c>
      <c r="K823">
        <v>9.1982822418212908</v>
      </c>
      <c r="L823">
        <v>9.3107128143310494</v>
      </c>
      <c r="M823">
        <v>9.4842357635497994</v>
      </c>
      <c r="N823">
        <v>9.6566028594970703</v>
      </c>
      <c r="O823">
        <v>9.6935338973999006</v>
      </c>
      <c r="P823">
        <v>9.4843921661377006</v>
      </c>
      <c r="Q823">
        <v>9.1274719238281303</v>
      </c>
      <c r="R823">
        <v>9.1924381256103498</v>
      </c>
      <c r="S823">
        <v>9.4196281433105504</v>
      </c>
      <c r="T823">
        <v>9.6638069152831996</v>
      </c>
      <c r="U823">
        <v>9.8748388290405291</v>
      </c>
      <c r="V823">
        <v>10.1317024230957</v>
      </c>
      <c r="W823">
        <v>10.353573799133301</v>
      </c>
      <c r="X823">
        <v>10.619698524475099</v>
      </c>
      <c r="Y823">
        <v>10.875740051269499</v>
      </c>
      <c r="Z823">
        <v>11.0649738311768</v>
      </c>
      <c r="AA823">
        <v>8.99326801300049E-3</v>
      </c>
    </row>
    <row r="824" spans="1:27" x14ac:dyDescent="0.25">
      <c r="A824" t="s">
        <v>614</v>
      </c>
      <c r="B824">
        <v>3.6353600025177002</v>
      </c>
      <c r="C824">
        <v>3.6099998950958301</v>
      </c>
      <c r="D824">
        <v>4.0379996299743697</v>
      </c>
      <c r="E824">
        <v>4.5020823478698704</v>
      </c>
      <c r="F824">
        <v>4.3855228424072301</v>
      </c>
      <c r="G824">
        <v>4.3762397766113299</v>
      </c>
      <c r="H824">
        <v>4.3997368812561</v>
      </c>
      <c r="I824">
        <v>4.4189567565918004</v>
      </c>
      <c r="J824">
        <v>4.4347076416015598</v>
      </c>
      <c r="K824">
        <v>4.4522905349731401</v>
      </c>
      <c r="L824">
        <v>4.4603638648986799</v>
      </c>
      <c r="M824">
        <v>4.4635276794433603</v>
      </c>
      <c r="N824">
        <v>4.4729104042053196</v>
      </c>
      <c r="O824">
        <v>4.4708456993103001</v>
      </c>
      <c r="P824">
        <v>4.4873232841491699</v>
      </c>
      <c r="Q824">
        <v>4.5196957588195801</v>
      </c>
      <c r="R824">
        <v>4.5735583305358896</v>
      </c>
      <c r="S824">
        <v>4.6242790222168004</v>
      </c>
      <c r="T824">
        <v>4.6478152275085396</v>
      </c>
      <c r="U824">
        <v>4.6480631828308097</v>
      </c>
      <c r="V824">
        <v>4.6606159210205096</v>
      </c>
      <c r="W824">
        <v>4.6456594467163104</v>
      </c>
      <c r="X824">
        <v>4.6185407638549796</v>
      </c>
      <c r="Y824">
        <v>4.56589651107788</v>
      </c>
      <c r="Z824">
        <v>4.4889969825744602</v>
      </c>
      <c r="AA824">
        <v>9.5199346542358398E-3</v>
      </c>
    </row>
    <row r="825" spans="1:27" x14ac:dyDescent="0.25">
      <c r="A825" t="s">
        <v>627</v>
      </c>
      <c r="B825">
        <v>1.77764248847961</v>
      </c>
      <c r="C825">
        <v>1.81885325908661</v>
      </c>
      <c r="D825">
        <v>1.9807318449020399</v>
      </c>
      <c r="E825">
        <v>1.95691537857056</v>
      </c>
      <c r="F825">
        <v>1.96047616004944</v>
      </c>
      <c r="G825">
        <v>1.9828474521637001</v>
      </c>
      <c r="H825">
        <v>2.0030708312988299</v>
      </c>
      <c r="I825">
        <v>2.0230474472045898</v>
      </c>
      <c r="J825">
        <v>2.04939866065979</v>
      </c>
      <c r="K825">
        <v>2.0778627395629901</v>
      </c>
      <c r="L825">
        <v>2.0609514713287398</v>
      </c>
      <c r="M825">
        <v>2.0600180625915501</v>
      </c>
      <c r="N825">
        <v>2.0618624687194802</v>
      </c>
      <c r="O825">
        <v>2.0638909339904798</v>
      </c>
      <c r="P825">
        <v>2.06605005264282</v>
      </c>
      <c r="Q825">
        <v>2.0636281967163099</v>
      </c>
      <c r="R825">
        <v>2.0698127746582</v>
      </c>
      <c r="S825">
        <v>2.0836849212646502</v>
      </c>
      <c r="T825">
        <v>2.0928261280059801</v>
      </c>
      <c r="U825">
        <v>2.1075301170349099</v>
      </c>
      <c r="V825">
        <v>2.11965775489807</v>
      </c>
      <c r="W825">
        <v>2.12851786613464</v>
      </c>
      <c r="X825">
        <v>2.1413710117340101</v>
      </c>
      <c r="Y825">
        <v>2.1563785076141402</v>
      </c>
      <c r="Z825">
        <v>2.1716537475585902</v>
      </c>
      <c r="AA825">
        <v>7.7377557754516602E-3</v>
      </c>
    </row>
    <row r="826" spans="1:27" x14ac:dyDescent="0.25">
      <c r="A826" t="s">
        <v>616</v>
      </c>
      <c r="B826" t="s">
        <v>788</v>
      </c>
      <c r="C826" t="s">
        <v>788</v>
      </c>
      <c r="D826">
        <v>0</v>
      </c>
      <c r="E826">
        <v>0</v>
      </c>
      <c r="F826">
        <v>0</v>
      </c>
      <c r="G826">
        <v>1.41293036937714</v>
      </c>
      <c r="H826">
        <v>1.2184369564056401</v>
      </c>
      <c r="I826">
        <v>1.17754483222961</v>
      </c>
      <c r="J826">
        <v>1.3116322755813601</v>
      </c>
      <c r="K826">
        <v>1.2733211517334</v>
      </c>
      <c r="L826">
        <v>1.2851463556289699</v>
      </c>
      <c r="M826">
        <v>1.28024590015411</v>
      </c>
      <c r="N826">
        <v>1.30277991294861</v>
      </c>
      <c r="O826">
        <v>1.29882299900055</v>
      </c>
      <c r="P826">
        <v>1.29265284538269</v>
      </c>
      <c r="Q826">
        <v>1.32939457893372</v>
      </c>
      <c r="R826">
        <v>1.3688597679138199</v>
      </c>
      <c r="S826">
        <v>1.4024136066436801</v>
      </c>
      <c r="T826">
        <v>1.4137438535690301</v>
      </c>
      <c r="U826">
        <v>1.42857146263123</v>
      </c>
      <c r="V826">
        <v>1.43632352352142</v>
      </c>
      <c r="W826">
        <v>1.44281482696533</v>
      </c>
      <c r="X826">
        <v>1.44536685943604</v>
      </c>
      <c r="Y826">
        <v>1.4501197338104199</v>
      </c>
      <c r="Z826">
        <v>1.4655066728591899</v>
      </c>
      <c r="AA826" t="s">
        <v>788</v>
      </c>
    </row>
    <row r="827" spans="1:27" x14ac:dyDescent="0.25">
      <c r="A827" t="s">
        <v>479</v>
      </c>
      <c r="B827">
        <v>26.6758422851563</v>
      </c>
      <c r="C827">
        <v>26.701194763183601</v>
      </c>
      <c r="D827">
        <v>28.207727432251001</v>
      </c>
      <c r="E827">
        <v>28.274074554443398</v>
      </c>
      <c r="F827">
        <v>26.651882171630898</v>
      </c>
      <c r="G827">
        <v>27.076250076293899</v>
      </c>
      <c r="H827">
        <v>26.8856010437012</v>
      </c>
      <c r="I827">
        <v>27.034772872924801</v>
      </c>
      <c r="J827">
        <v>27.029661178588899</v>
      </c>
      <c r="K827">
        <v>27.3082084655762</v>
      </c>
      <c r="L827">
        <v>27.613113403320298</v>
      </c>
      <c r="M827">
        <v>27.833410263061499</v>
      </c>
      <c r="N827">
        <v>28.1487426757813</v>
      </c>
      <c r="O827">
        <v>28.391799926757798</v>
      </c>
      <c r="P827">
        <v>28.5583095550537</v>
      </c>
      <c r="Q827">
        <v>28.353569030761701</v>
      </c>
      <c r="R827">
        <v>28.399204254150401</v>
      </c>
      <c r="S827">
        <v>28.738731384277301</v>
      </c>
      <c r="T827">
        <v>29.230339050293001</v>
      </c>
      <c r="U827">
        <v>29.757205963134801</v>
      </c>
      <c r="V827">
        <v>30.155431747436499</v>
      </c>
      <c r="W827">
        <v>30.516889572143601</v>
      </c>
      <c r="X827">
        <v>30.855388641357401</v>
      </c>
      <c r="Y827">
        <v>31.007261276245099</v>
      </c>
      <c r="Z827">
        <v>31.1231689453125</v>
      </c>
      <c r="AA827">
        <v>6.6850185394287101E-3</v>
      </c>
    </row>
    <row r="829" spans="1:27" x14ac:dyDescent="0.25">
      <c r="A829" t="s">
        <v>513</v>
      </c>
    </row>
    <row r="830" spans="1:27" x14ac:dyDescent="0.25">
      <c r="A830" t="s">
        <v>725</v>
      </c>
    </row>
    <row r="831" spans="1:27" x14ac:dyDescent="0.25">
      <c r="A831" t="s">
        <v>473</v>
      </c>
      <c r="B831">
        <v>231.08920288085901</v>
      </c>
      <c r="C831">
        <v>238.37773132324199</v>
      </c>
      <c r="D831">
        <v>252.94381713867199</v>
      </c>
      <c r="E831">
        <v>239.17680358886699</v>
      </c>
      <c r="F831">
        <v>239.69950866699199</v>
      </c>
      <c r="G831">
        <v>245.75201416015599</v>
      </c>
      <c r="H831">
        <v>249.44010925293</v>
      </c>
      <c r="I831">
        <v>251.653884887695</v>
      </c>
      <c r="J831">
        <v>255.77357482910199</v>
      </c>
      <c r="K831">
        <v>260.52627563476602</v>
      </c>
      <c r="L831">
        <v>265.15460205078102</v>
      </c>
      <c r="M831">
        <v>269.22512817382801</v>
      </c>
      <c r="N831">
        <v>274.38430786132801</v>
      </c>
      <c r="O831">
        <v>278.28405761718801</v>
      </c>
      <c r="P831">
        <v>280.47280883789102</v>
      </c>
      <c r="Q831">
        <v>279.25845336914102</v>
      </c>
      <c r="R831">
        <v>282.19268798828102</v>
      </c>
      <c r="S831">
        <v>287.70663452148398</v>
      </c>
      <c r="T831">
        <v>294.26138305664102</v>
      </c>
      <c r="U831">
        <v>299.7646484375</v>
      </c>
      <c r="V831">
        <v>305.77548217773398</v>
      </c>
      <c r="W831">
        <v>311.16711425781301</v>
      </c>
      <c r="X831">
        <v>317.20748901367199</v>
      </c>
      <c r="Y831">
        <v>320.85021972656301</v>
      </c>
      <c r="Z831">
        <v>324.46701049804699</v>
      </c>
      <c r="AA831">
        <v>1.34958028793335E-2</v>
      </c>
    </row>
    <row r="832" spans="1:27" x14ac:dyDescent="0.25">
      <c r="A832" t="s">
        <v>480</v>
      </c>
      <c r="B832">
        <v>170.28286743164099</v>
      </c>
      <c r="C832">
        <v>173.08578491210901</v>
      </c>
      <c r="D832">
        <v>185.76397705078099</v>
      </c>
      <c r="E832">
        <v>178.33143615722699</v>
      </c>
      <c r="F832">
        <v>175.53163146972699</v>
      </c>
      <c r="G832">
        <v>180.70600891113301</v>
      </c>
      <c r="H832">
        <v>182.55152893066401</v>
      </c>
      <c r="I832">
        <v>186.30380249023401</v>
      </c>
      <c r="J832">
        <v>190.25302124023401</v>
      </c>
      <c r="K832">
        <v>195.77976989746099</v>
      </c>
      <c r="L832">
        <v>200.96725463867199</v>
      </c>
      <c r="M832">
        <v>206.10406494140599</v>
      </c>
      <c r="N832">
        <v>211.46237182617199</v>
      </c>
      <c r="O832">
        <v>215.83396911621099</v>
      </c>
      <c r="P832">
        <v>218.91777038574199</v>
      </c>
      <c r="Q832">
        <v>219.36863708496099</v>
      </c>
      <c r="R832">
        <v>222.59973144531301</v>
      </c>
      <c r="S832">
        <v>228.27235412597699</v>
      </c>
      <c r="T832">
        <v>234.30972290039099</v>
      </c>
      <c r="U832">
        <v>240.46255493164099</v>
      </c>
      <c r="V832">
        <v>246.24565124511699</v>
      </c>
      <c r="W832">
        <v>251.95404052734401</v>
      </c>
      <c r="X832">
        <v>257.89071655273398</v>
      </c>
      <c r="Y832">
        <v>262.67080688476602</v>
      </c>
      <c r="Z832">
        <v>267.35046386718801</v>
      </c>
      <c r="AA832">
        <v>1.9083023071289101E-2</v>
      </c>
    </row>
    <row r="833" spans="1:27" x14ac:dyDescent="0.25">
      <c r="A833" t="s">
        <v>515</v>
      </c>
      <c r="B833">
        <v>216.12767028808599</v>
      </c>
      <c r="C833">
        <v>226.84164428710901</v>
      </c>
      <c r="D833">
        <v>256.28231811523398</v>
      </c>
      <c r="E833">
        <v>205.24591064453099</v>
      </c>
      <c r="F833">
        <v>215.22320556640599</v>
      </c>
      <c r="G833">
        <v>231.62438964843801</v>
      </c>
      <c r="H833">
        <v>251.65115356445301</v>
      </c>
      <c r="I833">
        <v>268.80010986328102</v>
      </c>
      <c r="J833">
        <v>283.12625122070301</v>
      </c>
      <c r="K833">
        <v>295.85977172851602</v>
      </c>
      <c r="L833">
        <v>303.21740722656301</v>
      </c>
      <c r="M833">
        <v>310.33920288085898</v>
      </c>
      <c r="N833">
        <v>314.45690917968801</v>
      </c>
      <c r="O833">
        <v>315.63778686523398</v>
      </c>
      <c r="P833">
        <v>314.44158935546898</v>
      </c>
      <c r="Q833">
        <v>311.38638305664102</v>
      </c>
      <c r="R833">
        <v>313.677490234375</v>
      </c>
      <c r="S833">
        <v>317.87069702148398</v>
      </c>
      <c r="T833">
        <v>322.22720336914102</v>
      </c>
      <c r="U833">
        <v>327.49166870117199</v>
      </c>
      <c r="V833">
        <v>332.22317504882801</v>
      </c>
      <c r="W833">
        <v>336.22024536132801</v>
      </c>
      <c r="X833">
        <v>341.05575561523398</v>
      </c>
      <c r="Y833">
        <v>345.55453491210898</v>
      </c>
      <c r="Z833">
        <v>349.17462158203102</v>
      </c>
      <c r="AA833">
        <v>1.8929958343505901E-2</v>
      </c>
    </row>
    <row r="834" spans="1:27" x14ac:dyDescent="0.25">
      <c r="A834" t="s">
        <v>487</v>
      </c>
      <c r="B834">
        <v>564.63043212890602</v>
      </c>
      <c r="C834">
        <v>596.754638671875</v>
      </c>
      <c r="D834">
        <v>694.30163574218795</v>
      </c>
      <c r="E834">
        <v>484.89761352539102</v>
      </c>
      <c r="F834">
        <v>634.28308105468795</v>
      </c>
      <c r="G834">
        <v>713.26568603515602</v>
      </c>
      <c r="H834">
        <v>779.22229003906295</v>
      </c>
      <c r="I834">
        <v>844.09631347656295</v>
      </c>
      <c r="J834">
        <v>905.84466552734398</v>
      </c>
      <c r="K834">
        <v>934.9755859375</v>
      </c>
      <c r="L834">
        <v>954.39727783203102</v>
      </c>
      <c r="M834">
        <v>974.517578125</v>
      </c>
      <c r="N834">
        <v>987.50305175781295</v>
      </c>
      <c r="O834">
        <v>994.324462890625</v>
      </c>
      <c r="P834">
        <v>995.15118408203102</v>
      </c>
      <c r="Q834">
        <v>988.80041503906295</v>
      </c>
      <c r="R834">
        <v>994.07275390625</v>
      </c>
      <c r="S834">
        <v>1004.81390380859</v>
      </c>
      <c r="T834">
        <v>1007.67785644531</v>
      </c>
      <c r="U834">
        <v>1021.18786621094</v>
      </c>
      <c r="V834">
        <v>1038.30029296875</v>
      </c>
      <c r="W834">
        <v>1054.15161132813</v>
      </c>
      <c r="X834">
        <v>1073.83544921875</v>
      </c>
      <c r="Y834">
        <v>1093.56530761719</v>
      </c>
      <c r="Z834">
        <v>1116.07727050781</v>
      </c>
      <c r="AA834">
        <v>2.7594208717346198E-2</v>
      </c>
    </row>
    <row r="835" spans="1:27" x14ac:dyDescent="0.25">
      <c r="A835" t="s">
        <v>516</v>
      </c>
      <c r="B835">
        <v>1182.13012695313</v>
      </c>
      <c r="C835">
        <v>1235.05981445313</v>
      </c>
      <c r="D835">
        <v>1389.29174804688</v>
      </c>
      <c r="E835">
        <v>1107.65173339844</v>
      </c>
      <c r="F835">
        <v>1264.73742675781</v>
      </c>
      <c r="G835">
        <v>1371.34814453125</v>
      </c>
      <c r="H835">
        <v>1462.86511230469</v>
      </c>
      <c r="I835">
        <v>1550.85412597656</v>
      </c>
      <c r="J835">
        <v>1634.99755859375</v>
      </c>
      <c r="K835">
        <v>1687.14135742188</v>
      </c>
      <c r="L835">
        <v>1723.73657226563</v>
      </c>
      <c r="M835">
        <v>1760.18603515625</v>
      </c>
      <c r="N835">
        <v>1787.806640625</v>
      </c>
      <c r="O835">
        <v>1804.08032226563</v>
      </c>
      <c r="P835">
        <v>1808.9833984375</v>
      </c>
      <c r="Q835">
        <v>1798.81384277344</v>
      </c>
      <c r="R835">
        <v>1812.54272460938</v>
      </c>
      <c r="S835">
        <v>1838.66357421875</v>
      </c>
      <c r="T835">
        <v>1858.47619628906</v>
      </c>
      <c r="U835">
        <v>1888.90673828125</v>
      </c>
      <c r="V835">
        <v>1922.54455566406</v>
      </c>
      <c r="W835">
        <v>1953.49304199219</v>
      </c>
      <c r="X835">
        <v>1989.98937988281</v>
      </c>
      <c r="Y835">
        <v>2022.64086914063</v>
      </c>
      <c r="Z835">
        <v>2057.0693359375</v>
      </c>
      <c r="AA835">
        <v>2.2428870201110802E-2</v>
      </c>
    </row>
    <row r="836" spans="1:27" x14ac:dyDescent="0.25">
      <c r="A836" t="s">
        <v>629</v>
      </c>
      <c r="B836">
        <v>3.2134380191564602E-2</v>
      </c>
      <c r="C836">
        <v>4.0766973048448597E-2</v>
      </c>
      <c r="D836">
        <v>3.9758257567882503E-2</v>
      </c>
      <c r="E836">
        <v>2.0912932232022299E-2</v>
      </c>
      <c r="F836">
        <v>6.9471828639507294E-2</v>
      </c>
      <c r="G836">
        <v>8.6778029799461406E-2</v>
      </c>
      <c r="H836">
        <v>0.106363005936146</v>
      </c>
      <c r="I836">
        <v>0.55913984775543202</v>
      </c>
      <c r="J836">
        <v>7.9643964767456099</v>
      </c>
      <c r="K836">
        <v>27.973939895629901</v>
      </c>
      <c r="L836">
        <v>38.499557495117202</v>
      </c>
      <c r="M836">
        <v>49.285560607910199</v>
      </c>
      <c r="N836">
        <v>55.498867034912102</v>
      </c>
      <c r="O836">
        <v>59.983543395996101</v>
      </c>
      <c r="P836">
        <v>63.057430267333999</v>
      </c>
      <c r="Q836">
        <v>67.662658691406307</v>
      </c>
      <c r="R836">
        <v>73.058197021484403</v>
      </c>
      <c r="S836">
        <v>78.445304870605497</v>
      </c>
      <c r="T836">
        <v>82.808517456054702</v>
      </c>
      <c r="U836">
        <v>87.534194946289105</v>
      </c>
      <c r="V836">
        <v>92.150848388671903</v>
      </c>
      <c r="W836">
        <v>96.100090026855497</v>
      </c>
      <c r="X836">
        <v>99.981544494628906</v>
      </c>
      <c r="Y836">
        <v>103.37892150878901</v>
      </c>
      <c r="Z836">
        <v>106.394973754883</v>
      </c>
      <c r="AA836">
        <v>0.407824020385742</v>
      </c>
    </row>
    <row r="837" spans="1:27" x14ac:dyDescent="0.25">
      <c r="A837" t="s">
        <v>518</v>
      </c>
      <c r="B837">
        <v>1182.16223144531</v>
      </c>
      <c r="C837">
        <v>1235.1005859375</v>
      </c>
      <c r="D837">
        <v>1389.33154296875</v>
      </c>
      <c r="E837">
        <v>1107.67260742188</v>
      </c>
      <c r="F837">
        <v>1264.80688476563</v>
      </c>
      <c r="G837">
        <v>1371.43493652344</v>
      </c>
      <c r="H837">
        <v>1462.97143554688</v>
      </c>
      <c r="I837">
        <v>1551.41320800781</v>
      </c>
      <c r="J837">
        <v>1642.9619140625</v>
      </c>
      <c r="K837">
        <v>1715.11535644531</v>
      </c>
      <c r="L837">
        <v>1762.23608398438</v>
      </c>
      <c r="M837">
        <v>1809.47155761719</v>
      </c>
      <c r="N837">
        <v>1843.30554199219</v>
      </c>
      <c r="O837">
        <v>1864.06384277344</v>
      </c>
      <c r="P837">
        <v>1872.04077148438</v>
      </c>
      <c r="Q837">
        <v>1866.4765625</v>
      </c>
      <c r="R837">
        <v>1885.60095214844</v>
      </c>
      <c r="S837">
        <v>1917.10888671875</v>
      </c>
      <c r="T837">
        <v>1941.28466796875</v>
      </c>
      <c r="U837">
        <v>1976.44091796875</v>
      </c>
      <c r="V837">
        <v>2014.69543457031</v>
      </c>
      <c r="W837">
        <v>2049.59301757813</v>
      </c>
      <c r="X837">
        <v>2089.97094726563</v>
      </c>
      <c r="Y837">
        <v>2126.01977539063</v>
      </c>
      <c r="Z837">
        <v>2163.46435546875</v>
      </c>
      <c r="AA837">
        <v>2.4671554565429701E-2</v>
      </c>
    </row>
    <row r="840" spans="1:27" x14ac:dyDescent="0.25">
      <c r="A840" t="s">
        <v>726</v>
      </c>
    </row>
    <row r="841" spans="1:27" x14ac:dyDescent="0.25">
      <c r="A841" t="s">
        <v>473</v>
      </c>
    </row>
    <row r="842" spans="1:27" x14ac:dyDescent="0.25">
      <c r="A842" t="s">
        <v>609</v>
      </c>
      <c r="B842">
        <v>23.257051467895501</v>
      </c>
      <c r="C842">
        <v>24.976987838745099</v>
      </c>
      <c r="D842">
        <v>29.065778732299801</v>
      </c>
      <c r="E842">
        <v>23.2960910797119</v>
      </c>
      <c r="F842">
        <v>29.4280681610107</v>
      </c>
      <c r="G842">
        <v>32.889183044433601</v>
      </c>
      <c r="H842">
        <v>36.6288871765137</v>
      </c>
      <c r="I842">
        <v>40.505104064941399</v>
      </c>
      <c r="J842">
        <v>44.8352661132813</v>
      </c>
      <c r="K842">
        <v>48.719963073730497</v>
      </c>
      <c r="L842">
        <v>52.086635589599602</v>
      </c>
      <c r="M842">
        <v>54.978519439697301</v>
      </c>
      <c r="N842">
        <v>57.4362182617188</v>
      </c>
      <c r="O842">
        <v>59.445770263671903</v>
      </c>
      <c r="P842">
        <v>61.391433715820298</v>
      </c>
      <c r="Q842">
        <v>62.804817199707003</v>
      </c>
      <c r="R842">
        <v>63.970870971679702</v>
      </c>
      <c r="S842">
        <v>65.233825683593807</v>
      </c>
      <c r="T842">
        <v>66.208908081054702</v>
      </c>
      <c r="U842">
        <v>67.332000732421903</v>
      </c>
      <c r="V842">
        <v>68.596176147460895</v>
      </c>
      <c r="W842">
        <v>69.652244567871094</v>
      </c>
      <c r="X842">
        <v>70.7481689453125</v>
      </c>
      <c r="Y842">
        <v>71.979537963867202</v>
      </c>
      <c r="Z842">
        <v>73.22802734375</v>
      </c>
      <c r="AA842">
        <v>4.7877073287963902E-2</v>
      </c>
    </row>
    <row r="843" spans="1:27" x14ac:dyDescent="0.25">
      <c r="A843" t="s">
        <v>610</v>
      </c>
      <c r="B843">
        <v>17.9798793792725</v>
      </c>
      <c r="C843">
        <v>19.6639919281006</v>
      </c>
      <c r="D843">
        <v>24.3671779632568</v>
      </c>
      <c r="E843">
        <v>19.1102085113525</v>
      </c>
      <c r="F843">
        <v>21.806400299072301</v>
      </c>
      <c r="G843">
        <v>24.6327724456787</v>
      </c>
      <c r="H843">
        <v>27.526374816894499</v>
      </c>
      <c r="I843">
        <v>30.2902221679688</v>
      </c>
      <c r="J843">
        <v>34.194293975830099</v>
      </c>
      <c r="K843">
        <v>37.316211700439503</v>
      </c>
      <c r="L843">
        <v>39.8068237304688</v>
      </c>
      <c r="M843">
        <v>41.9394340515137</v>
      </c>
      <c r="N843">
        <v>44.014728546142599</v>
      </c>
      <c r="O843">
        <v>45.545963287353501</v>
      </c>
      <c r="P843">
        <v>47.042560577392599</v>
      </c>
      <c r="Q843">
        <v>47.727027893066399</v>
      </c>
      <c r="R843">
        <v>48.543346405029297</v>
      </c>
      <c r="S843">
        <v>49.706432342529297</v>
      </c>
      <c r="T843">
        <v>50.280788421630902</v>
      </c>
      <c r="U843">
        <v>51.184494018554702</v>
      </c>
      <c r="V843">
        <v>52.296066284179702</v>
      </c>
      <c r="W843">
        <v>53.400947570800803</v>
      </c>
      <c r="X843">
        <v>54.528671264648402</v>
      </c>
      <c r="Y843">
        <v>55.612415313720703</v>
      </c>
      <c r="Z843">
        <v>56.540290832519503</v>
      </c>
      <c r="AA843">
        <v>4.6990871429443401E-2</v>
      </c>
    </row>
    <row r="844" spans="1:27" x14ac:dyDescent="0.25">
      <c r="A844" t="s">
        <v>510</v>
      </c>
      <c r="B844">
        <v>13.3406887054443</v>
      </c>
      <c r="C844">
        <v>12.691158294677701</v>
      </c>
      <c r="D844">
        <v>13.3287906646729</v>
      </c>
      <c r="E844">
        <v>12.1788377761841</v>
      </c>
      <c r="F844">
        <v>12.9910278320313</v>
      </c>
      <c r="G844">
        <v>13.095386505126999</v>
      </c>
      <c r="H844">
        <v>13.3549995422363</v>
      </c>
      <c r="I844">
        <v>13.6636142730713</v>
      </c>
      <c r="J844">
        <v>14.100858688354499</v>
      </c>
      <c r="K844">
        <v>14.6119728088379</v>
      </c>
      <c r="L844">
        <v>15.068768501281699</v>
      </c>
      <c r="M844">
        <v>15.646878242492701</v>
      </c>
      <c r="N844">
        <v>16.202325820922901</v>
      </c>
      <c r="O844">
        <v>16.6011772155762</v>
      </c>
      <c r="P844">
        <v>16.638313293456999</v>
      </c>
      <c r="Q844">
        <v>16.434179306030298</v>
      </c>
      <c r="R844">
        <v>16.716007232666001</v>
      </c>
      <c r="S844">
        <v>17.266981124877901</v>
      </c>
      <c r="T844">
        <v>17.790235519409201</v>
      </c>
      <c r="U844">
        <v>18.257511138916001</v>
      </c>
      <c r="V844">
        <v>18.8174343109131</v>
      </c>
      <c r="W844">
        <v>19.361801147460898</v>
      </c>
      <c r="X844">
        <v>19.9677219390869</v>
      </c>
      <c r="Y844">
        <v>20.5712070465088</v>
      </c>
      <c r="Z844">
        <v>21.078121185302699</v>
      </c>
      <c r="AA844">
        <v>2.2302865982055699E-2</v>
      </c>
    </row>
    <row r="845" spans="1:27" x14ac:dyDescent="0.25">
      <c r="A845" t="s">
        <v>479</v>
      </c>
      <c r="B845">
        <v>30.388185501098601</v>
      </c>
      <c r="C845">
        <v>31.187788009643601</v>
      </c>
      <c r="D845">
        <v>33.115669250488303</v>
      </c>
      <c r="E845">
        <v>33.781986236572301</v>
      </c>
      <c r="F845">
        <v>32.814785003662102</v>
      </c>
      <c r="G845">
        <v>34.077308654785199</v>
      </c>
      <c r="H845">
        <v>34.736278533935497</v>
      </c>
      <c r="I845">
        <v>35.890495300292997</v>
      </c>
      <c r="J845">
        <v>36.7275390625</v>
      </c>
      <c r="K845">
        <v>37.879070281982401</v>
      </c>
      <c r="L845">
        <v>39.014167785644503</v>
      </c>
      <c r="M845">
        <v>40.139362335205099</v>
      </c>
      <c r="N845">
        <v>41.365802764892599</v>
      </c>
      <c r="O845">
        <v>42.518196105957003</v>
      </c>
      <c r="P845">
        <v>43.5210151672363</v>
      </c>
      <c r="Q845">
        <v>43.962184906005902</v>
      </c>
      <c r="R845">
        <v>44.622589111328097</v>
      </c>
      <c r="S845">
        <v>45.6438598632813</v>
      </c>
      <c r="T845">
        <v>46.812854766845703</v>
      </c>
      <c r="U845">
        <v>48.041049957275398</v>
      </c>
      <c r="V845">
        <v>49.098915100097699</v>
      </c>
      <c r="W845">
        <v>50.119911193847699</v>
      </c>
      <c r="X845">
        <v>51.109226226806598</v>
      </c>
      <c r="Y845">
        <v>51.910655975341797</v>
      </c>
      <c r="Z845">
        <v>52.645065307617202</v>
      </c>
      <c r="AA845">
        <v>2.3023962974548302E-2</v>
      </c>
    </row>
    <row r="847" spans="1:27" x14ac:dyDescent="0.25">
      <c r="A847" t="s">
        <v>480</v>
      </c>
    </row>
    <row r="848" spans="1:27" x14ac:dyDescent="0.25">
      <c r="A848" t="s">
        <v>609</v>
      </c>
      <c r="B848">
        <v>20.6414604187012</v>
      </c>
      <c r="C848">
        <v>23.041419982910199</v>
      </c>
      <c r="D848">
        <v>24.172060012817401</v>
      </c>
      <c r="E848">
        <v>19.4689617156982</v>
      </c>
      <c r="F848">
        <v>26.076234817504901</v>
      </c>
      <c r="G848">
        <v>29.4727878570557</v>
      </c>
      <c r="H848">
        <v>33.1359672546387</v>
      </c>
      <c r="I848">
        <v>36.924243927002003</v>
      </c>
      <c r="J848">
        <v>41.162197113037102</v>
      </c>
      <c r="K848">
        <v>44.950904846191399</v>
      </c>
      <c r="L848">
        <v>48.2210884094238</v>
      </c>
      <c r="M848">
        <v>51.014842987060497</v>
      </c>
      <c r="N848">
        <v>53.374961853027301</v>
      </c>
      <c r="O848">
        <v>55.285846710205099</v>
      </c>
      <c r="P848">
        <v>57.140815734863303</v>
      </c>
      <c r="Q848">
        <v>58.478668212890597</v>
      </c>
      <c r="R848">
        <v>59.577701568603501</v>
      </c>
      <c r="S848">
        <v>60.778411865234403</v>
      </c>
      <c r="T848">
        <v>61.698631286621101</v>
      </c>
      <c r="U848">
        <v>62.76953125</v>
      </c>
      <c r="V848">
        <v>63.9805717468262</v>
      </c>
      <c r="W848">
        <v>64.980018615722699</v>
      </c>
      <c r="X848">
        <v>66.018135070800795</v>
      </c>
      <c r="Y848">
        <v>67.190345764160199</v>
      </c>
      <c r="Z848">
        <v>68.376495361328097</v>
      </c>
      <c r="AA848">
        <v>4.8429012298583998E-2</v>
      </c>
    </row>
    <row r="849" spans="1:27" x14ac:dyDescent="0.25">
      <c r="A849" t="s">
        <v>610</v>
      </c>
      <c r="B849">
        <v>14.6259565353394</v>
      </c>
      <c r="C849">
        <v>16.054103851318398</v>
      </c>
      <c r="D849">
        <v>21.337766647338899</v>
      </c>
      <c r="E849">
        <v>16.734783172607401</v>
      </c>
      <c r="F849">
        <v>19.112129211425799</v>
      </c>
      <c r="G849">
        <v>22.201026916503899</v>
      </c>
      <c r="H849">
        <v>25.113124847412099</v>
      </c>
      <c r="I849">
        <v>28.0792446136475</v>
      </c>
      <c r="J849">
        <v>31.9088649749756</v>
      </c>
      <c r="K849">
        <v>34.911155700683601</v>
      </c>
      <c r="L849">
        <v>37.174346923828097</v>
      </c>
      <c r="M849">
        <v>39.3967475891113</v>
      </c>
      <c r="N849">
        <v>41.302574157714801</v>
      </c>
      <c r="O849">
        <v>42.740764617919901</v>
      </c>
      <c r="P849">
        <v>44.103927612304702</v>
      </c>
      <c r="Q849">
        <v>44.6142768859863</v>
      </c>
      <c r="R849">
        <v>45.439685821533203</v>
      </c>
      <c r="S849">
        <v>46.523967742919901</v>
      </c>
      <c r="T849">
        <v>47.052040100097699</v>
      </c>
      <c r="U849">
        <v>47.945369720458999</v>
      </c>
      <c r="V849">
        <v>49.002445220947301</v>
      </c>
      <c r="W849">
        <v>50.046310424804702</v>
      </c>
      <c r="X849">
        <v>51.161643981933601</v>
      </c>
      <c r="Y849">
        <v>52.236690521240199</v>
      </c>
      <c r="Z849">
        <v>53.3607368469238</v>
      </c>
      <c r="AA849">
        <v>5.3609848022460903E-2</v>
      </c>
    </row>
    <row r="850" spans="1:27" x14ac:dyDescent="0.25">
      <c r="A850" t="s">
        <v>723</v>
      </c>
      <c r="B850">
        <v>8.64862155914307</v>
      </c>
      <c r="C850">
        <v>10.2142028808594</v>
      </c>
      <c r="D850">
        <v>13.678780555725099</v>
      </c>
      <c r="E850">
        <v>7.0478959083557102</v>
      </c>
      <c r="F850">
        <v>13.512396812439</v>
      </c>
      <c r="G850">
        <v>16.3985290527344</v>
      </c>
      <c r="H850">
        <v>19.012569427490199</v>
      </c>
      <c r="I850">
        <v>21.890174865722699</v>
      </c>
      <c r="J850">
        <v>24.128501892089801</v>
      </c>
      <c r="K850">
        <v>25.886793136596701</v>
      </c>
      <c r="L850">
        <v>28.2118015289307</v>
      </c>
      <c r="M850">
        <v>30.3311157226563</v>
      </c>
      <c r="N850">
        <v>32.112957000732401</v>
      </c>
      <c r="O850">
        <v>33.514438629150398</v>
      </c>
      <c r="P850">
        <v>34.8145141601563</v>
      </c>
      <c r="Q850">
        <v>35.560783386230497</v>
      </c>
      <c r="R850">
        <v>36.361560821533203</v>
      </c>
      <c r="S850">
        <v>37.261711120605497</v>
      </c>
      <c r="T850">
        <v>38.001945495605497</v>
      </c>
      <c r="U850">
        <v>38.855312347412102</v>
      </c>
      <c r="V850">
        <v>39.703739166259801</v>
      </c>
      <c r="W850">
        <v>40.496681213378899</v>
      </c>
      <c r="X850">
        <v>41.409446716308601</v>
      </c>
      <c r="Y850">
        <v>42.337013244628899</v>
      </c>
      <c r="Z850">
        <v>43.256912231445298</v>
      </c>
      <c r="AA850">
        <v>6.4766526222229004E-2</v>
      </c>
    </row>
    <row r="851" spans="1:27" x14ac:dyDescent="0.25">
      <c r="A851" t="s">
        <v>510</v>
      </c>
      <c r="B851">
        <v>11.5840444564819</v>
      </c>
      <c r="C851">
        <v>10.9898433685303</v>
      </c>
      <c r="D851">
        <v>11.799612998962401</v>
      </c>
      <c r="E851">
        <v>10.6018285751343</v>
      </c>
      <c r="F851">
        <v>11.362260818481399</v>
      </c>
      <c r="G851">
        <v>11.475154876709</v>
      </c>
      <c r="H851">
        <v>11.7514343261719</v>
      </c>
      <c r="I851">
        <v>12.0277652740479</v>
      </c>
      <c r="J851">
        <v>12.4501762390137</v>
      </c>
      <c r="K851">
        <v>12.9494619369507</v>
      </c>
      <c r="L851">
        <v>13.3789005279541</v>
      </c>
      <c r="M851">
        <v>13.921801567077599</v>
      </c>
      <c r="N851">
        <v>14.449187278747599</v>
      </c>
      <c r="O851">
        <v>14.8212032318115</v>
      </c>
      <c r="P851">
        <v>14.8503885269165</v>
      </c>
      <c r="Q851">
        <v>14.6376485824585</v>
      </c>
      <c r="R851">
        <v>14.924715995788601</v>
      </c>
      <c r="S851">
        <v>15.472354888916</v>
      </c>
      <c r="T851">
        <v>15.9942817687988</v>
      </c>
      <c r="U851">
        <v>16.425422668456999</v>
      </c>
      <c r="V851">
        <v>16.961009979248001</v>
      </c>
      <c r="W851">
        <v>17.481918334960898</v>
      </c>
      <c r="X851">
        <v>18.074787139892599</v>
      </c>
      <c r="Y851">
        <v>18.633848190307599</v>
      </c>
      <c r="Z851">
        <v>19.104610443115199</v>
      </c>
      <c r="AA851">
        <v>2.43330001831055E-2</v>
      </c>
    </row>
    <row r="852" spans="1:27" x14ac:dyDescent="0.25">
      <c r="A852" t="s">
        <v>479</v>
      </c>
      <c r="B852">
        <v>27.631908416748001</v>
      </c>
      <c r="C852">
        <v>28.073511123657202</v>
      </c>
      <c r="D852">
        <v>30.269506454467798</v>
      </c>
      <c r="E852">
        <v>30.8216876983643</v>
      </c>
      <c r="F852">
        <v>29.006034851074201</v>
      </c>
      <c r="G852">
        <v>29.8260498046875</v>
      </c>
      <c r="H852">
        <v>30.060043334960898</v>
      </c>
      <c r="I852">
        <v>30.832170486450199</v>
      </c>
      <c r="J852">
        <v>31.454517364501999</v>
      </c>
      <c r="K852">
        <v>32.508445739746101</v>
      </c>
      <c r="L852">
        <v>33.630722045898402</v>
      </c>
      <c r="M852">
        <v>34.661285400390597</v>
      </c>
      <c r="N852">
        <v>35.815185546875</v>
      </c>
      <c r="O852">
        <v>36.874931335449197</v>
      </c>
      <c r="P852">
        <v>37.752494812011697</v>
      </c>
      <c r="Q852">
        <v>37.956661224365199</v>
      </c>
      <c r="R852">
        <v>38.443679809570298</v>
      </c>
      <c r="S852">
        <v>39.3442993164063</v>
      </c>
      <c r="T852">
        <v>40.383541107177699</v>
      </c>
      <c r="U852">
        <v>41.463935852050803</v>
      </c>
      <c r="V852">
        <v>42.393783569335902</v>
      </c>
      <c r="W852">
        <v>43.349544525146499</v>
      </c>
      <c r="X852">
        <v>44.305282592773402</v>
      </c>
      <c r="Y852">
        <v>44.995758056640597</v>
      </c>
      <c r="Z852">
        <v>45.729721069335902</v>
      </c>
      <c r="AA852">
        <v>2.1440625190734901E-2</v>
      </c>
    </row>
    <row r="854" spans="1:27" x14ac:dyDescent="0.25">
      <c r="A854" t="s">
        <v>612</v>
      </c>
    </row>
    <row r="855" spans="1:27" x14ac:dyDescent="0.25">
      <c r="A855" t="s">
        <v>609</v>
      </c>
      <c r="B855">
        <v>20.489151000976602</v>
      </c>
      <c r="C855">
        <v>23.3795356750488</v>
      </c>
      <c r="D855">
        <v>26.133235931396499</v>
      </c>
      <c r="E855">
        <v>19.561550140380898</v>
      </c>
      <c r="F855">
        <v>25.202880859375</v>
      </c>
      <c r="G855">
        <v>28.5882358551025</v>
      </c>
      <c r="H855">
        <v>32.290554046630902</v>
      </c>
      <c r="I855">
        <v>36.061496734619098</v>
      </c>
      <c r="J855">
        <v>40.28466796875</v>
      </c>
      <c r="K855">
        <v>44.048030853271499</v>
      </c>
      <c r="L855">
        <v>47.2955131530762</v>
      </c>
      <c r="M855">
        <v>50.066734313964801</v>
      </c>
      <c r="N855">
        <v>52.406539916992202</v>
      </c>
      <c r="O855">
        <v>54.297653198242202</v>
      </c>
      <c r="P855">
        <v>56.132820129394503</v>
      </c>
      <c r="Q855">
        <v>57.455539703369098</v>
      </c>
      <c r="R855">
        <v>58.540603637695298</v>
      </c>
      <c r="S855">
        <v>59.729427337646499</v>
      </c>
      <c r="T855">
        <v>60.639110565185497</v>
      </c>
      <c r="U855">
        <v>61.701614379882798</v>
      </c>
      <c r="V855">
        <v>62.903518676757798</v>
      </c>
      <c r="W855">
        <v>63.889602661132798</v>
      </c>
      <c r="X855">
        <v>64.916366577148395</v>
      </c>
      <c r="Y855">
        <v>66.076919555664105</v>
      </c>
      <c r="Z855">
        <v>67.252586364746094</v>
      </c>
      <c r="AA855">
        <v>4.7010421752929701E-2</v>
      </c>
    </row>
    <row r="856" spans="1:27" x14ac:dyDescent="0.25">
      <c r="A856" t="s">
        <v>610</v>
      </c>
      <c r="B856">
        <v>15.3226890563965</v>
      </c>
      <c r="C856">
        <v>16.821935653686499</v>
      </c>
      <c r="D856">
        <v>22.332750320434599</v>
      </c>
      <c r="E856">
        <v>17.412950515747099</v>
      </c>
      <c r="F856">
        <v>18.955553054809599</v>
      </c>
      <c r="G856">
        <v>22.4802551269531</v>
      </c>
      <c r="H856">
        <v>25.400894165039102</v>
      </c>
      <c r="I856">
        <v>28.652246475219702</v>
      </c>
      <c r="J856">
        <v>32.3572998046875</v>
      </c>
      <c r="K856">
        <v>35.336254119872997</v>
      </c>
      <c r="L856">
        <v>37.494544982910199</v>
      </c>
      <c r="M856">
        <v>39.832122802734403</v>
      </c>
      <c r="N856">
        <v>41.674594879150398</v>
      </c>
      <c r="O856">
        <v>43.103801727294901</v>
      </c>
      <c r="P856">
        <v>44.428688049316399</v>
      </c>
      <c r="Q856">
        <v>44.866687774658203</v>
      </c>
      <c r="R856">
        <v>45.735679626464801</v>
      </c>
      <c r="S856">
        <v>46.827323913574197</v>
      </c>
      <c r="T856">
        <v>47.345386505127003</v>
      </c>
      <c r="U856">
        <v>48.241344451904297</v>
      </c>
      <c r="V856">
        <v>49.266075134277301</v>
      </c>
      <c r="W856">
        <v>50.299819946289098</v>
      </c>
      <c r="X856">
        <v>51.440353393554702</v>
      </c>
      <c r="Y856">
        <v>52.541526794433601</v>
      </c>
      <c r="Z856">
        <v>53.812774658203097</v>
      </c>
      <c r="AA856">
        <v>5.1857590675353997E-2</v>
      </c>
    </row>
    <row r="857" spans="1:27" x14ac:dyDescent="0.25">
      <c r="A857" t="s">
        <v>611</v>
      </c>
      <c r="B857">
        <v>8.9708585739135707</v>
      </c>
      <c r="C857">
        <v>10.494535446166999</v>
      </c>
      <c r="D857">
        <v>14.024219512939499</v>
      </c>
      <c r="E857">
        <v>7.2929735183715803</v>
      </c>
      <c r="F857">
        <v>18.1905612945557</v>
      </c>
      <c r="G857">
        <v>20.858524322509801</v>
      </c>
      <c r="H857">
        <v>23.838066101074201</v>
      </c>
      <c r="I857">
        <v>26.7543754577637</v>
      </c>
      <c r="J857">
        <v>29.785404205322301</v>
      </c>
      <c r="K857">
        <v>32.473640441894503</v>
      </c>
      <c r="L857">
        <v>34.549385070800803</v>
      </c>
      <c r="M857">
        <v>36.836536407470703</v>
      </c>
      <c r="N857">
        <v>38.547210693359403</v>
      </c>
      <c r="O857">
        <v>39.921348571777301</v>
      </c>
      <c r="P857">
        <v>41.286190032958999</v>
      </c>
      <c r="Q857">
        <v>41.854972839355497</v>
      </c>
      <c r="R857">
        <v>42.746166229247997</v>
      </c>
      <c r="S857">
        <v>43.609909057617202</v>
      </c>
      <c r="T857">
        <v>44.267074584960902</v>
      </c>
      <c r="U857">
        <v>45.101306915283203</v>
      </c>
      <c r="V857">
        <v>46.015933990478501</v>
      </c>
      <c r="W857">
        <v>46.857711791992202</v>
      </c>
      <c r="X857">
        <v>47.978397369384801</v>
      </c>
      <c r="Y857">
        <v>48.9557075500488</v>
      </c>
      <c r="Z857">
        <v>49.742916107177699</v>
      </c>
      <c r="AA857">
        <v>6.9993734359741197E-2</v>
      </c>
    </row>
    <row r="858" spans="1:27" x14ac:dyDescent="0.25">
      <c r="A858" t="s">
        <v>613</v>
      </c>
      <c r="B858">
        <v>7.7475991249084499</v>
      </c>
      <c r="C858">
        <v>7.5151352882385298</v>
      </c>
      <c r="D858">
        <v>9.17633056640625</v>
      </c>
      <c r="E858">
        <v>6.9004168510437003</v>
      </c>
      <c r="F858">
        <v>7.5063500404357901</v>
      </c>
      <c r="G858">
        <v>7.5587930679321298</v>
      </c>
      <c r="H858">
        <v>7.7836766242981001</v>
      </c>
      <c r="I858">
        <v>8.0238990783691406</v>
      </c>
      <c r="J858">
        <v>8.3780012130737305</v>
      </c>
      <c r="K858">
        <v>8.8080673217773402</v>
      </c>
      <c r="L858">
        <v>9.1142396926879901</v>
      </c>
      <c r="M858">
        <v>9.5323905944824201</v>
      </c>
      <c r="N858">
        <v>9.9432659149169904</v>
      </c>
      <c r="O858">
        <v>10.195965766906699</v>
      </c>
      <c r="P858">
        <v>10.1233129501343</v>
      </c>
      <c r="Q858">
        <v>9.8314371109008807</v>
      </c>
      <c r="R858">
        <v>10.063985824585</v>
      </c>
      <c r="S858">
        <v>10.473736763000501</v>
      </c>
      <c r="T858">
        <v>10.920739173889199</v>
      </c>
      <c r="U858">
        <v>11.339237213134799</v>
      </c>
      <c r="V858">
        <v>11.7850589752197</v>
      </c>
      <c r="W858">
        <v>12.198199272155801</v>
      </c>
      <c r="X858">
        <v>12.6780385971069</v>
      </c>
      <c r="Y858">
        <v>13.1651611328125</v>
      </c>
      <c r="Z858">
        <v>13.585069656372101</v>
      </c>
      <c r="AA858">
        <v>2.6075601577758799E-2</v>
      </c>
    </row>
    <row r="859" spans="1:27" x14ac:dyDescent="0.25">
      <c r="A859" t="s">
        <v>614</v>
      </c>
      <c r="B859">
        <v>3.53999996185303</v>
      </c>
      <c r="C859">
        <v>3.6099998950958301</v>
      </c>
      <c r="D859">
        <v>4.1350817680358896</v>
      </c>
      <c r="E859">
        <v>4.6917557716369602</v>
      </c>
      <c r="F859">
        <v>4.6212515830993697</v>
      </c>
      <c r="G859">
        <v>4.6784477233886701</v>
      </c>
      <c r="H859">
        <v>4.7876124382018999</v>
      </c>
      <c r="I859">
        <v>4.9100909233093297</v>
      </c>
      <c r="J859">
        <v>5.03440189361572</v>
      </c>
      <c r="K859">
        <v>5.1670279502868697</v>
      </c>
      <c r="L859">
        <v>5.2901754379272496</v>
      </c>
      <c r="M859">
        <v>5.4099502563476598</v>
      </c>
      <c r="N859">
        <v>5.5372896194457999</v>
      </c>
      <c r="O859">
        <v>5.6526045799255398</v>
      </c>
      <c r="P859">
        <v>5.7818107604980504</v>
      </c>
      <c r="Q859">
        <v>5.9127135276794398</v>
      </c>
      <c r="R859">
        <v>6.0622472763061497</v>
      </c>
      <c r="S859">
        <v>6.2033557891845703</v>
      </c>
      <c r="T859">
        <v>6.2995529174804696</v>
      </c>
      <c r="U859">
        <v>6.3608093261718803</v>
      </c>
      <c r="V859">
        <v>6.4405817985534703</v>
      </c>
      <c r="W859">
        <v>6.4879999160766602</v>
      </c>
      <c r="X859">
        <v>6.5189485549926802</v>
      </c>
      <c r="Y859">
        <v>6.51357221603394</v>
      </c>
      <c r="Z859">
        <v>6.4756422042846697</v>
      </c>
      <c r="AA859">
        <v>2.57315635681152E-2</v>
      </c>
    </row>
    <row r="860" spans="1:27" x14ac:dyDescent="0.25">
      <c r="A860" t="s">
        <v>615</v>
      </c>
      <c r="B860">
        <v>2.3399641513824498</v>
      </c>
      <c r="C860">
        <v>2.4299483299255402</v>
      </c>
      <c r="D860">
        <v>2.6186611652374299</v>
      </c>
      <c r="E860">
        <v>2.6695497035980198</v>
      </c>
      <c r="F860">
        <v>2.70549392700195</v>
      </c>
      <c r="G860">
        <v>2.7891905307769802</v>
      </c>
      <c r="H860">
        <v>2.8548843860626198</v>
      </c>
      <c r="I860">
        <v>2.9311156272888201</v>
      </c>
      <c r="J860">
        <v>3.00704789161682</v>
      </c>
      <c r="K860">
        <v>3.1051175594329798</v>
      </c>
      <c r="L860">
        <v>3.1378228664398198</v>
      </c>
      <c r="M860">
        <v>3.19195532798767</v>
      </c>
      <c r="N860">
        <v>3.2634260654449498</v>
      </c>
      <c r="O860">
        <v>3.3311228752136199</v>
      </c>
      <c r="P860">
        <v>3.39320969581604</v>
      </c>
      <c r="Q860">
        <v>3.4386153221130402</v>
      </c>
      <c r="R860">
        <v>3.4906363487243701</v>
      </c>
      <c r="S860">
        <v>3.5510332584381099</v>
      </c>
      <c r="T860">
        <v>3.60041379928589</v>
      </c>
      <c r="U860">
        <v>3.6530005931854199</v>
      </c>
      <c r="V860">
        <v>3.7035679817199698</v>
      </c>
      <c r="W860">
        <v>3.7612707614898699</v>
      </c>
      <c r="X860">
        <v>3.82802057266235</v>
      </c>
      <c r="Y860">
        <v>3.89715647697449</v>
      </c>
      <c r="Z860">
        <v>3.9654450416564901</v>
      </c>
      <c r="AA860">
        <v>2.1521687507629401E-2</v>
      </c>
    </row>
    <row r="861" spans="1:27" x14ac:dyDescent="0.25">
      <c r="A861" t="s">
        <v>616</v>
      </c>
      <c r="B861" t="s">
        <v>788</v>
      </c>
      <c r="C861" t="s">
        <v>788</v>
      </c>
      <c r="D861">
        <v>0</v>
      </c>
      <c r="E861">
        <v>0</v>
      </c>
      <c r="F861">
        <v>0</v>
      </c>
      <c r="G861">
        <v>1.5105023384094201</v>
      </c>
      <c r="H861">
        <v>1.3258528709411599</v>
      </c>
      <c r="I861">
        <v>1.3084201812744101</v>
      </c>
      <c r="J861">
        <v>1.4890010356903101</v>
      </c>
      <c r="K861">
        <v>1.4777305126190201</v>
      </c>
      <c r="L861">
        <v>1.52423667907715</v>
      </c>
      <c r="M861">
        <v>1.55170238018036</v>
      </c>
      <c r="N861">
        <v>1.6127909421920801</v>
      </c>
      <c r="O861">
        <v>1.64213514328003</v>
      </c>
      <c r="P861">
        <v>1.6655528545379601</v>
      </c>
      <c r="Q861">
        <v>1.7391279935836801</v>
      </c>
      <c r="R861">
        <v>1.8144223690032999</v>
      </c>
      <c r="S861">
        <v>1.881303191185</v>
      </c>
      <c r="T861">
        <v>1.91615927219391</v>
      </c>
      <c r="U861">
        <v>1.9549800157546999</v>
      </c>
      <c r="V861">
        <v>1.98487901687622</v>
      </c>
      <c r="W861">
        <v>2.0149953365325901</v>
      </c>
      <c r="X861">
        <v>2.0400972366332999</v>
      </c>
      <c r="Y861">
        <v>2.06869769096375</v>
      </c>
      <c r="Z861">
        <v>2.1140794754028298</v>
      </c>
      <c r="AA861" t="s">
        <v>788</v>
      </c>
    </row>
    <row r="862" spans="1:27" x14ac:dyDescent="0.25">
      <c r="A862" t="s">
        <v>479</v>
      </c>
      <c r="B862">
        <v>17.9283123016357</v>
      </c>
      <c r="C862">
        <v>18.634252548217798</v>
      </c>
      <c r="D862">
        <v>21.204389572143601</v>
      </c>
      <c r="E862">
        <v>21.5094089508057</v>
      </c>
      <c r="F862">
        <v>19.916519165039102</v>
      </c>
      <c r="G862">
        <v>20.2857875823975</v>
      </c>
      <c r="H862">
        <v>20.401430130004901</v>
      </c>
      <c r="I862">
        <v>20.8285102844238</v>
      </c>
      <c r="J862">
        <v>21.1411457061768</v>
      </c>
      <c r="K862">
        <v>21.845851898193398</v>
      </c>
      <c r="L862">
        <v>22.630865097045898</v>
      </c>
      <c r="M862">
        <v>23.2962131500244</v>
      </c>
      <c r="N862">
        <v>24.0742092132568</v>
      </c>
      <c r="O862">
        <v>24.791343688964801</v>
      </c>
      <c r="P862">
        <v>25.377799987793001</v>
      </c>
      <c r="Q862">
        <v>25.517387390136701</v>
      </c>
      <c r="R862">
        <v>25.912757873535199</v>
      </c>
      <c r="S862">
        <v>26.5639553070068</v>
      </c>
      <c r="T862">
        <v>27.422914505004901</v>
      </c>
      <c r="U862">
        <v>28.318119049072301</v>
      </c>
      <c r="V862">
        <v>29.052991867065401</v>
      </c>
      <c r="W862">
        <v>29.802448272705099</v>
      </c>
      <c r="X862">
        <v>30.529249191284201</v>
      </c>
      <c r="Y862">
        <v>31.004766464233398</v>
      </c>
      <c r="Z862">
        <v>31.394081115722699</v>
      </c>
      <c r="AA862">
        <v>2.29382514953613E-2</v>
      </c>
    </row>
    <row r="864" spans="1:27" x14ac:dyDescent="0.25">
      <c r="A864" s="305" t="s">
        <v>487</v>
      </c>
      <c r="B864" s="305"/>
      <c r="C864" s="305"/>
      <c r="D864" s="305"/>
      <c r="E864" s="305"/>
      <c r="F864" s="305"/>
      <c r="G864" s="305"/>
      <c r="H864" s="305"/>
      <c r="I864" s="305"/>
      <c r="J864" s="305"/>
      <c r="K864" s="305"/>
      <c r="L864" s="305"/>
      <c r="M864" s="305"/>
      <c r="N864" s="305"/>
      <c r="O864" s="305"/>
      <c r="P864" s="305"/>
      <c r="Q864" s="305"/>
      <c r="R864" s="305"/>
      <c r="S864" s="305"/>
      <c r="T864" s="305"/>
      <c r="U864" s="305"/>
      <c r="V864" s="305"/>
      <c r="W864" s="305"/>
      <c r="X864" s="305"/>
      <c r="Y864" s="305"/>
      <c r="Z864" s="305"/>
    </row>
    <row r="865" spans="1:27" x14ac:dyDescent="0.25">
      <c r="A865" t="s">
        <v>617</v>
      </c>
      <c r="B865">
        <v>21.711505889892599</v>
      </c>
      <c r="C865">
        <v>25.0072422027588</v>
      </c>
      <c r="D865">
        <v>29.143922805786101</v>
      </c>
      <c r="E865">
        <v>23.416013717651399</v>
      </c>
      <c r="F865">
        <v>29.225816726684599</v>
      </c>
      <c r="G865">
        <v>32.6855278015137</v>
      </c>
      <c r="H865">
        <v>36.423408508300803</v>
      </c>
      <c r="I865">
        <v>40.289470672607401</v>
      </c>
      <c r="J865">
        <v>44.605060577392599</v>
      </c>
      <c r="K865">
        <v>48.473209381103501</v>
      </c>
      <c r="L865">
        <v>51.827091217041001</v>
      </c>
      <c r="M865">
        <v>54.695976257324197</v>
      </c>
      <c r="N865">
        <v>57.1353759765625</v>
      </c>
      <c r="O865">
        <v>59.121578216552699</v>
      </c>
      <c r="P865">
        <v>61.049320220947301</v>
      </c>
      <c r="Q865">
        <v>62.447345733642599</v>
      </c>
      <c r="R865">
        <v>63.594524383544901</v>
      </c>
      <c r="S865">
        <v>64.838249206542997</v>
      </c>
      <c r="T865">
        <v>65.797332763671903</v>
      </c>
      <c r="U865">
        <v>66.904335021972699</v>
      </c>
      <c r="V865">
        <v>68.152259826660199</v>
      </c>
      <c r="W865">
        <v>69.191001892089801</v>
      </c>
      <c r="X865">
        <v>70.269203186035199</v>
      </c>
      <c r="Y865">
        <v>71.483169555664105</v>
      </c>
      <c r="Z865">
        <v>72.713973999023395</v>
      </c>
      <c r="AA865">
        <v>4.7500967979431201E-2</v>
      </c>
    </row>
    <row r="866" spans="1:27" x14ac:dyDescent="0.25">
      <c r="A866" t="s">
        <v>618</v>
      </c>
      <c r="B866">
        <v>24.84494972229</v>
      </c>
      <c r="C866">
        <v>26.671012878418001</v>
      </c>
      <c r="D866">
        <v>34.663047790527301</v>
      </c>
      <c r="E866">
        <v>35.0013427734375</v>
      </c>
      <c r="F866">
        <v>29.174674987793001</v>
      </c>
      <c r="G866">
        <v>32.315399169921903</v>
      </c>
      <c r="H866">
        <v>35.536281585693402</v>
      </c>
      <c r="I866">
        <v>36.4298706054688</v>
      </c>
      <c r="J866">
        <v>36.720230102539098</v>
      </c>
      <c r="K866">
        <v>39.4169311523438</v>
      </c>
      <c r="L866">
        <v>42.331146240234403</v>
      </c>
      <c r="M866">
        <v>45.341171264648402</v>
      </c>
      <c r="N866">
        <v>46.730594635009801</v>
      </c>
      <c r="O866">
        <v>47.723148345947301</v>
      </c>
      <c r="P866">
        <v>46.603786468505902</v>
      </c>
      <c r="Q866">
        <v>46.931846618652301</v>
      </c>
      <c r="R866">
        <v>47.933681488037102</v>
      </c>
      <c r="S866">
        <v>49.053524017333999</v>
      </c>
      <c r="T866">
        <v>49.634002685546903</v>
      </c>
      <c r="U866">
        <v>50.5943794250488</v>
      </c>
      <c r="V866">
        <v>51.695419311523402</v>
      </c>
      <c r="W866">
        <v>52.666557312011697</v>
      </c>
      <c r="X866">
        <v>53.829563140869098</v>
      </c>
      <c r="Y866">
        <v>54.958328247070298</v>
      </c>
      <c r="Z866">
        <v>56.1272163391113</v>
      </c>
      <c r="AA866">
        <v>3.2878637313842801E-2</v>
      </c>
    </row>
    <row r="867" spans="1:27" x14ac:dyDescent="0.25">
      <c r="A867" t="s">
        <v>619</v>
      </c>
      <c r="B867">
        <v>21.213121414184599</v>
      </c>
      <c r="C867">
        <v>22.982162475585898</v>
      </c>
      <c r="D867">
        <v>27.130744934081999</v>
      </c>
      <c r="E867">
        <v>19.658454895019499</v>
      </c>
      <c r="F867">
        <v>26.805238723754901</v>
      </c>
      <c r="G867">
        <v>29.6935729980469</v>
      </c>
      <c r="H867">
        <v>32.618450164794901</v>
      </c>
      <c r="I867">
        <v>35.946395874023402</v>
      </c>
      <c r="J867">
        <v>39.7942924499512</v>
      </c>
      <c r="K867">
        <v>43.123409271240199</v>
      </c>
      <c r="L867">
        <v>45.641952514648402</v>
      </c>
      <c r="M867">
        <v>48.460178375244098</v>
      </c>
      <c r="N867">
        <v>50.493659973144503</v>
      </c>
      <c r="O867">
        <v>52.285430908203097</v>
      </c>
      <c r="P867">
        <v>53.706020355224602</v>
      </c>
      <c r="Q867">
        <v>54.488346099853501</v>
      </c>
      <c r="R867">
        <v>55.6558227539063</v>
      </c>
      <c r="S867">
        <v>56.964015960693402</v>
      </c>
      <c r="T867">
        <v>57.636627197265597</v>
      </c>
      <c r="U867">
        <v>58.7601127624512</v>
      </c>
      <c r="V867">
        <v>60.052177429199197</v>
      </c>
      <c r="W867">
        <v>61.191566467285199</v>
      </c>
      <c r="X867">
        <v>62.552440643310497</v>
      </c>
      <c r="Y867">
        <v>63.8705863952637</v>
      </c>
      <c r="Z867">
        <v>65.240806579589801</v>
      </c>
      <c r="AA867">
        <v>4.6408414840698201E-2</v>
      </c>
    </row>
    <row r="868" spans="1:27" x14ac:dyDescent="0.25">
      <c r="A868" t="s">
        <v>620</v>
      </c>
      <c r="B868">
        <v>14.844763755798301</v>
      </c>
      <c r="C868">
        <v>16.0964660644531</v>
      </c>
      <c r="D868">
        <v>22.566616058349599</v>
      </c>
      <c r="E868">
        <v>15.2420244216919</v>
      </c>
      <c r="F868">
        <v>19.09153175354</v>
      </c>
      <c r="G868">
        <v>22.226709365844702</v>
      </c>
      <c r="H868">
        <v>25.1343898773193</v>
      </c>
      <c r="I868">
        <v>28.086837768554702</v>
      </c>
      <c r="J868">
        <v>31.909053802490199</v>
      </c>
      <c r="K868">
        <v>34.889202117919901</v>
      </c>
      <c r="L868">
        <v>37.005405426025398</v>
      </c>
      <c r="M868">
        <v>39.467597961425803</v>
      </c>
      <c r="N868">
        <v>41.120388031005902</v>
      </c>
      <c r="O868">
        <v>42.493434906005902</v>
      </c>
      <c r="P868">
        <v>43.789676666259801</v>
      </c>
      <c r="Q868">
        <v>44.378414154052699</v>
      </c>
      <c r="R868">
        <v>45.220821380615199</v>
      </c>
      <c r="S868">
        <v>46.304702758789098</v>
      </c>
      <c r="T868">
        <v>46.690078735351598</v>
      </c>
      <c r="U868">
        <v>47.736415863037102</v>
      </c>
      <c r="V868">
        <v>48.860385894775398</v>
      </c>
      <c r="W868">
        <v>49.854866027832003</v>
      </c>
      <c r="X868">
        <v>50.978462219238303</v>
      </c>
      <c r="Y868">
        <v>52.073341369628899</v>
      </c>
      <c r="Z868">
        <v>53.292709350585902</v>
      </c>
      <c r="AA868">
        <v>5.3430676460266099E-2</v>
      </c>
    </row>
    <row r="869" spans="1:27" x14ac:dyDescent="0.25">
      <c r="A869" t="s">
        <v>724</v>
      </c>
      <c r="B869">
        <v>19.740650177001999</v>
      </c>
      <c r="C869">
        <v>20.921422958373999</v>
      </c>
      <c r="D869">
        <v>27.790218353271499</v>
      </c>
      <c r="E869">
        <v>19.978439331054702</v>
      </c>
      <c r="F869">
        <v>23.2125549316406</v>
      </c>
      <c r="G869">
        <v>26.4206447601318</v>
      </c>
      <c r="H869">
        <v>29.3924560546875</v>
      </c>
      <c r="I869">
        <v>32.773857116699197</v>
      </c>
      <c r="J869">
        <v>36.535545349121101</v>
      </c>
      <c r="K869">
        <v>39.555255889892599</v>
      </c>
      <c r="L869">
        <v>41.702842712402301</v>
      </c>
      <c r="M869">
        <v>44.177524566650398</v>
      </c>
      <c r="N869">
        <v>46.0505561828613</v>
      </c>
      <c r="O869">
        <v>47.553874969482401</v>
      </c>
      <c r="P869">
        <v>48.899986267089801</v>
      </c>
      <c r="Q869">
        <v>49.381351470947301</v>
      </c>
      <c r="R869">
        <v>50.3130912780762</v>
      </c>
      <c r="S869">
        <v>51.4498100280762</v>
      </c>
      <c r="T869">
        <v>51.9561157226563</v>
      </c>
      <c r="U869">
        <v>52.937068939208999</v>
      </c>
      <c r="V869">
        <v>53.967716217041001</v>
      </c>
      <c r="W869">
        <v>55.002819061279297</v>
      </c>
      <c r="X869">
        <v>56.193782806396499</v>
      </c>
      <c r="Y869">
        <v>57.337295532226598</v>
      </c>
      <c r="Z869">
        <v>58.685737609863303</v>
      </c>
      <c r="AA869">
        <v>4.5865178108215297E-2</v>
      </c>
    </row>
    <row r="870" spans="1:27" x14ac:dyDescent="0.25">
      <c r="A870" t="s">
        <v>611</v>
      </c>
      <c r="B870">
        <v>7.9912142753601101</v>
      </c>
      <c r="C870">
        <v>9.3524312973022496</v>
      </c>
      <c r="D870">
        <v>14.067081451416</v>
      </c>
      <c r="E870">
        <v>8.2378034591674805</v>
      </c>
      <c r="F870">
        <v>14.7508955001831</v>
      </c>
      <c r="G870">
        <v>17.360763549804702</v>
      </c>
      <c r="H870">
        <v>20.2582302093506</v>
      </c>
      <c r="I870">
        <v>23.1502380371094</v>
      </c>
      <c r="J870">
        <v>26.3954048156738</v>
      </c>
      <c r="K870">
        <v>29.3618679046631</v>
      </c>
      <c r="L870">
        <v>31.454713821411101</v>
      </c>
      <c r="M870">
        <v>33.599609375</v>
      </c>
      <c r="N870">
        <v>35.185657501220703</v>
      </c>
      <c r="O870">
        <v>36.532318115234403</v>
      </c>
      <c r="P870">
        <v>37.666736602783203</v>
      </c>
      <c r="Q870">
        <v>38.401439666747997</v>
      </c>
      <c r="R870">
        <v>39.158885955810497</v>
      </c>
      <c r="S870">
        <v>39.991481781005902</v>
      </c>
      <c r="T870">
        <v>40.503440856933601</v>
      </c>
      <c r="U870">
        <v>41.339633941650398</v>
      </c>
      <c r="V870">
        <v>42.498569488525398</v>
      </c>
      <c r="W870">
        <v>43.445716857910199</v>
      </c>
      <c r="X870">
        <v>44.508998870849602</v>
      </c>
      <c r="Y870">
        <v>45.530326843261697</v>
      </c>
      <c r="Z870">
        <v>46.819606781005902</v>
      </c>
      <c r="AA870">
        <v>7.2539210319519001E-2</v>
      </c>
    </row>
    <row r="871" spans="1:27" x14ac:dyDescent="0.25">
      <c r="A871" t="s">
        <v>622</v>
      </c>
      <c r="B871">
        <v>15.6228637695313</v>
      </c>
      <c r="C871">
        <v>15.4583129882813</v>
      </c>
      <c r="D871">
        <v>17.4287223815918</v>
      </c>
      <c r="E871">
        <v>15.2119998931885</v>
      </c>
      <c r="F871">
        <v>15.9378957748413</v>
      </c>
      <c r="G871">
        <v>16.094272613525401</v>
      </c>
      <c r="H871">
        <v>16.403812408447301</v>
      </c>
      <c r="I871">
        <v>16.724969863891602</v>
      </c>
      <c r="J871">
        <v>17.189661026001001</v>
      </c>
      <c r="K871">
        <v>17.746465682983398</v>
      </c>
      <c r="L871">
        <v>18.191225051879901</v>
      </c>
      <c r="M871">
        <v>18.7521057128906</v>
      </c>
      <c r="N871">
        <v>19.291521072387699</v>
      </c>
      <c r="O871">
        <v>19.686790466308601</v>
      </c>
      <c r="P871">
        <v>19.718795776367202</v>
      </c>
      <c r="Q871">
        <v>19.5051784515381</v>
      </c>
      <c r="R871">
        <v>19.827426910400401</v>
      </c>
      <c r="S871">
        <v>20.369035720825199</v>
      </c>
      <c r="T871">
        <v>20.871717453002901</v>
      </c>
      <c r="U871">
        <v>21.304979324340799</v>
      </c>
      <c r="V871">
        <v>21.807193756103501</v>
      </c>
      <c r="W871">
        <v>22.319299697876001</v>
      </c>
      <c r="X871">
        <v>22.895399093627901</v>
      </c>
      <c r="Y871">
        <v>23.444755554199201</v>
      </c>
      <c r="Z871">
        <v>23.898975372314499</v>
      </c>
      <c r="AA871">
        <v>1.91235542297363E-2</v>
      </c>
    </row>
    <row r="872" spans="1:27" x14ac:dyDescent="0.25">
      <c r="A872" t="s">
        <v>479</v>
      </c>
      <c r="B872">
        <v>29.592140197753899</v>
      </c>
      <c r="C872">
        <v>30.640342712402301</v>
      </c>
      <c r="D872">
        <v>34.984100341796903</v>
      </c>
      <c r="E872">
        <v>35.239852905273402</v>
      </c>
      <c r="F872">
        <v>32.175140380859403</v>
      </c>
      <c r="G872">
        <v>33.0386352539063</v>
      </c>
      <c r="H872">
        <v>33.47314453125</v>
      </c>
      <c r="I872">
        <v>34.064102172851598</v>
      </c>
      <c r="J872">
        <v>34.293540954589801</v>
      </c>
      <c r="K872">
        <v>34.922073364257798</v>
      </c>
      <c r="L872">
        <v>35.810970306396499</v>
      </c>
      <c r="M872">
        <v>36.366832733154297</v>
      </c>
      <c r="N872">
        <v>37.128005981445298</v>
      </c>
      <c r="O872">
        <v>38.410163879394503</v>
      </c>
      <c r="P872">
        <v>39.373786926269503</v>
      </c>
      <c r="Q872">
        <v>39.675365447997997</v>
      </c>
      <c r="R872">
        <v>40.513767242431598</v>
      </c>
      <c r="S872">
        <v>41.9388618469238</v>
      </c>
      <c r="T872">
        <v>43.566810607910199</v>
      </c>
      <c r="U872">
        <v>45.140434265136697</v>
      </c>
      <c r="V872">
        <v>46.407882690429702</v>
      </c>
      <c r="W872">
        <v>47.717372894287102</v>
      </c>
      <c r="X872">
        <v>48.982990264892599</v>
      </c>
      <c r="Y872">
        <v>49.711910247802699</v>
      </c>
      <c r="Z872">
        <v>50.466556549072301</v>
      </c>
      <c r="AA872">
        <v>2.1920561790466302E-2</v>
      </c>
    </row>
    <row r="874" spans="1:27" x14ac:dyDescent="0.25">
      <c r="A874" t="s">
        <v>623</v>
      </c>
    </row>
    <row r="875" spans="1:27" x14ac:dyDescent="0.25">
      <c r="A875" t="s">
        <v>610</v>
      </c>
      <c r="B875">
        <v>13.411901473999</v>
      </c>
      <c r="C875">
        <v>14.7723951339722</v>
      </c>
      <c r="D875">
        <v>19.510114669799801</v>
      </c>
      <c r="E875">
        <v>15.2233066558838</v>
      </c>
      <c r="F875">
        <v>18.0020847320557</v>
      </c>
      <c r="G875">
        <v>20.662237167358398</v>
      </c>
      <c r="H875">
        <v>23.4976692199707</v>
      </c>
      <c r="I875">
        <v>26.205204010009801</v>
      </c>
      <c r="J875">
        <v>29.975025177001999</v>
      </c>
      <c r="K875">
        <v>32.983203887939503</v>
      </c>
      <c r="L875">
        <v>35.344711303710902</v>
      </c>
      <c r="M875">
        <v>37.368736267089801</v>
      </c>
      <c r="N875">
        <v>39.350601196289098</v>
      </c>
      <c r="O875">
        <v>40.795433044433601</v>
      </c>
      <c r="P875">
        <v>42.204059600830099</v>
      </c>
      <c r="Q875">
        <v>42.842506408691399</v>
      </c>
      <c r="R875">
        <v>43.6065864562988</v>
      </c>
      <c r="S875">
        <v>44.603294372558601</v>
      </c>
      <c r="T875">
        <v>45.108348846435497</v>
      </c>
      <c r="U875">
        <v>46.002567291259801</v>
      </c>
      <c r="V875">
        <v>47.177719116210902</v>
      </c>
      <c r="W875">
        <v>48.209484100341797</v>
      </c>
      <c r="X875">
        <v>49.2816352844238</v>
      </c>
      <c r="Y875">
        <v>50.311172485351598</v>
      </c>
      <c r="Z875">
        <v>51.270523071289098</v>
      </c>
      <c r="AA875">
        <v>5.5592775344848598E-2</v>
      </c>
    </row>
    <row r="876" spans="1:27" x14ac:dyDescent="0.25">
      <c r="A876" t="s">
        <v>611</v>
      </c>
      <c r="B876">
        <v>8.1584053039550799</v>
      </c>
      <c r="C876">
        <v>8.3772602081298793</v>
      </c>
      <c r="D876">
        <v>14.098869323730501</v>
      </c>
      <c r="E876">
        <v>8.3447675704956108</v>
      </c>
      <c r="F876">
        <v>15.9650764465332</v>
      </c>
      <c r="G876">
        <v>18.64990234375</v>
      </c>
      <c r="H876">
        <v>21.555006027221701</v>
      </c>
      <c r="I876">
        <v>24.477008819580099</v>
      </c>
      <c r="J876">
        <v>27.6055908203125</v>
      </c>
      <c r="K876">
        <v>30.387323379516602</v>
      </c>
      <c r="L876">
        <v>32.525520324707003</v>
      </c>
      <c r="M876">
        <v>34.668350219726598</v>
      </c>
      <c r="N876">
        <v>36.2988090515137</v>
      </c>
      <c r="O876">
        <v>37.644645690917997</v>
      </c>
      <c r="P876">
        <v>38.824489593505902</v>
      </c>
      <c r="Q876">
        <v>39.542682647705099</v>
      </c>
      <c r="R876">
        <v>40.317581176757798</v>
      </c>
      <c r="S876">
        <v>41.134811401367202</v>
      </c>
      <c r="T876">
        <v>41.744674682617202</v>
      </c>
      <c r="U876">
        <v>42.580486297607401</v>
      </c>
      <c r="V876">
        <v>43.661422729492202</v>
      </c>
      <c r="W876">
        <v>44.548267364502003</v>
      </c>
      <c r="X876">
        <v>45.583328247070298</v>
      </c>
      <c r="Y876">
        <v>46.565509796142599</v>
      </c>
      <c r="Z876">
        <v>47.657505035400398</v>
      </c>
      <c r="AA876">
        <v>7.8517913818359403E-2</v>
      </c>
    </row>
    <row r="877" spans="1:27" x14ac:dyDescent="0.25">
      <c r="A877" t="s">
        <v>510</v>
      </c>
      <c r="B877">
        <v>6.8695855140686</v>
      </c>
      <c r="C877">
        <v>7.0191588401794398</v>
      </c>
      <c r="D877">
        <v>9.3990793228149396</v>
      </c>
      <c r="E877">
        <v>6.5896801948547399</v>
      </c>
      <c r="F877">
        <v>7.1510548591613796</v>
      </c>
      <c r="G877">
        <v>7.2219285964965803</v>
      </c>
      <c r="H877">
        <v>7.50463819503784</v>
      </c>
      <c r="I877">
        <v>7.6677107810974103</v>
      </c>
      <c r="J877">
        <v>7.9887604713439897</v>
      </c>
      <c r="K877">
        <v>8.4015712738037092</v>
      </c>
      <c r="L877">
        <v>8.7127790451049805</v>
      </c>
      <c r="M877">
        <v>9.1062192916870099</v>
      </c>
      <c r="N877">
        <v>9.5045261383056605</v>
      </c>
      <c r="O877">
        <v>9.7363777160644496</v>
      </c>
      <c r="P877">
        <v>9.6275825500488299</v>
      </c>
      <c r="Q877">
        <v>9.3482122421264595</v>
      </c>
      <c r="R877">
        <v>9.6186761856079102</v>
      </c>
      <c r="S877">
        <v>10.053201675415</v>
      </c>
      <c r="T877">
        <v>10.4964952468872</v>
      </c>
      <c r="U877">
        <v>10.919364929199199</v>
      </c>
      <c r="V877">
        <v>11.3265085220337</v>
      </c>
      <c r="W877">
        <v>11.7266225814819</v>
      </c>
      <c r="X877">
        <v>12.160493850708001</v>
      </c>
      <c r="Y877">
        <v>12.623664855956999</v>
      </c>
      <c r="Z877">
        <v>12.993863105773899</v>
      </c>
      <c r="AA877">
        <v>2.71370410919189E-2</v>
      </c>
    </row>
    <row r="878" spans="1:27" x14ac:dyDescent="0.25">
      <c r="A878" t="s">
        <v>624</v>
      </c>
      <c r="B878">
        <v>1.6900000572204601</v>
      </c>
      <c r="C878">
        <v>1.78000032901764</v>
      </c>
      <c r="D878">
        <v>1.9897937774658201</v>
      </c>
      <c r="E878">
        <v>1.9967122077941899</v>
      </c>
      <c r="F878">
        <v>2.0248651504516602</v>
      </c>
      <c r="G878">
        <v>2.07804608345032</v>
      </c>
      <c r="H878">
        <v>2.1381585597991899</v>
      </c>
      <c r="I878">
        <v>2.2066454887390101</v>
      </c>
      <c r="J878">
        <v>2.2861962318420401</v>
      </c>
      <c r="K878">
        <v>2.3704271316528298</v>
      </c>
      <c r="L878">
        <v>2.4035921096801802</v>
      </c>
      <c r="M878">
        <v>2.4561846256256099</v>
      </c>
      <c r="N878">
        <v>2.5112030506134002</v>
      </c>
      <c r="O878">
        <v>2.5676970481872599</v>
      </c>
      <c r="P878">
        <v>2.6197137832641602</v>
      </c>
      <c r="Q878">
        <v>2.6567192077636701</v>
      </c>
      <c r="R878">
        <v>2.70013451576233</v>
      </c>
      <c r="S878">
        <v>2.7515239715576199</v>
      </c>
      <c r="T878">
        <v>2.79274225234985</v>
      </c>
      <c r="U878">
        <v>2.8401501178741499</v>
      </c>
      <c r="V878">
        <v>2.8854753971099898</v>
      </c>
      <c r="W878">
        <v>2.9287014007568399</v>
      </c>
      <c r="X878">
        <v>2.97832083702087</v>
      </c>
      <c r="Y878">
        <v>3.03217673301697</v>
      </c>
      <c r="Z878">
        <v>3.0889301300048801</v>
      </c>
      <c r="AA878">
        <v>2.4255156517028802E-2</v>
      </c>
    </row>
    <row r="880" spans="1:27" x14ac:dyDescent="0.25">
      <c r="A880" t="s">
        <v>625</v>
      </c>
    </row>
    <row r="881" spans="1:27" x14ac:dyDescent="0.25">
      <c r="A881" t="s">
        <v>609</v>
      </c>
      <c r="B881">
        <v>15.2467098236084</v>
      </c>
      <c r="C881">
        <v>18.532711029052699</v>
      </c>
      <c r="D881">
        <v>20.059770584106399</v>
      </c>
      <c r="E881">
        <v>18.4413356781006</v>
      </c>
      <c r="F881">
        <v>24.128513336181602</v>
      </c>
      <c r="G881">
        <v>27.2885227203369</v>
      </c>
      <c r="H881">
        <v>30.6157550811768</v>
      </c>
      <c r="I881">
        <v>34.107528686523402</v>
      </c>
      <c r="J881">
        <v>38.046356201171903</v>
      </c>
      <c r="K881">
        <v>41.594432830810497</v>
      </c>
      <c r="L881">
        <v>44.694419860839801</v>
      </c>
      <c r="M881">
        <v>47.326686859130902</v>
      </c>
      <c r="N881">
        <v>49.5726127624512</v>
      </c>
      <c r="O881">
        <v>51.390285491943402</v>
      </c>
      <c r="P881">
        <v>53.120773315429702</v>
      </c>
      <c r="Q881">
        <v>54.365833282470703</v>
      </c>
      <c r="R881">
        <v>55.411079406738303</v>
      </c>
      <c r="S881">
        <v>56.523338317871101</v>
      </c>
      <c r="T881">
        <v>57.4269409179688</v>
      </c>
      <c r="U881">
        <v>58.440696716308601</v>
      </c>
      <c r="V881">
        <v>59.596019744872997</v>
      </c>
      <c r="W881">
        <v>60.543582916259801</v>
      </c>
      <c r="X881">
        <v>61.561973571777301</v>
      </c>
      <c r="Y881">
        <v>62.674179077148402</v>
      </c>
      <c r="Z881">
        <v>63.812778472900398</v>
      </c>
      <c r="AA881">
        <v>5.5228352546691901E-2</v>
      </c>
    </row>
    <row r="882" spans="1:27" x14ac:dyDescent="0.25">
      <c r="A882" t="s">
        <v>618</v>
      </c>
      <c r="B882">
        <v>24.84494972229</v>
      </c>
      <c r="C882">
        <v>26.671012878418001</v>
      </c>
      <c r="D882">
        <v>34.663047790527301</v>
      </c>
      <c r="E882">
        <v>35.0013427734375</v>
      </c>
      <c r="F882">
        <v>29.174674987793001</v>
      </c>
      <c r="G882">
        <v>32.315399169921903</v>
      </c>
      <c r="H882">
        <v>35.536281585693402</v>
      </c>
      <c r="I882">
        <v>36.4298706054688</v>
      </c>
      <c r="J882">
        <v>36.720230102539098</v>
      </c>
      <c r="K882">
        <v>39.4169311523438</v>
      </c>
      <c r="L882">
        <v>42.331146240234403</v>
      </c>
      <c r="M882">
        <v>45.341171264648402</v>
      </c>
      <c r="N882">
        <v>46.730594635009801</v>
      </c>
      <c r="O882">
        <v>47.723148345947301</v>
      </c>
      <c r="P882">
        <v>46.603786468505902</v>
      </c>
      <c r="Q882">
        <v>46.931846618652301</v>
      </c>
      <c r="R882">
        <v>47.933681488037102</v>
      </c>
      <c r="S882">
        <v>49.053524017333999</v>
      </c>
      <c r="T882">
        <v>49.634002685546903</v>
      </c>
      <c r="U882">
        <v>50.5943794250488</v>
      </c>
      <c r="V882">
        <v>51.695419311523402</v>
      </c>
      <c r="W882">
        <v>52.666557312011697</v>
      </c>
      <c r="X882">
        <v>53.829563140869098</v>
      </c>
      <c r="Y882">
        <v>54.958328247070298</v>
      </c>
      <c r="Z882">
        <v>56.1272163391113</v>
      </c>
      <c r="AA882">
        <v>3.2878637313842801E-2</v>
      </c>
    </row>
    <row r="883" spans="1:27" x14ac:dyDescent="0.25">
      <c r="A883" t="s">
        <v>619</v>
      </c>
      <c r="B883">
        <v>21.081117630004901</v>
      </c>
      <c r="C883">
        <v>22.819190979003899</v>
      </c>
      <c r="D883">
        <v>26.955116271972699</v>
      </c>
      <c r="E883">
        <v>19.714763641357401</v>
      </c>
      <c r="F883">
        <v>26.803747177123999</v>
      </c>
      <c r="G883">
        <v>29.690465927123999</v>
      </c>
      <c r="H883">
        <v>32.615406036377003</v>
      </c>
      <c r="I883">
        <v>35.943241119384801</v>
      </c>
      <c r="J883">
        <v>39.790805816650398</v>
      </c>
      <c r="K883">
        <v>43.1203804016113</v>
      </c>
      <c r="L883">
        <v>45.639060974121101</v>
      </c>
      <c r="M883">
        <v>48.456787109375</v>
      </c>
      <c r="N883">
        <v>50.490329742431598</v>
      </c>
      <c r="O883">
        <v>52.282016754150398</v>
      </c>
      <c r="P883">
        <v>53.702690124511697</v>
      </c>
      <c r="Q883">
        <v>54.484706878662102</v>
      </c>
      <c r="R883">
        <v>55.652065277099602</v>
      </c>
      <c r="S883">
        <v>56.960758209228501</v>
      </c>
      <c r="T883">
        <v>57.633979797363303</v>
      </c>
      <c r="U883">
        <v>58.757045745849602</v>
      </c>
      <c r="V883">
        <v>60.0491943359375</v>
      </c>
      <c r="W883">
        <v>61.189689636230497</v>
      </c>
      <c r="X883">
        <v>62.551162719726598</v>
      </c>
      <c r="Y883">
        <v>63.869960784912102</v>
      </c>
      <c r="Z883">
        <v>65.240898132324205</v>
      </c>
      <c r="AA883">
        <v>4.6732306480407701E-2</v>
      </c>
    </row>
    <row r="884" spans="1:27" x14ac:dyDescent="0.25">
      <c r="A884" t="s">
        <v>626</v>
      </c>
      <c r="B884">
        <v>14.844763755798301</v>
      </c>
      <c r="C884">
        <v>16.0964660644531</v>
      </c>
      <c r="D884">
        <v>22.566616058349599</v>
      </c>
      <c r="E884">
        <v>15.2420244216919</v>
      </c>
      <c r="F884">
        <v>19.09153175354</v>
      </c>
      <c r="G884">
        <v>22.226709365844702</v>
      </c>
      <c r="H884">
        <v>25.1343898773193</v>
      </c>
      <c r="I884">
        <v>28.086837768554702</v>
      </c>
      <c r="J884">
        <v>31.909053802490199</v>
      </c>
      <c r="K884">
        <v>34.889202117919901</v>
      </c>
      <c r="L884">
        <v>37.005405426025398</v>
      </c>
      <c r="M884">
        <v>39.467597961425803</v>
      </c>
      <c r="N884">
        <v>41.120388031005902</v>
      </c>
      <c r="O884">
        <v>42.493434906005902</v>
      </c>
      <c r="P884">
        <v>43.789676666259801</v>
      </c>
      <c r="Q884">
        <v>44.378414154052699</v>
      </c>
      <c r="R884">
        <v>45.220821380615199</v>
      </c>
      <c r="S884">
        <v>46.304702758789098</v>
      </c>
      <c r="T884">
        <v>46.690078735351598</v>
      </c>
      <c r="U884">
        <v>47.736415863037102</v>
      </c>
      <c r="V884">
        <v>48.860385894775398</v>
      </c>
      <c r="W884">
        <v>49.854866027832003</v>
      </c>
      <c r="X884">
        <v>50.978462219238303</v>
      </c>
      <c r="Y884">
        <v>52.073341369628899</v>
      </c>
      <c r="Z884">
        <v>53.292709350585902</v>
      </c>
      <c r="AA884">
        <v>5.3430676460266099E-2</v>
      </c>
    </row>
    <row r="885" spans="1:27" x14ac:dyDescent="0.25">
      <c r="A885" t="s">
        <v>610</v>
      </c>
      <c r="B885">
        <v>18.668506622314499</v>
      </c>
      <c r="C885">
        <v>19.9431247711182</v>
      </c>
      <c r="D885">
        <v>26.3212585449219</v>
      </c>
      <c r="E885">
        <v>19.3337593078613</v>
      </c>
      <c r="F885">
        <v>22.088649749755898</v>
      </c>
      <c r="G885">
        <v>25.314346313476602</v>
      </c>
      <c r="H885">
        <v>28.360517501831101</v>
      </c>
      <c r="I885">
        <v>31.778598785400401</v>
      </c>
      <c r="J885">
        <v>35.553440093994098</v>
      </c>
      <c r="K885">
        <v>38.6037788391113</v>
      </c>
      <c r="L885">
        <v>40.810413360595703</v>
      </c>
      <c r="M885">
        <v>43.2124633789063</v>
      </c>
      <c r="N885">
        <v>45.113254547119098</v>
      </c>
      <c r="O885">
        <v>46.602684020996101</v>
      </c>
      <c r="P885">
        <v>47.985591888427699</v>
      </c>
      <c r="Q885">
        <v>48.475616455078097</v>
      </c>
      <c r="R885">
        <v>49.391181945800803</v>
      </c>
      <c r="S885">
        <v>50.539421081542997</v>
      </c>
      <c r="T885">
        <v>51.077178955078097</v>
      </c>
      <c r="U885">
        <v>52.030094146728501</v>
      </c>
      <c r="V885">
        <v>53.083995819091797</v>
      </c>
      <c r="W885">
        <v>54.151943206787102</v>
      </c>
      <c r="X885">
        <v>55.336112976074197</v>
      </c>
      <c r="Y885">
        <v>56.4828491210938</v>
      </c>
      <c r="Z885">
        <v>57.8100776672363</v>
      </c>
      <c r="AA885">
        <v>4.7360301017761203E-2</v>
      </c>
    </row>
    <row r="886" spans="1:27" x14ac:dyDescent="0.25">
      <c r="A886" t="s">
        <v>611</v>
      </c>
      <c r="B886">
        <v>8.2036705017089808</v>
      </c>
      <c r="C886">
        <v>9.2489309310913104</v>
      </c>
      <c r="D886">
        <v>14.050442695617701</v>
      </c>
      <c r="E886">
        <v>8.0729684829711896</v>
      </c>
      <c r="F886">
        <v>15.3503770828247</v>
      </c>
      <c r="G886">
        <v>17.950630187988299</v>
      </c>
      <c r="H886">
        <v>20.8477458953857</v>
      </c>
      <c r="I886">
        <v>23.756994247436499</v>
      </c>
      <c r="J886">
        <v>26.906440734863299</v>
      </c>
      <c r="K886">
        <v>29.730625152587901</v>
      </c>
      <c r="L886">
        <v>31.8525714874268</v>
      </c>
      <c r="M886">
        <v>34.001632690429702</v>
      </c>
      <c r="N886">
        <v>35.6160697937012</v>
      </c>
      <c r="O886">
        <v>36.965137481689503</v>
      </c>
      <c r="P886">
        <v>38.135795593261697</v>
      </c>
      <c r="Q886">
        <v>38.8486518859863</v>
      </c>
      <c r="R886">
        <v>39.6253662109375</v>
      </c>
      <c r="S886">
        <v>40.460136413574197</v>
      </c>
      <c r="T886">
        <v>41.021083831787102</v>
      </c>
      <c r="U886">
        <v>41.8585205078125</v>
      </c>
      <c r="V886">
        <v>42.961837768554702</v>
      </c>
      <c r="W886">
        <v>43.8775024414063</v>
      </c>
      <c r="X886">
        <v>44.932643890380902</v>
      </c>
      <c r="Y886">
        <v>45.936691284179702</v>
      </c>
      <c r="Z886">
        <v>47.115070343017599</v>
      </c>
      <c r="AA886">
        <v>7.3351860046386705E-2</v>
      </c>
    </row>
    <row r="887" spans="1:27" x14ac:dyDescent="0.25">
      <c r="A887" t="s">
        <v>510</v>
      </c>
      <c r="B887">
        <v>9.2533378601074201</v>
      </c>
      <c r="C887">
        <v>9.0057582855224592</v>
      </c>
      <c r="D887">
        <v>10.5835046768188</v>
      </c>
      <c r="E887">
        <v>8.5935592651367205</v>
      </c>
      <c r="F887">
        <v>9.2535657882690394</v>
      </c>
      <c r="G887">
        <v>9.3541154861450195</v>
      </c>
      <c r="H887">
        <v>9.5993127822875994</v>
      </c>
      <c r="I887">
        <v>9.8473205566406303</v>
      </c>
      <c r="J887">
        <v>10.2422647476196</v>
      </c>
      <c r="K887">
        <v>10.6749057769775</v>
      </c>
      <c r="L887">
        <v>11.042889595031699</v>
      </c>
      <c r="M887">
        <v>11.495222091674799</v>
      </c>
      <c r="N887">
        <v>11.954499244689901</v>
      </c>
      <c r="O887">
        <v>12.2557830810547</v>
      </c>
      <c r="P887">
        <v>12.220417022705099</v>
      </c>
      <c r="Q887">
        <v>11.9406547546387</v>
      </c>
      <c r="R887">
        <v>12.184568405151399</v>
      </c>
      <c r="S887">
        <v>12.6361980438232</v>
      </c>
      <c r="T887">
        <v>13.0981245040894</v>
      </c>
      <c r="U887">
        <v>13.513578414916999</v>
      </c>
      <c r="V887">
        <v>14.0011653900146</v>
      </c>
      <c r="W887">
        <v>14.459515571594199</v>
      </c>
      <c r="X887">
        <v>14.989423751831101</v>
      </c>
      <c r="Y887">
        <v>15.515007019043001</v>
      </c>
      <c r="Z887">
        <v>15.961875915527299</v>
      </c>
      <c r="AA887">
        <v>2.51965522766113E-2</v>
      </c>
    </row>
    <row r="888" spans="1:27" x14ac:dyDescent="0.25">
      <c r="A888" t="s">
        <v>614</v>
      </c>
      <c r="B888">
        <v>3.53999996185303</v>
      </c>
      <c r="C888">
        <v>3.6099998950958301</v>
      </c>
      <c r="D888">
        <v>4.1350817680358896</v>
      </c>
      <c r="E888">
        <v>4.6917557716369602</v>
      </c>
      <c r="F888">
        <v>4.6212515830993697</v>
      </c>
      <c r="G888">
        <v>4.6784477233886701</v>
      </c>
      <c r="H888">
        <v>4.7876124382018999</v>
      </c>
      <c r="I888">
        <v>4.9100909233093297</v>
      </c>
      <c r="J888">
        <v>5.03440189361572</v>
      </c>
      <c r="K888">
        <v>5.1670279502868697</v>
      </c>
      <c r="L888">
        <v>5.2901754379272496</v>
      </c>
      <c r="M888">
        <v>5.4099502563476598</v>
      </c>
      <c r="N888">
        <v>5.5372896194457999</v>
      </c>
      <c r="O888">
        <v>5.6526045799255398</v>
      </c>
      <c r="P888">
        <v>5.7818107604980504</v>
      </c>
      <c r="Q888">
        <v>5.9127135276794398</v>
      </c>
      <c r="R888">
        <v>6.0622472763061497</v>
      </c>
      <c r="S888">
        <v>6.2033557891845703</v>
      </c>
      <c r="T888">
        <v>6.2995529174804696</v>
      </c>
      <c r="U888">
        <v>6.3608093261718803</v>
      </c>
      <c r="V888">
        <v>6.4405817985534703</v>
      </c>
      <c r="W888">
        <v>6.4879999160766602</v>
      </c>
      <c r="X888">
        <v>6.5189485549926802</v>
      </c>
      <c r="Y888">
        <v>6.51357221603394</v>
      </c>
      <c r="Z888">
        <v>6.4756422042846697</v>
      </c>
      <c r="AA888">
        <v>2.57315635681152E-2</v>
      </c>
    </row>
    <row r="889" spans="1:27" x14ac:dyDescent="0.25">
      <c r="A889" t="s">
        <v>627</v>
      </c>
      <c r="B889">
        <v>1.73101270198822</v>
      </c>
      <c r="C889">
        <v>1.81885325908661</v>
      </c>
      <c r="D889">
        <v>2.02835273742676</v>
      </c>
      <c r="E889">
        <v>2.0393605232238801</v>
      </c>
      <c r="F889">
        <v>2.0658547878265399</v>
      </c>
      <c r="G889">
        <v>2.1197760105133101</v>
      </c>
      <c r="H889">
        <v>2.17965912818909</v>
      </c>
      <c r="I889">
        <v>2.2478942871093799</v>
      </c>
      <c r="J889">
        <v>2.3265335559845002</v>
      </c>
      <c r="K889">
        <v>2.41142725944519</v>
      </c>
      <c r="L889">
        <v>2.4443736076354998</v>
      </c>
      <c r="M889">
        <v>2.4968132972717298</v>
      </c>
      <c r="N889">
        <v>2.5525057315826398</v>
      </c>
      <c r="O889">
        <v>2.6094300746917698</v>
      </c>
      <c r="P889">
        <v>2.6620569229125999</v>
      </c>
      <c r="Q889">
        <v>2.6996600627899201</v>
      </c>
      <c r="R889">
        <v>2.7435350418090798</v>
      </c>
      <c r="S889">
        <v>2.7952117919921902</v>
      </c>
      <c r="T889">
        <v>2.8365733623504599</v>
      </c>
      <c r="U889">
        <v>2.8841254711151101</v>
      </c>
      <c r="V889">
        <v>2.9291899204254199</v>
      </c>
      <c r="W889">
        <v>2.9726293087005602</v>
      </c>
      <c r="X889">
        <v>3.0224885940551802</v>
      </c>
      <c r="Y889">
        <v>3.0762255191803001</v>
      </c>
      <c r="Z889">
        <v>3.1327383518218999</v>
      </c>
      <c r="AA889">
        <v>2.3920774459838898E-2</v>
      </c>
    </row>
    <row r="890" spans="1:27" x14ac:dyDescent="0.25">
      <c r="A890" t="s">
        <v>616</v>
      </c>
      <c r="B890" t="s">
        <v>788</v>
      </c>
      <c r="C890" t="s">
        <v>788</v>
      </c>
      <c r="D890">
        <v>0</v>
      </c>
      <c r="E890">
        <v>0</v>
      </c>
      <c r="F890">
        <v>0</v>
      </c>
      <c r="G890">
        <v>1.5105023384094201</v>
      </c>
      <c r="H890">
        <v>1.3258528709411599</v>
      </c>
      <c r="I890">
        <v>1.3084201812744101</v>
      </c>
      <c r="J890">
        <v>1.4890010356903101</v>
      </c>
      <c r="K890">
        <v>1.4777305126190201</v>
      </c>
      <c r="L890">
        <v>1.52423667907715</v>
      </c>
      <c r="M890">
        <v>1.55170238018036</v>
      </c>
      <c r="N890">
        <v>1.6127909421920801</v>
      </c>
      <c r="O890">
        <v>1.64213514328003</v>
      </c>
      <c r="P890">
        <v>1.6655528545379601</v>
      </c>
      <c r="Q890">
        <v>1.7391279935836801</v>
      </c>
      <c r="R890">
        <v>1.8144223690032999</v>
      </c>
      <c r="S890">
        <v>1.881303191185</v>
      </c>
      <c r="T890">
        <v>1.91615927219391</v>
      </c>
      <c r="U890">
        <v>1.9549800157546999</v>
      </c>
      <c r="V890">
        <v>1.98487901687622</v>
      </c>
      <c r="W890">
        <v>2.0149953365325901</v>
      </c>
      <c r="X890">
        <v>2.0400972366332999</v>
      </c>
      <c r="Y890">
        <v>2.06869769096375</v>
      </c>
      <c r="Z890">
        <v>2.1140794754028298</v>
      </c>
      <c r="AA890" t="s">
        <v>788</v>
      </c>
    </row>
    <row r="891" spans="1:27" x14ac:dyDescent="0.25">
      <c r="A891" t="s">
        <v>479</v>
      </c>
      <c r="B891">
        <v>25.976100921630898</v>
      </c>
      <c r="C891">
        <v>26.701194763183601</v>
      </c>
      <c r="D891">
        <v>28.885900497436499</v>
      </c>
      <c r="E891">
        <v>29.465267181396499</v>
      </c>
      <c r="F891">
        <v>28.0844612121582</v>
      </c>
      <c r="G891">
        <v>28.946041107177699</v>
      </c>
      <c r="H891">
        <v>29.255804061889599</v>
      </c>
      <c r="I891">
        <v>30.039487838745099</v>
      </c>
      <c r="J891">
        <v>30.684814453125</v>
      </c>
      <c r="K891">
        <v>31.692062377929702</v>
      </c>
      <c r="L891">
        <v>32.750293731689503</v>
      </c>
      <c r="M891">
        <v>33.735057830810497</v>
      </c>
      <c r="N891">
        <v>34.847049713134801</v>
      </c>
      <c r="O891">
        <v>35.896480560302699</v>
      </c>
      <c r="P891">
        <v>36.796710968017599</v>
      </c>
      <c r="Q891">
        <v>37.092437744140597</v>
      </c>
      <c r="R891">
        <v>37.643119812011697</v>
      </c>
      <c r="S891">
        <v>38.552295684814503</v>
      </c>
      <c r="T891">
        <v>39.618198394775398</v>
      </c>
      <c r="U891">
        <v>40.722320556640597</v>
      </c>
      <c r="V891">
        <v>41.672286987304702</v>
      </c>
      <c r="W891">
        <v>42.619045257568402</v>
      </c>
      <c r="X891">
        <v>43.551567077636697</v>
      </c>
      <c r="Y891">
        <v>44.234035491943402</v>
      </c>
      <c r="Z891">
        <v>44.897003173828097</v>
      </c>
      <c r="AA891">
        <v>2.2851228713989299E-2</v>
      </c>
    </row>
    <row r="893" spans="1:27" x14ac:dyDescent="0.25">
      <c r="A893" t="s">
        <v>513</v>
      </c>
    </row>
    <row r="894" spans="1:27" x14ac:dyDescent="0.25">
      <c r="A894" t="s">
        <v>727</v>
      </c>
    </row>
    <row r="895" spans="1:27" x14ac:dyDescent="0.25">
      <c r="A895" t="s">
        <v>473</v>
      </c>
      <c r="B895">
        <v>225.02744706750701</v>
      </c>
      <c r="C895">
        <v>238.37773132324199</v>
      </c>
      <c r="D895">
        <v>259.02512631031902</v>
      </c>
      <c r="E895">
        <v>249.25337512780601</v>
      </c>
      <c r="F895">
        <v>252.583736500312</v>
      </c>
      <c r="G895">
        <v>262.72278901234898</v>
      </c>
      <c r="H895">
        <v>271.43045070142699</v>
      </c>
      <c r="I895">
        <v>279.62336448741098</v>
      </c>
      <c r="J895">
        <v>290.36118712182201</v>
      </c>
      <c r="K895">
        <v>302.34922046937697</v>
      </c>
      <c r="L895">
        <v>314.484301838607</v>
      </c>
      <c r="M895">
        <v>326.31017799182001</v>
      </c>
      <c r="N895">
        <v>339.67713347638499</v>
      </c>
      <c r="O895">
        <v>351.841652659175</v>
      </c>
      <c r="P895">
        <v>361.38263928723802</v>
      </c>
      <c r="Q895">
        <v>365.32884829527302</v>
      </c>
      <c r="R895">
        <v>374.04615460167003</v>
      </c>
      <c r="S895">
        <v>385.95134111753299</v>
      </c>
      <c r="T895">
        <v>398.835809936602</v>
      </c>
      <c r="U895">
        <v>410.22373705988099</v>
      </c>
      <c r="V895">
        <v>422.55616886606703</v>
      </c>
      <c r="W895">
        <v>434.56743167122602</v>
      </c>
      <c r="X895">
        <v>447.73002080536401</v>
      </c>
      <c r="Y895">
        <v>457.71538257287102</v>
      </c>
      <c r="Z895">
        <v>468.062769957282</v>
      </c>
      <c r="AA895">
        <v>2.9771340183983201E-2</v>
      </c>
    </row>
    <row r="896" spans="1:27" x14ac:dyDescent="0.25">
      <c r="A896" t="s">
        <v>480</v>
      </c>
      <c r="B896">
        <v>165.816137057829</v>
      </c>
      <c r="C896">
        <v>173.08578491210901</v>
      </c>
      <c r="D896">
        <v>190.230139498157</v>
      </c>
      <c r="E896">
        <v>185.844578933267</v>
      </c>
      <c r="F896">
        <v>184.96673437998101</v>
      </c>
      <c r="G896">
        <v>193.184934067249</v>
      </c>
      <c r="H896">
        <v>198.64505320450101</v>
      </c>
      <c r="I896">
        <v>207.01010076743199</v>
      </c>
      <c r="J896">
        <v>215.98045512613399</v>
      </c>
      <c r="K896">
        <v>227.20879369248601</v>
      </c>
      <c r="L896">
        <v>238.355458583971</v>
      </c>
      <c r="M896">
        <v>249.80526361731199</v>
      </c>
      <c r="N896">
        <v>261.78221655566898</v>
      </c>
      <c r="O896">
        <v>272.88440826998601</v>
      </c>
      <c r="P896">
        <v>282.07041522732101</v>
      </c>
      <c r="Q896">
        <v>286.98036020566298</v>
      </c>
      <c r="R896">
        <v>295.05574420107399</v>
      </c>
      <c r="S896">
        <v>306.22172255954098</v>
      </c>
      <c r="T896">
        <v>317.57856616547701</v>
      </c>
      <c r="U896">
        <v>329.069649877649</v>
      </c>
      <c r="V896">
        <v>340.29091622717101</v>
      </c>
      <c r="W896">
        <v>351.87208183072499</v>
      </c>
      <c r="X896">
        <v>364.00595788799001</v>
      </c>
      <c r="Y896">
        <v>374.718362251543</v>
      </c>
      <c r="Z896">
        <v>385.668787945372</v>
      </c>
      <c r="AA896">
        <v>3.54482424126734E-2</v>
      </c>
    </row>
    <row r="897" spans="1:27" x14ac:dyDescent="0.25">
      <c r="A897" t="s">
        <v>515</v>
      </c>
      <c r="B897">
        <v>210.45837399270499</v>
      </c>
      <c r="C897">
        <v>226.84164428710901</v>
      </c>
      <c r="D897">
        <v>262.44389197505598</v>
      </c>
      <c r="E897">
        <v>213.892966172706</v>
      </c>
      <c r="F897">
        <v>226.79179338269401</v>
      </c>
      <c r="G897">
        <v>247.619560147584</v>
      </c>
      <c r="H897">
        <v>273.83641803280398</v>
      </c>
      <c r="I897">
        <v>298.67526634090802</v>
      </c>
      <c r="J897">
        <v>321.41269661935701</v>
      </c>
      <c r="K897">
        <v>343.35489244766001</v>
      </c>
      <c r="L897">
        <v>359.62835975479601</v>
      </c>
      <c r="M897">
        <v>376.14186022230598</v>
      </c>
      <c r="N897">
        <v>389.28546003433701</v>
      </c>
      <c r="O897">
        <v>399.06892807031301</v>
      </c>
      <c r="P897">
        <v>405.15061668110599</v>
      </c>
      <c r="Q897">
        <v>407.35894410523099</v>
      </c>
      <c r="R897">
        <v>415.77923171469001</v>
      </c>
      <c r="S897">
        <v>426.41568562175598</v>
      </c>
      <c r="T897">
        <v>436.74010603899097</v>
      </c>
      <c r="U897">
        <v>448.16777725737001</v>
      </c>
      <c r="V897">
        <v>459.10467071246399</v>
      </c>
      <c r="W897">
        <v>469.55594536729899</v>
      </c>
      <c r="X897">
        <v>481.39122134917898</v>
      </c>
      <c r="Y897">
        <v>492.95782400236197</v>
      </c>
      <c r="Z897">
        <v>503.70495393538602</v>
      </c>
      <c r="AA897">
        <v>3.5292797975979E-2</v>
      </c>
    </row>
    <row r="898" spans="1:27" x14ac:dyDescent="0.25">
      <c r="A898" t="s">
        <v>487</v>
      </c>
      <c r="B898">
        <v>549.81947704453</v>
      </c>
      <c r="C898">
        <v>596.754638671875</v>
      </c>
      <c r="D898">
        <v>710.99412877519103</v>
      </c>
      <c r="E898">
        <v>505.32645703543398</v>
      </c>
      <c r="F898">
        <v>668.37680019736001</v>
      </c>
      <c r="G898">
        <v>762.52132045534597</v>
      </c>
      <c r="H898">
        <v>847.91759438910901</v>
      </c>
      <c r="I898">
        <v>937.91141444555603</v>
      </c>
      <c r="J898">
        <v>1028.33974387788</v>
      </c>
      <c r="K898">
        <v>1085.06959183805</v>
      </c>
      <c r="L898">
        <v>1131.9545626373499</v>
      </c>
      <c r="M898">
        <v>1181.14904998321</v>
      </c>
      <c r="N898">
        <v>1222.4904861899099</v>
      </c>
      <c r="O898">
        <v>1257.1498536367301</v>
      </c>
      <c r="P898">
        <v>1282.2289721541099</v>
      </c>
      <c r="Q898">
        <v>1293.5591115037901</v>
      </c>
      <c r="R898">
        <v>1317.64254291509</v>
      </c>
      <c r="S898">
        <v>1347.93302348928</v>
      </c>
      <c r="T898">
        <v>1365.7857849230099</v>
      </c>
      <c r="U898">
        <v>1397.4813404476599</v>
      </c>
      <c r="V898">
        <v>1434.8442550222801</v>
      </c>
      <c r="W898">
        <v>1472.1991410293999</v>
      </c>
      <c r="X898">
        <v>1515.6904697150001</v>
      </c>
      <c r="Y898">
        <v>1560.0477492924799</v>
      </c>
      <c r="Z898">
        <v>1610.00718661163</v>
      </c>
      <c r="AA898">
        <v>4.4096217008691797E-2</v>
      </c>
    </row>
    <row r="899" spans="1:27" x14ac:dyDescent="0.25">
      <c r="A899" t="s">
        <v>516</v>
      </c>
      <c r="B899">
        <v>1151.1213905869799</v>
      </c>
      <c r="C899">
        <v>1235.05981445313</v>
      </c>
      <c r="D899">
        <v>1422.6932865587301</v>
      </c>
      <c r="E899">
        <v>1154.31734546592</v>
      </c>
      <c r="F899">
        <v>1332.71906446034</v>
      </c>
      <c r="G899">
        <v>1466.04865262005</v>
      </c>
      <c r="H899">
        <v>1591.82954953581</v>
      </c>
      <c r="I899">
        <v>1723.220162996</v>
      </c>
      <c r="J899">
        <v>1856.09413471179</v>
      </c>
      <c r="K899">
        <v>1957.9824453226099</v>
      </c>
      <c r="L899">
        <v>2044.42271900984</v>
      </c>
      <c r="M899">
        <v>2133.4064257913801</v>
      </c>
      <c r="N899">
        <v>2213.2352962563</v>
      </c>
      <c r="O899">
        <v>2280.9449005124402</v>
      </c>
      <c r="P899">
        <v>2330.8327023315501</v>
      </c>
      <c r="Q899">
        <v>2353.2272042248301</v>
      </c>
      <c r="R899">
        <v>2402.5237543345802</v>
      </c>
      <c r="S899">
        <v>2466.5217523188298</v>
      </c>
      <c r="T899">
        <v>2518.9403084269702</v>
      </c>
      <c r="U899">
        <v>2584.9425046425499</v>
      </c>
      <c r="V899">
        <v>2656.7959475688699</v>
      </c>
      <c r="W899">
        <v>2728.1946425186502</v>
      </c>
      <c r="X899">
        <v>2808.81762668277</v>
      </c>
      <c r="Y899">
        <v>2885.4393181192499</v>
      </c>
      <c r="Z899">
        <v>2967.4436544262699</v>
      </c>
      <c r="AA899">
        <v>3.8847823819442302E-2</v>
      </c>
    </row>
    <row r="900" spans="1:27" x14ac:dyDescent="0.25">
      <c r="A900" t="s">
        <v>629</v>
      </c>
      <c r="B900">
        <v>3.1291455626044802E-2</v>
      </c>
      <c r="C900">
        <v>4.0766973048448597E-2</v>
      </c>
      <c r="D900">
        <v>4.0714130927948497E-2</v>
      </c>
      <c r="E900">
        <v>2.1793998683964599E-2</v>
      </c>
      <c r="F900">
        <v>7.3206049344282806E-2</v>
      </c>
      <c r="G900">
        <v>9.2770617127286306E-2</v>
      </c>
      <c r="H900">
        <v>0.115739841221496</v>
      </c>
      <c r="I900">
        <v>0.62128413204559196</v>
      </c>
      <c r="J900">
        <v>9.0414016273646407</v>
      </c>
      <c r="K900">
        <v>32.464667528422702</v>
      </c>
      <c r="L900">
        <v>45.662064193132402</v>
      </c>
      <c r="M900">
        <v>59.735806102059101</v>
      </c>
      <c r="N900">
        <v>68.705445338854702</v>
      </c>
      <c r="O900">
        <v>75.838728317784501</v>
      </c>
      <c r="P900">
        <v>81.248020694409604</v>
      </c>
      <c r="Q900">
        <v>88.517002347113603</v>
      </c>
      <c r="R900">
        <v>96.838574567007299</v>
      </c>
      <c r="S900">
        <v>105.232438138034</v>
      </c>
      <c r="T900">
        <v>112.23695677008899</v>
      </c>
      <c r="U900">
        <v>119.789323919834</v>
      </c>
      <c r="V900">
        <v>127.344773281206</v>
      </c>
      <c r="W900">
        <v>134.21074205079</v>
      </c>
      <c r="X900">
        <v>141.121318213276</v>
      </c>
      <c r="Y900">
        <v>147.47729532082599</v>
      </c>
      <c r="Z900">
        <v>153.48101506159901</v>
      </c>
      <c r="AA900">
        <v>0.43043202909376699</v>
      </c>
    </row>
    <row r="901" spans="1:27" x14ac:dyDescent="0.25">
      <c r="A901" t="s">
        <v>518</v>
      </c>
      <c r="B901">
        <v>1151.1526529385901</v>
      </c>
      <c r="C901">
        <v>1235.1005859375</v>
      </c>
      <c r="D901">
        <v>1422.73403823545</v>
      </c>
      <c r="E901">
        <v>1154.33909891658</v>
      </c>
      <c r="F901">
        <v>1332.7922559459801</v>
      </c>
      <c r="G901">
        <v>1466.1414381637601</v>
      </c>
      <c r="H901">
        <v>1591.9452461077601</v>
      </c>
      <c r="I901">
        <v>1723.8413828856601</v>
      </c>
      <c r="J901">
        <v>1865.13548978575</v>
      </c>
      <c r="K901">
        <v>1990.4471814707699</v>
      </c>
      <c r="L901">
        <v>2090.0847289103099</v>
      </c>
      <c r="M901">
        <v>2193.14218565799</v>
      </c>
      <c r="N901">
        <v>2281.9407840971799</v>
      </c>
      <c r="O901">
        <v>2356.78359989211</v>
      </c>
      <c r="P901">
        <v>2412.0806492987499</v>
      </c>
      <c r="Q901">
        <v>2441.7442864187801</v>
      </c>
      <c r="R901">
        <v>2499.3623693526101</v>
      </c>
      <c r="S901">
        <v>2571.7542006915</v>
      </c>
      <c r="T901">
        <v>2631.1772031527198</v>
      </c>
      <c r="U901">
        <v>2704.7318076809502</v>
      </c>
      <c r="V901">
        <v>2784.14076302281</v>
      </c>
      <c r="W901">
        <v>2862.4052247444101</v>
      </c>
      <c r="X901">
        <v>2949.93897720213</v>
      </c>
      <c r="Y901">
        <v>3032.91659167235</v>
      </c>
      <c r="Z901">
        <v>3120.92473552298</v>
      </c>
      <c r="AA901">
        <v>4.1126546811574502E-2</v>
      </c>
    </row>
    <row r="905" spans="1:27" x14ac:dyDescent="0.25">
      <c r="A905" t="s">
        <v>630</v>
      </c>
    </row>
    <row r="906" spans="1:27" x14ac:dyDescent="0.25">
      <c r="A906" t="s">
        <v>631</v>
      </c>
    </row>
    <row r="907" spans="1:27" x14ac:dyDescent="0.25">
      <c r="A907" t="s">
        <v>632</v>
      </c>
    </row>
    <row r="908" spans="1:27" x14ac:dyDescent="0.25">
      <c r="A908" t="s">
        <v>728</v>
      </c>
    </row>
    <row r="909" spans="1:27" x14ac:dyDescent="0.25">
      <c r="A909" t="s">
        <v>729</v>
      </c>
    </row>
    <row r="910" spans="1:27" x14ac:dyDescent="0.25">
      <c r="A910" t="s">
        <v>649</v>
      </c>
    </row>
    <row r="911" spans="1:27" x14ac:dyDescent="0.25">
      <c r="A911" t="s">
        <v>650</v>
      </c>
    </row>
    <row r="912" spans="1:27" x14ac:dyDescent="0.25">
      <c r="A912" t="s">
        <v>651</v>
      </c>
    </row>
    <row r="913" spans="1:1" x14ac:dyDescent="0.25">
      <c r="A913" t="s">
        <v>652</v>
      </c>
    </row>
    <row r="914" spans="1:1" x14ac:dyDescent="0.25">
      <c r="A914" t="s">
        <v>653</v>
      </c>
    </row>
    <row r="915" spans="1:1" x14ac:dyDescent="0.25">
      <c r="A915" t="s">
        <v>654</v>
      </c>
    </row>
    <row r="916" spans="1:1" x14ac:dyDescent="0.25">
      <c r="A916" t="s">
        <v>545</v>
      </c>
    </row>
    <row r="917" spans="1:1" x14ac:dyDescent="0.25">
      <c r="A917" t="s">
        <v>730</v>
      </c>
    </row>
    <row r="918" spans="1:1" x14ac:dyDescent="0.25">
      <c r="A918" t="s">
        <v>731</v>
      </c>
    </row>
    <row r="919" spans="1:1" x14ac:dyDescent="0.25">
      <c r="A919" t="s">
        <v>732</v>
      </c>
    </row>
    <row r="920" spans="1:1" x14ac:dyDescent="0.25">
      <c r="A920" t="s">
        <v>733</v>
      </c>
    </row>
    <row r="921" spans="1:1" x14ac:dyDescent="0.25">
      <c r="A921" t="s">
        <v>734</v>
      </c>
    </row>
    <row r="922" spans="1:1" x14ac:dyDescent="0.25">
      <c r="A922" t="s">
        <v>735</v>
      </c>
    </row>
    <row r="923" spans="1:1" x14ac:dyDescent="0.25">
      <c r="A923" t="s">
        <v>736</v>
      </c>
    </row>
    <row r="924" spans="1:1" x14ac:dyDescent="0.25">
      <c r="A924" t="s">
        <v>737</v>
      </c>
    </row>
    <row r="925" spans="1:1" x14ac:dyDescent="0.25">
      <c r="A925" t="s">
        <v>738</v>
      </c>
    </row>
    <row r="926" spans="1:1" x14ac:dyDescent="0.25">
      <c r="A926" t="s">
        <v>739</v>
      </c>
    </row>
    <row r="927" spans="1:1" x14ac:dyDescent="0.25">
      <c r="A927" t="s">
        <v>811</v>
      </c>
    </row>
    <row r="928" spans="1:1" x14ac:dyDescent="0.25">
      <c r="A928" t="s">
        <v>741</v>
      </c>
    </row>
    <row r="929" spans="1:1" x14ac:dyDescent="0.25">
      <c r="A929" t="s">
        <v>812</v>
      </c>
    </row>
  </sheetData>
  <mergeCells count="26">
    <mergeCell ref="A1:BT1"/>
    <mergeCell ref="A2:BT3"/>
    <mergeCell ref="A5:BT5"/>
    <mergeCell ref="A9:BT9"/>
    <mergeCell ref="E749:I749"/>
    <mergeCell ref="A736:C736"/>
    <mergeCell ref="A732:M732"/>
    <mergeCell ref="C619:Y619"/>
    <mergeCell ref="C620:Y620"/>
    <mergeCell ref="A14:BT14"/>
    <mergeCell ref="A19:BT19"/>
    <mergeCell ref="A21:T21"/>
    <mergeCell ref="A23:T23"/>
    <mergeCell ref="A25:K25"/>
    <mergeCell ref="A26:K26"/>
    <mergeCell ref="E27:I37"/>
    <mergeCell ref="J27:K27"/>
    <mergeCell ref="J28:J29"/>
    <mergeCell ref="K28:K29"/>
    <mergeCell ref="A36:D37"/>
    <mergeCell ref="A56:K56"/>
    <mergeCell ref="A38:B38"/>
    <mergeCell ref="E38:I38"/>
    <mergeCell ref="J45:K48"/>
    <mergeCell ref="A53:K53"/>
    <mergeCell ref="A54:K55"/>
  </mergeCells>
  <phoneticPr fontId="4" type="noConversion"/>
  <hyperlinks>
    <hyperlink ref="A56:K56" r:id="rId1" display="../../2.2 Production Cost Target/James Milford Review/Available from Short Term Enehttp:/www.eia.doe.gov/emeu/steo/pub/a2tab.html" xr:uid="{00000000-0004-0000-0D00-000000000000}"/>
  </hyperlinks>
  <pageMargins left="0.75" right="0.75" top="1" bottom="1" header="0.5" footer="0.5"/>
  <pageSetup scale="98" orientation="landscape" r:id="rId2"/>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51"/>
    <pageSetUpPr fitToPage="1"/>
  </sheetPr>
  <dimension ref="A1:W524"/>
  <sheetViews>
    <sheetView workbookViewId="0"/>
  </sheetViews>
  <sheetFormatPr defaultRowHeight="13.2" x14ac:dyDescent="0.25"/>
  <cols>
    <col min="1" max="1" width="33" customWidth="1"/>
    <col min="2" max="2" width="28.5546875" customWidth="1"/>
    <col min="3" max="3" width="14" customWidth="1"/>
    <col min="4" max="4" width="12.88671875" customWidth="1"/>
    <col min="5" max="5" width="15.109375" customWidth="1"/>
    <col min="6" max="6" width="21.44140625" customWidth="1"/>
    <col min="7" max="8" width="14" customWidth="1"/>
    <col min="9" max="9" width="15.109375" customWidth="1"/>
    <col min="10" max="10" width="17.6640625" customWidth="1"/>
    <col min="11" max="11" width="19.33203125" customWidth="1"/>
    <col min="12" max="12" width="17.109375" customWidth="1"/>
    <col min="13" max="14" width="18.6640625" customWidth="1"/>
    <col min="15" max="15" width="85" bestFit="1" customWidth="1"/>
    <col min="16" max="18" width="18.6640625" customWidth="1"/>
    <col min="19" max="20" width="13.44140625" customWidth="1"/>
    <col min="23" max="23" width="12.44140625" bestFit="1" customWidth="1"/>
  </cols>
  <sheetData>
    <row r="1" spans="1:23" ht="13.8" x14ac:dyDescent="0.25">
      <c r="A1" s="538" t="s">
        <v>301</v>
      </c>
      <c r="B1" s="539"/>
      <c r="C1" s="539"/>
      <c r="D1" s="540"/>
      <c r="E1" s="539"/>
      <c r="F1" s="539"/>
      <c r="G1" s="539"/>
      <c r="H1" s="539"/>
      <c r="I1" s="539"/>
      <c r="J1" s="539"/>
      <c r="K1" s="539"/>
    </row>
    <row r="2" spans="1:23" ht="12.75" customHeight="1" x14ac:dyDescent="0.3">
      <c r="A2" s="1746" t="s">
        <v>869</v>
      </c>
      <c r="B2" s="1747"/>
      <c r="C2" s="1747"/>
      <c r="D2" s="1747"/>
      <c r="E2" s="1747"/>
      <c r="F2" s="1747"/>
      <c r="G2" s="1747"/>
      <c r="H2" s="1747"/>
      <c r="I2" s="1747"/>
      <c r="J2" s="1747"/>
      <c r="K2" s="1747"/>
    </row>
    <row r="3" spans="1:23" ht="13.8" thickBot="1" x14ac:dyDescent="0.3">
      <c r="A3" s="1748"/>
      <c r="B3" s="1748"/>
      <c r="C3" s="1748"/>
      <c r="D3" s="1748"/>
      <c r="E3" s="1748"/>
      <c r="F3" s="1748"/>
      <c r="G3" s="1748"/>
      <c r="H3" s="1748"/>
      <c r="I3" s="1748"/>
      <c r="J3" s="1748"/>
      <c r="K3" s="1748"/>
    </row>
    <row r="4" spans="1:23" ht="13.8" x14ac:dyDescent="0.25">
      <c r="A4" s="3" t="s">
        <v>302</v>
      </c>
      <c r="B4" s="4"/>
      <c r="C4" s="1749" t="s">
        <v>303</v>
      </c>
      <c r="D4" s="1749"/>
      <c r="E4" s="1749"/>
      <c r="F4" s="5"/>
      <c r="G4" s="1749" t="s">
        <v>304</v>
      </c>
      <c r="H4" s="1749"/>
      <c r="I4" s="1749"/>
      <c r="J4" s="5"/>
      <c r="K4" s="6" t="s">
        <v>305</v>
      </c>
      <c r="O4" s="2" t="s">
        <v>633</v>
      </c>
    </row>
    <row r="5" spans="1:23" x14ac:dyDescent="0.25">
      <c r="A5" s="7" t="s">
        <v>870</v>
      </c>
      <c r="B5" s="8"/>
      <c r="C5" s="9" t="s">
        <v>871</v>
      </c>
      <c r="D5" s="9" t="s">
        <v>306</v>
      </c>
      <c r="E5" s="9" t="s">
        <v>307</v>
      </c>
      <c r="F5" s="9"/>
      <c r="G5" s="9" t="s">
        <v>871</v>
      </c>
      <c r="H5" s="9" t="s">
        <v>306</v>
      </c>
      <c r="I5" s="9" t="s">
        <v>307</v>
      </c>
      <c r="J5" s="9"/>
      <c r="K5" s="10" t="s">
        <v>872</v>
      </c>
      <c r="O5" s="1"/>
      <c r="P5" s="1"/>
      <c r="Q5" s="549"/>
      <c r="R5" s="549">
        <v>2005</v>
      </c>
      <c r="S5" s="549">
        <v>2007</v>
      </c>
      <c r="T5" s="549">
        <v>2005</v>
      </c>
      <c r="U5" s="549">
        <v>2007</v>
      </c>
      <c r="V5" s="548"/>
      <c r="W5" s="548"/>
    </row>
    <row r="6" spans="1:23" x14ac:dyDescent="0.25">
      <c r="A6" s="15" t="s">
        <v>529</v>
      </c>
      <c r="B6" s="12"/>
      <c r="C6" s="13">
        <v>983</v>
      </c>
      <c r="D6" s="14">
        <f>C6/$K6*453.59</f>
        <v>20267.225909090906</v>
      </c>
      <c r="E6" s="541">
        <f>D6*1.05506/1000*2.2046</f>
        <v>47.141269049911173</v>
      </c>
      <c r="F6" s="13"/>
      <c r="G6" s="13">
        <v>1089</v>
      </c>
      <c r="H6" s="14">
        <f>G6/$K6*453.59</f>
        <v>22452.704999999998</v>
      </c>
      <c r="I6" s="541">
        <f>H6*1.05506/1000*2.2046</f>
        <v>52.224661236371581</v>
      </c>
      <c r="J6" s="13"/>
      <c r="K6" s="542">
        <v>22</v>
      </c>
      <c r="O6" s="1" t="s">
        <v>248</v>
      </c>
      <c r="P6" s="1" t="s">
        <v>1050</v>
      </c>
      <c r="Q6" s="549" t="s">
        <v>637</v>
      </c>
      <c r="R6" s="549" t="s">
        <v>636</v>
      </c>
      <c r="S6" s="549" t="s">
        <v>636</v>
      </c>
      <c r="T6" s="549" t="s">
        <v>1039</v>
      </c>
      <c r="U6" s="549" t="s">
        <v>1039</v>
      </c>
      <c r="V6" s="548"/>
      <c r="W6" s="548"/>
    </row>
    <row r="7" spans="1:23" x14ac:dyDescent="0.25">
      <c r="A7" s="15" t="s">
        <v>873</v>
      </c>
      <c r="B7" s="16"/>
      <c r="C7" s="543">
        <v>290</v>
      </c>
      <c r="D7" s="17">
        <f t="shared" ref="D7:D40" si="0">C7/K7*453.59</f>
        <v>51682.028917177428</v>
      </c>
      <c r="E7" s="544">
        <f t="shared" ref="E7:E40" si="1">D7*1.05506/1000*2.2046</f>
        <v>120.21163829516094</v>
      </c>
      <c r="F7" s="18"/>
      <c r="G7" s="19">
        <v>343</v>
      </c>
      <c r="H7" s="17">
        <f t="shared" ref="H7:H40" si="2">G7/$K7*453.59</f>
        <v>61127.365236523648</v>
      </c>
      <c r="I7" s="544">
        <f t="shared" ref="I7:I40" si="3">H7*1.05506/1000*2.2046</f>
        <v>142.1813515008283</v>
      </c>
      <c r="J7" s="18"/>
      <c r="K7" s="545">
        <v>2.5451999999999999</v>
      </c>
      <c r="O7" t="s">
        <v>852</v>
      </c>
      <c r="P7" t="s">
        <v>638</v>
      </c>
      <c r="Q7" s="548">
        <v>930</v>
      </c>
      <c r="R7" s="548">
        <v>1027</v>
      </c>
      <c r="S7" s="548">
        <v>1030</v>
      </c>
      <c r="T7" s="548">
        <f>R7/Q7</f>
        <v>1.1043010752688172</v>
      </c>
      <c r="U7" s="548">
        <f>S7/Q7</f>
        <v>1.10752688172043</v>
      </c>
      <c r="V7" s="548"/>
      <c r="W7" s="548"/>
    </row>
    <row r="8" spans="1:23" x14ac:dyDescent="0.25">
      <c r="A8" s="15" t="s">
        <v>874</v>
      </c>
      <c r="B8" s="16"/>
      <c r="C8" s="543">
        <v>1458</v>
      </c>
      <c r="D8" s="17">
        <f t="shared" si="0"/>
        <v>20162.628658536585</v>
      </c>
      <c r="E8" s="541">
        <f t="shared" si="1"/>
        <v>46.897977385211739</v>
      </c>
      <c r="F8" s="18"/>
      <c r="G8" s="19">
        <v>1584</v>
      </c>
      <c r="H8" s="17">
        <f t="shared" si="2"/>
        <v>21905.078048780488</v>
      </c>
      <c r="I8" s="541">
        <f t="shared" si="3"/>
        <v>50.950889011094226</v>
      </c>
      <c r="J8" s="18"/>
      <c r="K8" s="20">
        <v>32.799999999999997</v>
      </c>
      <c r="O8" t="s">
        <v>853</v>
      </c>
      <c r="P8" t="s">
        <v>638</v>
      </c>
      <c r="Q8" s="548">
        <v>930</v>
      </c>
      <c r="R8" s="548">
        <v>1027</v>
      </c>
      <c r="S8" s="548">
        <v>1030</v>
      </c>
      <c r="T8" s="548">
        <f>R8/Q8</f>
        <v>1.1043010752688172</v>
      </c>
      <c r="U8" s="548">
        <f>S8/Q8</f>
        <v>1.10752688172043</v>
      </c>
      <c r="V8" s="548"/>
      <c r="W8" s="548"/>
    </row>
    <row r="9" spans="1:23" x14ac:dyDescent="0.25">
      <c r="A9" s="7" t="s">
        <v>308</v>
      </c>
      <c r="B9" s="8"/>
      <c r="C9" s="9" t="s">
        <v>309</v>
      </c>
      <c r="D9" s="9" t="s">
        <v>306</v>
      </c>
      <c r="E9" s="9" t="s">
        <v>307</v>
      </c>
      <c r="F9" s="9"/>
      <c r="G9" s="9" t="s">
        <v>309</v>
      </c>
      <c r="H9" s="9" t="s">
        <v>306</v>
      </c>
      <c r="I9" s="9" t="s">
        <v>307</v>
      </c>
      <c r="J9" s="9"/>
      <c r="K9" s="10" t="s">
        <v>310</v>
      </c>
      <c r="O9" t="s">
        <v>854</v>
      </c>
      <c r="P9" t="s">
        <v>638</v>
      </c>
      <c r="Q9" s="548">
        <v>930</v>
      </c>
      <c r="R9" s="548">
        <v>1027</v>
      </c>
      <c r="S9" s="548">
        <v>1030</v>
      </c>
      <c r="T9" s="548">
        <f>R9/Q9</f>
        <v>1.1043010752688172</v>
      </c>
      <c r="U9" s="548">
        <f>S9/Q9</f>
        <v>1.10752688172043</v>
      </c>
      <c r="V9" s="548"/>
      <c r="W9" s="548"/>
    </row>
    <row r="10" spans="1:23" x14ac:dyDescent="0.25">
      <c r="A10" s="11" t="s">
        <v>875</v>
      </c>
      <c r="B10" s="16"/>
      <c r="C10" s="19">
        <v>129670</v>
      </c>
      <c r="D10" s="17">
        <f t="shared" si="0"/>
        <v>18351.642839313572</v>
      </c>
      <c r="E10" s="541">
        <f t="shared" si="1"/>
        <v>42.685651034654214</v>
      </c>
      <c r="F10" s="18"/>
      <c r="G10" s="19">
        <v>138350</v>
      </c>
      <c r="H10" s="17">
        <f t="shared" si="2"/>
        <v>19580.086271450855</v>
      </c>
      <c r="I10" s="541">
        <f t="shared" si="3"/>
        <v>45.542992370204438</v>
      </c>
      <c r="J10" s="18"/>
      <c r="K10" s="21">
        <v>3205</v>
      </c>
      <c r="O10" t="s">
        <v>929</v>
      </c>
      <c r="Q10" s="548"/>
      <c r="R10" s="548"/>
      <c r="S10" s="548"/>
      <c r="T10" s="548">
        <v>1</v>
      </c>
      <c r="U10" s="548">
        <v>1</v>
      </c>
      <c r="V10" s="548"/>
      <c r="W10" s="548"/>
    </row>
    <row r="11" spans="1:23" x14ac:dyDescent="0.25">
      <c r="A11" s="11" t="s">
        <v>876</v>
      </c>
      <c r="B11" s="16"/>
      <c r="C11" s="19">
        <v>116090</v>
      </c>
      <c r="D11" s="17">
        <f t="shared" si="0"/>
        <v>18679.412238382403</v>
      </c>
      <c r="E11" s="541">
        <f t="shared" si="1"/>
        <v>43.448037830811678</v>
      </c>
      <c r="F11" s="18"/>
      <c r="G11" s="19">
        <v>124340</v>
      </c>
      <c r="H11" s="17">
        <f t="shared" si="2"/>
        <v>20006.874991131608</v>
      </c>
      <c r="I11" s="541">
        <f t="shared" si="3"/>
        <v>46.535696648144757</v>
      </c>
      <c r="J11" s="18"/>
      <c r="K11" s="21">
        <v>2819</v>
      </c>
      <c r="O11" t="s">
        <v>931</v>
      </c>
      <c r="Q11" s="548"/>
      <c r="R11" s="548"/>
      <c r="S11" s="548"/>
      <c r="T11" s="548">
        <v>1</v>
      </c>
      <c r="U11" s="548">
        <v>1</v>
      </c>
      <c r="V11" s="548"/>
      <c r="W11" s="548"/>
    </row>
    <row r="12" spans="1:23" x14ac:dyDescent="0.25">
      <c r="A12" s="11" t="s">
        <v>877</v>
      </c>
      <c r="B12" s="16"/>
      <c r="C12" s="19">
        <v>113601.50975397152</v>
      </c>
      <c r="D12" s="17">
        <f t="shared" si="0"/>
        <v>18210.67343395916</v>
      </c>
      <c r="E12" s="541">
        <f t="shared" si="1"/>
        <v>42.357758273433376</v>
      </c>
      <c r="F12" s="18"/>
      <c r="G12" s="19">
        <v>121848.38036482914</v>
      </c>
      <c r="H12" s="17">
        <f t="shared" si="2"/>
        <v>19532.672304147527</v>
      </c>
      <c r="I12" s="541">
        <f t="shared" si="3"/>
        <v>45.432708180380153</v>
      </c>
      <c r="J12" s="18"/>
      <c r="K12" s="21">
        <v>2829.5773353012783</v>
      </c>
      <c r="O12" t="s">
        <v>855</v>
      </c>
      <c r="P12" t="s">
        <v>639</v>
      </c>
      <c r="Q12" s="550">
        <v>19546300</v>
      </c>
      <c r="R12" s="550">
        <v>20754000</v>
      </c>
      <c r="S12" s="550">
        <v>20231000</v>
      </c>
      <c r="T12" s="548">
        <f>R12/Q12</f>
        <v>1.0617866296946226</v>
      </c>
      <c r="U12" s="548">
        <f>S12/Q12</f>
        <v>1.0350296475547802</v>
      </c>
      <c r="V12" s="548"/>
      <c r="W12" s="548"/>
    </row>
    <row r="13" spans="1:23" x14ac:dyDescent="0.25">
      <c r="A13" s="11" t="s">
        <v>878</v>
      </c>
      <c r="B13" s="16"/>
      <c r="C13" s="19">
        <v>113927.15396104372</v>
      </c>
      <c r="D13" s="17">
        <f t="shared" si="0"/>
        <v>18271.813278014368</v>
      </c>
      <c r="E13" s="541">
        <f t="shared" si="1"/>
        <v>42.499968650482714</v>
      </c>
      <c r="F13" s="18"/>
      <c r="G13" s="19">
        <v>122174.43408423416</v>
      </c>
      <c r="H13" s="17">
        <f t="shared" si="2"/>
        <v>19594.524828536756</v>
      </c>
      <c r="I13" s="541">
        <f t="shared" si="3"/>
        <v>45.576576241392928</v>
      </c>
      <c r="J13" s="18"/>
      <c r="K13" s="21">
        <v>2828.193183616288</v>
      </c>
      <c r="O13" t="s">
        <v>912</v>
      </c>
      <c r="P13" t="s">
        <v>640</v>
      </c>
      <c r="Q13" s="550">
        <v>128450</v>
      </c>
      <c r="R13" s="550">
        <f>5825000/42</f>
        <v>138690.47619047618</v>
      </c>
      <c r="S13" s="550">
        <f>5799000/42</f>
        <v>138071.42857142858</v>
      </c>
      <c r="T13" s="548">
        <f>R13/Q13</f>
        <v>1.0797234425105191</v>
      </c>
      <c r="U13" s="548">
        <f>S13/Q13</f>
        <v>1.0749040760718458</v>
      </c>
      <c r="V13" s="548"/>
      <c r="W13" s="548"/>
    </row>
    <row r="14" spans="1:23" x14ac:dyDescent="0.25">
      <c r="A14" s="11" t="s">
        <v>879</v>
      </c>
      <c r="B14" s="16"/>
      <c r="C14" s="19">
        <v>128450</v>
      </c>
      <c r="D14" s="17">
        <f t="shared" si="0"/>
        <v>18397.106251973477</v>
      </c>
      <c r="E14" s="541">
        <f t="shared" si="1"/>
        <v>42.791398263097854</v>
      </c>
      <c r="F14" s="18"/>
      <c r="G14" s="19">
        <v>137380</v>
      </c>
      <c r="H14" s="17">
        <f t="shared" si="2"/>
        <v>19676.095421534574</v>
      </c>
      <c r="I14" s="541">
        <f t="shared" si="3"/>
        <v>45.766308239660439</v>
      </c>
      <c r="J14" s="18"/>
      <c r="K14" s="21">
        <v>3167</v>
      </c>
      <c r="O14" t="s">
        <v>910</v>
      </c>
      <c r="P14" t="s">
        <v>640</v>
      </c>
      <c r="Q14" s="550">
        <v>86668</v>
      </c>
      <c r="R14" s="550">
        <v>94706</v>
      </c>
      <c r="S14" s="550">
        <v>94854</v>
      </c>
      <c r="T14" s="548">
        <f>R14/Q14</f>
        <v>1.0927447270041999</v>
      </c>
      <c r="U14" s="548">
        <f>S14/Q14</f>
        <v>1.0944523930401071</v>
      </c>
      <c r="V14" s="548"/>
      <c r="W14" s="548"/>
    </row>
    <row r="15" spans="1:23" x14ac:dyDescent="0.25">
      <c r="A15" s="11" t="s">
        <v>528</v>
      </c>
      <c r="B15" s="16"/>
      <c r="C15" s="19">
        <v>129487.84757606639</v>
      </c>
      <c r="D15" s="17">
        <f t="shared" si="0"/>
        <v>18320.147467881456</v>
      </c>
      <c r="E15" s="541">
        <f t="shared" si="1"/>
        <v>42.612393264440954</v>
      </c>
      <c r="F15" s="18"/>
      <c r="G15" s="19">
        <v>138490</v>
      </c>
      <c r="H15" s="17">
        <f t="shared" si="2"/>
        <v>19593.786369307545</v>
      </c>
      <c r="I15" s="541">
        <f t="shared" si="3"/>
        <v>45.574858596098856</v>
      </c>
      <c r="J15" s="18"/>
      <c r="K15" s="21">
        <v>3206</v>
      </c>
      <c r="O15" t="s">
        <v>856</v>
      </c>
      <c r="P15" t="s">
        <v>640</v>
      </c>
      <c r="Q15" s="550"/>
      <c r="R15" s="550"/>
      <c r="S15" s="550"/>
      <c r="T15" s="548">
        <f>$I$19/$E$19</f>
        <v>1.1388646288209607</v>
      </c>
      <c r="U15" s="548">
        <f>$I$19/$E$19</f>
        <v>1.1388646288209607</v>
      </c>
      <c r="V15" s="548"/>
      <c r="W15" s="548"/>
    </row>
    <row r="16" spans="1:23" x14ac:dyDescent="0.25">
      <c r="A16" s="11" t="s">
        <v>880</v>
      </c>
      <c r="B16" s="16"/>
      <c r="C16" s="19">
        <v>116920</v>
      </c>
      <c r="D16" s="17">
        <f t="shared" si="0"/>
        <v>19320.124881602911</v>
      </c>
      <c r="E16" s="541">
        <f t="shared" si="1"/>
        <v>44.938326005089621</v>
      </c>
      <c r="F16" s="18"/>
      <c r="G16" s="19">
        <v>125080</v>
      </c>
      <c r="H16" s="17">
        <f t="shared" si="2"/>
        <v>20668.501712204008</v>
      </c>
      <c r="I16" s="541">
        <f t="shared" si="3"/>
        <v>48.074630659567319</v>
      </c>
      <c r="J16" s="18"/>
      <c r="K16" s="22">
        <v>2745</v>
      </c>
      <c r="O16" t="s">
        <v>915</v>
      </c>
      <c r="P16" t="s">
        <v>640</v>
      </c>
      <c r="Q16" s="550">
        <v>116090</v>
      </c>
      <c r="R16" s="550">
        <f>5194000/42</f>
        <v>123666.66666666667</v>
      </c>
      <c r="S16" s="550">
        <f>5218000/42</f>
        <v>124238.09523809524</v>
      </c>
      <c r="T16" s="548">
        <f>R16/Q16</f>
        <v>1.0652654549631033</v>
      </c>
      <c r="U16" s="548">
        <f>S16/Q16</f>
        <v>1.0701877443198831</v>
      </c>
      <c r="V16" s="548"/>
      <c r="W16" s="548"/>
    </row>
    <row r="17" spans="1:23" x14ac:dyDescent="0.25">
      <c r="A17" s="11" t="s">
        <v>881</v>
      </c>
      <c r="B17" s="16"/>
      <c r="C17" s="19">
        <v>111520</v>
      </c>
      <c r="D17" s="17">
        <f t="shared" si="0"/>
        <v>19081.236061863448</v>
      </c>
      <c r="E17" s="541">
        <f t="shared" si="1"/>
        <v>44.382674127774621</v>
      </c>
      <c r="F17" s="18"/>
      <c r="G17" s="19">
        <v>119740</v>
      </c>
      <c r="H17" s="17">
        <f t="shared" si="2"/>
        <v>20487.69015465862</v>
      </c>
      <c r="I17" s="541">
        <f t="shared" si="3"/>
        <v>47.654065638986118</v>
      </c>
      <c r="J17" s="18"/>
      <c r="K17" s="21">
        <v>2651</v>
      </c>
      <c r="O17" t="s">
        <v>857</v>
      </c>
      <c r="P17" t="s">
        <v>639</v>
      </c>
      <c r="Q17" s="550">
        <v>16811000</v>
      </c>
      <c r="R17" s="550">
        <v>17200000</v>
      </c>
      <c r="S17" s="550">
        <v>17200000</v>
      </c>
      <c r="T17" s="548">
        <f>R17/Q17</f>
        <v>1.0231396109690083</v>
      </c>
      <c r="U17" s="548">
        <f>S17/Q17</f>
        <v>1.0231396109690083</v>
      </c>
      <c r="V17" s="548"/>
      <c r="W17" s="548"/>
    </row>
    <row r="18" spans="1:23" x14ac:dyDescent="0.25">
      <c r="A18" s="11" t="s">
        <v>882</v>
      </c>
      <c r="B18" s="16"/>
      <c r="C18" s="19">
        <v>140352.52220119376</v>
      </c>
      <c r="D18" s="17">
        <f t="shared" si="0"/>
        <v>16967.617416108602</v>
      </c>
      <c r="E18" s="541">
        <f t="shared" si="1"/>
        <v>39.466428278669781</v>
      </c>
      <c r="F18" s="18"/>
      <c r="G18" s="19">
        <v>150110</v>
      </c>
      <c r="H18" s="17">
        <f t="shared" si="2"/>
        <v>18147.226785714287</v>
      </c>
      <c r="I18" s="541">
        <f t="shared" si="3"/>
        <v>42.210182303804245</v>
      </c>
      <c r="J18" s="18"/>
      <c r="K18" s="21">
        <v>3752</v>
      </c>
      <c r="O18" t="s">
        <v>858</v>
      </c>
      <c r="P18" t="s">
        <v>641</v>
      </c>
      <c r="Q18" s="551">
        <v>2.8300000000000001E-3</v>
      </c>
      <c r="R18" s="550"/>
      <c r="S18" s="550"/>
      <c r="T18" s="548">
        <v>1</v>
      </c>
      <c r="U18" s="548">
        <v>1</v>
      </c>
      <c r="V18" s="548"/>
      <c r="W18" s="548"/>
    </row>
    <row r="19" spans="1:23" x14ac:dyDescent="0.25">
      <c r="A19" s="11" t="s">
        <v>311</v>
      </c>
      <c r="B19" s="23"/>
      <c r="C19" s="19">
        <v>57250</v>
      </c>
      <c r="D19" s="17">
        <f t="shared" si="0"/>
        <v>8638.7317032601459</v>
      </c>
      <c r="E19" s="541">
        <f t="shared" si="1"/>
        <v>20.093562745097504</v>
      </c>
      <c r="F19" s="18"/>
      <c r="G19" s="19">
        <v>65200</v>
      </c>
      <c r="H19" s="17">
        <f t="shared" si="2"/>
        <v>9838.345974717231</v>
      </c>
      <c r="I19" s="541">
        <f t="shared" si="3"/>
        <v>22.883847877386152</v>
      </c>
      <c r="J19" s="18"/>
      <c r="K19" s="22">
        <v>3006</v>
      </c>
      <c r="Q19" s="548"/>
      <c r="R19" s="548"/>
      <c r="S19" s="548"/>
      <c r="T19" s="548"/>
      <c r="U19" s="548"/>
      <c r="V19" s="548"/>
      <c r="W19" s="548"/>
    </row>
    <row r="20" spans="1:23" x14ac:dyDescent="0.25">
      <c r="A20" s="11" t="s">
        <v>312</v>
      </c>
      <c r="B20" s="23"/>
      <c r="C20" s="19">
        <v>76330</v>
      </c>
      <c r="D20" s="17">
        <f t="shared" si="0"/>
        <v>11587.19032797858</v>
      </c>
      <c r="E20" s="541">
        <f t="shared" si="1"/>
        <v>26.95163409308779</v>
      </c>
      <c r="F20" s="18"/>
      <c r="G20" s="19">
        <v>84530</v>
      </c>
      <c r="H20" s="17">
        <f t="shared" si="2"/>
        <v>12831.982161981257</v>
      </c>
      <c r="I20" s="541">
        <f t="shared" si="3"/>
        <v>29.847001570663057</v>
      </c>
      <c r="J20" s="18"/>
      <c r="K20" s="22">
        <v>2988</v>
      </c>
      <c r="Q20" s="548"/>
      <c r="R20" s="548"/>
      <c r="S20" s="548"/>
      <c r="T20" s="548"/>
      <c r="U20" s="548"/>
      <c r="V20" s="548"/>
      <c r="W20" s="548"/>
    </row>
    <row r="21" spans="1:23" x14ac:dyDescent="0.25">
      <c r="A21" s="11" t="s">
        <v>967</v>
      </c>
      <c r="B21" s="23"/>
      <c r="C21" s="19">
        <v>99837</v>
      </c>
      <c r="D21" s="17">
        <f t="shared" si="0"/>
        <v>14774.898802610114</v>
      </c>
      <c r="E21" s="541">
        <f t="shared" si="1"/>
        <v>34.366197069261162</v>
      </c>
      <c r="F21" s="18"/>
      <c r="G21" s="19">
        <v>108458</v>
      </c>
      <c r="H21" s="17">
        <f t="shared" si="2"/>
        <v>16050.722420880913</v>
      </c>
      <c r="I21" s="541">
        <f t="shared" si="3"/>
        <v>37.33374402013208</v>
      </c>
      <c r="J21" s="18"/>
      <c r="K21" s="22">
        <v>3065</v>
      </c>
      <c r="Q21" s="548"/>
      <c r="R21" s="548"/>
      <c r="S21" s="548"/>
      <c r="T21" s="548"/>
      <c r="U21" s="548"/>
      <c r="V21" s="548"/>
      <c r="W21" s="548"/>
    </row>
    <row r="22" spans="1:23" x14ac:dyDescent="0.25">
      <c r="A22" s="11" t="s">
        <v>968</v>
      </c>
      <c r="B22" s="23"/>
      <c r="C22" s="19">
        <v>83127</v>
      </c>
      <c r="D22" s="17">
        <f t="shared" si="0"/>
        <v>12721.179463562754</v>
      </c>
      <c r="E22" s="541">
        <f t="shared" si="1"/>
        <v>29.589276125600549</v>
      </c>
      <c r="F22" s="18"/>
      <c r="G22" s="19">
        <v>89511</v>
      </c>
      <c r="H22" s="17">
        <f t="shared" si="2"/>
        <v>13698.142540485829</v>
      </c>
      <c r="I22" s="541">
        <f t="shared" si="3"/>
        <v>31.861677857719279</v>
      </c>
      <c r="J22" s="18"/>
      <c r="K22" s="22">
        <v>2964</v>
      </c>
      <c r="Q22" s="548"/>
      <c r="R22" s="548"/>
      <c r="S22" s="548"/>
      <c r="T22" s="548"/>
      <c r="U22" s="548"/>
      <c r="V22" s="548"/>
      <c r="W22" s="548"/>
    </row>
    <row r="23" spans="1:23" x14ac:dyDescent="0.25">
      <c r="A23" s="11" t="s">
        <v>883</v>
      </c>
      <c r="B23" s="23"/>
      <c r="C23" s="19">
        <v>116090</v>
      </c>
      <c r="D23" s="17">
        <f t="shared" si="0"/>
        <v>18679.412238382403</v>
      </c>
      <c r="E23" s="541">
        <f t="shared" si="1"/>
        <v>43.448037830811678</v>
      </c>
      <c r="F23" s="18"/>
      <c r="G23" s="19">
        <v>124340</v>
      </c>
      <c r="H23" s="17">
        <f t="shared" si="2"/>
        <v>20006.874991131608</v>
      </c>
      <c r="I23" s="541">
        <f t="shared" si="3"/>
        <v>46.535696648144757</v>
      </c>
      <c r="J23" s="18"/>
      <c r="K23" s="22">
        <v>2819</v>
      </c>
      <c r="Q23" s="548"/>
      <c r="R23" s="548"/>
      <c r="S23" s="548"/>
      <c r="T23" s="548"/>
      <c r="U23" s="548"/>
      <c r="V23" s="548"/>
      <c r="W23" s="548"/>
    </row>
    <row r="24" spans="1:23" x14ac:dyDescent="0.25">
      <c r="A24" s="11" t="s">
        <v>884</v>
      </c>
      <c r="B24" s="23"/>
      <c r="C24" s="19">
        <v>84950</v>
      </c>
      <c r="D24" s="17">
        <f t="shared" si="0"/>
        <v>20037.686167446696</v>
      </c>
      <c r="E24" s="541">
        <f t="shared" si="1"/>
        <v>46.607362990589891</v>
      </c>
      <c r="F24" s="18"/>
      <c r="G24" s="19">
        <v>91410</v>
      </c>
      <c r="H24" s="17">
        <f t="shared" si="2"/>
        <v>21561.446645865835</v>
      </c>
      <c r="I24" s="541">
        <f t="shared" si="3"/>
        <v>50.151607427543532</v>
      </c>
      <c r="J24" s="18"/>
      <c r="K24" s="22">
        <v>1923</v>
      </c>
      <c r="Q24" s="548"/>
      <c r="R24" s="548"/>
      <c r="S24" s="548"/>
      <c r="T24" s="548"/>
      <c r="U24" s="548"/>
      <c r="V24" s="548"/>
      <c r="W24" s="548"/>
    </row>
    <row r="25" spans="1:23" x14ac:dyDescent="0.25">
      <c r="A25" s="11" t="s">
        <v>885</v>
      </c>
      <c r="B25" s="23"/>
      <c r="C25" s="19">
        <v>74720</v>
      </c>
      <c r="D25" s="17">
        <f t="shared" si="0"/>
        <v>20908.23244910549</v>
      </c>
      <c r="E25" s="541">
        <f t="shared" si="1"/>
        <v>48.632240823804793</v>
      </c>
      <c r="F25" s="18"/>
      <c r="G25" s="19">
        <v>84820</v>
      </c>
      <c r="H25" s="17">
        <f t="shared" si="2"/>
        <v>23734.425539790249</v>
      </c>
      <c r="I25" s="541">
        <f t="shared" si="3"/>
        <v>55.205924339870478</v>
      </c>
      <c r="J25" s="18"/>
      <c r="K25" s="22">
        <v>1621</v>
      </c>
      <c r="Q25" s="548"/>
      <c r="R25" s="548"/>
      <c r="S25" s="548"/>
      <c r="T25" s="548"/>
      <c r="U25" s="548"/>
      <c r="V25" s="548"/>
      <c r="W25" s="548"/>
    </row>
    <row r="26" spans="1:23" x14ac:dyDescent="0.25">
      <c r="A26" s="11" t="s">
        <v>886</v>
      </c>
      <c r="B26" s="23"/>
      <c r="C26" s="19">
        <v>68930</v>
      </c>
      <c r="D26" s="17">
        <f t="shared" si="0"/>
        <v>12416.981215250198</v>
      </c>
      <c r="E26" s="541">
        <f t="shared" si="1"/>
        <v>28.881715479040551</v>
      </c>
      <c r="F26" s="18"/>
      <c r="G26" s="19">
        <v>75610</v>
      </c>
      <c r="H26" s="17">
        <f t="shared" si="2"/>
        <v>13620.3097299444</v>
      </c>
      <c r="I26" s="541">
        <f t="shared" si="3"/>
        <v>31.680639886410216</v>
      </c>
      <c r="J26" s="18"/>
      <c r="K26" s="22">
        <v>2518</v>
      </c>
      <c r="Q26" s="548"/>
      <c r="R26" s="548"/>
      <c r="S26" s="548"/>
      <c r="T26" s="548"/>
      <c r="U26" s="548"/>
      <c r="V26" s="548"/>
      <c r="W26" s="548"/>
    </row>
    <row r="27" spans="1:23" x14ac:dyDescent="0.25">
      <c r="A27" s="11" t="s">
        <v>887</v>
      </c>
      <c r="B27" s="23"/>
      <c r="C27" s="19">
        <v>72200</v>
      </c>
      <c r="D27" s="17">
        <f t="shared" si="0"/>
        <v>10061.197542242702</v>
      </c>
      <c r="E27" s="541">
        <f t="shared" si="1"/>
        <v>23.402197342183918</v>
      </c>
      <c r="F27" s="18"/>
      <c r="G27" s="19">
        <v>79196.89540113158</v>
      </c>
      <c r="H27" s="17">
        <f t="shared" si="2"/>
        <v>11036.227276497471</v>
      </c>
      <c r="I27" s="541">
        <f t="shared" si="3"/>
        <v>25.670102147722705</v>
      </c>
      <c r="J27" s="18"/>
      <c r="K27" s="22">
        <v>3255</v>
      </c>
      <c r="Q27" s="548"/>
      <c r="R27" s="548"/>
      <c r="S27" s="548"/>
      <c r="T27" s="548"/>
      <c r="U27" s="548"/>
      <c r="V27" s="548"/>
      <c r="W27" s="548"/>
    </row>
    <row r="28" spans="1:23" x14ac:dyDescent="0.25">
      <c r="A28" s="11" t="s">
        <v>888</v>
      </c>
      <c r="B28" s="23"/>
      <c r="C28" s="19">
        <v>119550</v>
      </c>
      <c r="D28" s="17">
        <f t="shared" si="0"/>
        <v>16134.09238321928</v>
      </c>
      <c r="E28" s="541">
        <f t="shared" si="1"/>
        <v>37.527661324991804</v>
      </c>
      <c r="F28" s="18"/>
      <c r="G28" s="19">
        <v>127960</v>
      </c>
      <c r="H28" s="17">
        <f t="shared" si="2"/>
        <v>17269.079559654863</v>
      </c>
      <c r="I28" s="541">
        <f t="shared" si="3"/>
        <v>40.167624785829787</v>
      </c>
      <c r="J28" s="18"/>
      <c r="K28" s="22">
        <v>3361</v>
      </c>
      <c r="Q28" s="548"/>
      <c r="R28" s="548"/>
      <c r="S28" s="548"/>
      <c r="T28" s="548"/>
      <c r="U28" s="548"/>
      <c r="V28" s="548"/>
      <c r="W28" s="548"/>
    </row>
    <row r="29" spans="1:23" x14ac:dyDescent="0.25">
      <c r="A29" s="11" t="s">
        <v>889</v>
      </c>
      <c r="B29" s="23"/>
      <c r="C29" s="19">
        <v>123670</v>
      </c>
      <c r="D29" s="17">
        <f t="shared" si="0"/>
        <v>18593.130692741131</v>
      </c>
      <c r="E29" s="541">
        <f t="shared" si="1"/>
        <v>43.247348226059557</v>
      </c>
      <c r="F29" s="18"/>
      <c r="G29" s="19">
        <v>130030</v>
      </c>
      <c r="H29" s="17">
        <f t="shared" si="2"/>
        <v>19549.323069274113</v>
      </c>
      <c r="I29" s="541">
        <f t="shared" si="3"/>
        <v>45.471437614898726</v>
      </c>
      <c r="J29" s="18"/>
      <c r="K29" s="22">
        <v>3017</v>
      </c>
      <c r="Q29" s="548"/>
      <c r="R29" s="548"/>
      <c r="S29" s="548"/>
      <c r="T29" s="548"/>
      <c r="U29" s="548"/>
      <c r="V29" s="548"/>
      <c r="W29" s="548"/>
    </row>
    <row r="30" spans="1:23" x14ac:dyDescent="0.25">
      <c r="A30" s="11" t="s">
        <v>969</v>
      </c>
      <c r="B30" s="23"/>
      <c r="C30" s="19">
        <v>117059</v>
      </c>
      <c r="D30" s="17">
        <f t="shared" si="0"/>
        <v>18729.027093474426</v>
      </c>
      <c r="E30" s="541">
        <f t="shared" si="1"/>
        <v>43.563441253226593</v>
      </c>
      <c r="F30" s="18"/>
      <c r="G30" s="19">
        <v>125294</v>
      </c>
      <c r="H30" s="17">
        <f t="shared" si="2"/>
        <v>20046.598045855379</v>
      </c>
      <c r="I30" s="541">
        <f t="shared" si="3"/>
        <v>46.628091888549989</v>
      </c>
      <c r="J30" s="18"/>
      <c r="K30" s="22">
        <v>2835</v>
      </c>
      <c r="Q30" s="548"/>
      <c r="R30" s="548"/>
      <c r="S30" s="548"/>
      <c r="T30" s="548"/>
      <c r="U30" s="548"/>
      <c r="V30" s="548"/>
      <c r="W30" s="548"/>
    </row>
    <row r="31" spans="1:23" x14ac:dyDescent="0.25">
      <c r="A31" s="11" t="s">
        <v>970</v>
      </c>
      <c r="B31" s="23"/>
      <c r="C31" s="19">
        <v>122887</v>
      </c>
      <c r="D31" s="17">
        <f t="shared" si="0"/>
        <v>18907.840681818183</v>
      </c>
      <c r="E31" s="541">
        <f t="shared" si="1"/>
        <v>43.979359026862895</v>
      </c>
      <c r="F31" s="18"/>
      <c r="G31" s="19">
        <v>130817</v>
      </c>
      <c r="H31" s="17">
        <f t="shared" si="2"/>
        <v>20127.979318181817</v>
      </c>
      <c r="I31" s="541">
        <f t="shared" si="3"/>
        <v>46.817383529723436</v>
      </c>
      <c r="J31" s="18"/>
      <c r="K31" s="22">
        <v>2948</v>
      </c>
      <c r="Q31" s="548"/>
      <c r="R31" s="548"/>
      <c r="S31" s="548"/>
      <c r="T31" s="548"/>
      <c r="U31" s="548"/>
      <c r="V31" s="548"/>
      <c r="W31" s="548"/>
    </row>
    <row r="32" spans="1:23" x14ac:dyDescent="0.25">
      <c r="A32" s="11" t="s">
        <v>971</v>
      </c>
      <c r="B32" s="23"/>
      <c r="C32" s="19">
        <v>115983</v>
      </c>
      <c r="D32" s="17">
        <f t="shared" si="0"/>
        <v>18589.656879858656</v>
      </c>
      <c r="E32" s="541">
        <f t="shared" si="1"/>
        <v>43.23926818844334</v>
      </c>
      <c r="F32" s="18"/>
      <c r="G32" s="19">
        <v>124230</v>
      </c>
      <c r="H32" s="17">
        <f t="shared" si="2"/>
        <v>19911.479045936394</v>
      </c>
      <c r="I32" s="541">
        <f t="shared" si="3"/>
        <v>46.313807084230582</v>
      </c>
      <c r="J32" s="18"/>
      <c r="K32" s="22">
        <v>2830</v>
      </c>
      <c r="Q32" s="548"/>
      <c r="R32" s="548"/>
      <c r="S32" s="548"/>
      <c r="T32" s="548"/>
      <c r="U32" s="548"/>
      <c r="V32" s="548"/>
      <c r="W32" s="548"/>
    </row>
    <row r="33" spans="1:23" x14ac:dyDescent="0.25">
      <c r="A33" s="11" t="s">
        <v>890</v>
      </c>
      <c r="B33" s="23"/>
      <c r="C33" s="19">
        <v>30500</v>
      </c>
      <c r="D33" s="17">
        <f t="shared" si="0"/>
        <v>51621.249999999993</v>
      </c>
      <c r="E33" s="544">
        <f t="shared" si="1"/>
        <v>120.070267428715</v>
      </c>
      <c r="F33" s="18"/>
      <c r="G33" s="19">
        <v>36020</v>
      </c>
      <c r="H33" s="17">
        <f t="shared" si="2"/>
        <v>60963.849999999991</v>
      </c>
      <c r="I33" s="544">
        <f t="shared" si="3"/>
        <v>141.80101746827262</v>
      </c>
      <c r="J33" s="18"/>
      <c r="K33" s="22">
        <v>268</v>
      </c>
      <c r="Q33" s="548"/>
      <c r="R33" s="548"/>
      <c r="S33" s="548"/>
      <c r="T33" s="548"/>
      <c r="U33" s="548"/>
      <c r="V33" s="548"/>
      <c r="W33" s="548"/>
    </row>
    <row r="34" spans="1:23" x14ac:dyDescent="0.25">
      <c r="A34" s="11" t="s">
        <v>891</v>
      </c>
      <c r="B34" s="23"/>
      <c r="C34" s="19">
        <v>93540</v>
      </c>
      <c r="D34" s="17">
        <f t="shared" si="0"/>
        <v>15093.848665955175</v>
      </c>
      <c r="E34" s="541">
        <f t="shared" si="1"/>
        <v>35.108069755183983</v>
      </c>
      <c r="F34" s="18"/>
      <c r="G34" s="19">
        <v>101130</v>
      </c>
      <c r="H34" s="17">
        <f t="shared" si="2"/>
        <v>16318.59007470651</v>
      </c>
      <c r="I34" s="541">
        <f t="shared" si="3"/>
        <v>37.95680023884708</v>
      </c>
      <c r="J34" s="18"/>
      <c r="K34" s="22">
        <v>2811</v>
      </c>
      <c r="Q34" s="548"/>
      <c r="R34" s="548"/>
      <c r="S34" s="548"/>
      <c r="T34" s="548"/>
      <c r="U34" s="548"/>
      <c r="V34" s="548"/>
      <c r="W34" s="548"/>
    </row>
    <row r="35" spans="1:23" x14ac:dyDescent="0.25">
      <c r="A35" s="11" t="s">
        <v>892</v>
      </c>
      <c r="B35" s="16"/>
      <c r="C35" s="19">
        <v>96720</v>
      </c>
      <c r="D35" s="17">
        <f t="shared" si="0"/>
        <v>15612.535516014234</v>
      </c>
      <c r="E35" s="541">
        <f t="shared" si="1"/>
        <v>36.314527731276172</v>
      </c>
      <c r="F35" s="18"/>
      <c r="G35" s="19">
        <v>104530</v>
      </c>
      <c r="H35" s="17">
        <f t="shared" si="2"/>
        <v>16873.225160142349</v>
      </c>
      <c r="I35" s="541">
        <f t="shared" si="3"/>
        <v>39.246873281123854</v>
      </c>
      <c r="J35" s="18"/>
      <c r="K35" s="21">
        <v>2810</v>
      </c>
      <c r="Q35" s="548"/>
      <c r="R35" s="548"/>
      <c r="S35" s="548"/>
      <c r="T35" s="548"/>
      <c r="U35" s="548"/>
      <c r="V35" s="548"/>
      <c r="W35" s="548"/>
    </row>
    <row r="36" spans="1:23" x14ac:dyDescent="0.25">
      <c r="A36" s="11" t="s">
        <v>893</v>
      </c>
      <c r="B36" s="16"/>
      <c r="C36" s="19">
        <v>100480</v>
      </c>
      <c r="D36" s="17">
        <f t="shared" si="0"/>
        <v>15645.974322004806</v>
      </c>
      <c r="E36" s="541">
        <f t="shared" si="1"/>
        <v>36.392305901657274</v>
      </c>
      <c r="F36" s="18"/>
      <c r="G36" s="19">
        <v>108570</v>
      </c>
      <c r="H36" s="17">
        <f t="shared" si="2"/>
        <v>16905.687023686918</v>
      </c>
      <c r="I36" s="541">
        <f t="shared" si="3"/>
        <v>39.322379097760042</v>
      </c>
      <c r="J36" s="18"/>
      <c r="K36" s="21">
        <v>2913</v>
      </c>
      <c r="Q36" s="548"/>
      <c r="R36" s="548"/>
      <c r="S36" s="548"/>
      <c r="T36" s="548"/>
      <c r="U36" s="548"/>
      <c r="V36" s="548"/>
      <c r="W36" s="548"/>
    </row>
    <row r="37" spans="1:23" x14ac:dyDescent="0.25">
      <c r="A37" s="11" t="s">
        <v>894</v>
      </c>
      <c r="B37" s="16"/>
      <c r="C37" s="19">
        <v>94970</v>
      </c>
      <c r="D37" s="17">
        <f t="shared" si="0"/>
        <v>19465.631405332126</v>
      </c>
      <c r="E37" s="541">
        <f t="shared" si="1"/>
        <v>45.27677203684572</v>
      </c>
      <c r="F37" s="18"/>
      <c r="G37" s="19">
        <v>103220</v>
      </c>
      <c r="H37" s="17">
        <f t="shared" si="2"/>
        <v>21156.601807501127</v>
      </c>
      <c r="I37" s="541">
        <f t="shared" si="3"/>
        <v>49.209944294442614</v>
      </c>
      <c r="J37" s="18"/>
      <c r="K37" s="21">
        <v>2213</v>
      </c>
      <c r="Q37" s="548"/>
      <c r="R37" s="548"/>
      <c r="S37" s="548"/>
      <c r="T37" s="548"/>
      <c r="U37" s="548"/>
      <c r="V37" s="548"/>
      <c r="W37" s="548"/>
    </row>
    <row r="38" spans="1:23" x14ac:dyDescent="0.25">
      <c r="A38" s="11" t="s">
        <v>895</v>
      </c>
      <c r="B38" s="16"/>
      <c r="C38" s="19">
        <v>90060</v>
      </c>
      <c r="D38" s="17">
        <f t="shared" si="0"/>
        <v>19287.212181303115</v>
      </c>
      <c r="E38" s="541">
        <f t="shared" si="1"/>
        <v>44.861771548798892</v>
      </c>
      <c r="F38" s="18"/>
      <c r="G38" s="19">
        <v>98560</v>
      </c>
      <c r="H38" s="17">
        <f t="shared" si="2"/>
        <v>21107.568649669498</v>
      </c>
      <c r="I38" s="541">
        <f t="shared" si="3"/>
        <v>49.095893891290459</v>
      </c>
      <c r="J38" s="18"/>
      <c r="K38" s="21">
        <v>2118</v>
      </c>
      <c r="Q38" s="548"/>
      <c r="R38" s="548"/>
      <c r="S38" s="548"/>
      <c r="T38" s="548"/>
      <c r="U38" s="548"/>
      <c r="V38" s="548"/>
      <c r="W38" s="548"/>
    </row>
    <row r="39" spans="1:23" x14ac:dyDescent="0.25">
      <c r="A39" s="11" t="s">
        <v>896</v>
      </c>
      <c r="B39" s="16"/>
      <c r="C39" s="19">
        <v>95720</v>
      </c>
      <c r="D39" s="17">
        <f t="shared" si="0"/>
        <v>19271.031868619615</v>
      </c>
      <c r="E39" s="541">
        <f t="shared" si="1"/>
        <v>44.824136379735997</v>
      </c>
      <c r="F39" s="18"/>
      <c r="G39" s="19">
        <v>103010</v>
      </c>
      <c r="H39" s="17">
        <f t="shared" si="2"/>
        <v>20738.706569019083</v>
      </c>
      <c r="I39" s="541">
        <f t="shared" si="3"/>
        <v>48.237926122822877</v>
      </c>
      <c r="J39" s="18"/>
      <c r="K39" s="21">
        <v>2253</v>
      </c>
      <c r="Q39" s="548"/>
      <c r="R39" s="548"/>
      <c r="S39" s="548"/>
      <c r="T39" s="548"/>
      <c r="U39" s="548"/>
      <c r="V39" s="548"/>
      <c r="W39" s="548"/>
    </row>
    <row r="40" spans="1:23" x14ac:dyDescent="0.25">
      <c r="A40" s="11" t="s">
        <v>313</v>
      </c>
      <c r="B40" s="16"/>
      <c r="C40" s="19">
        <v>84250</v>
      </c>
      <c r="D40" s="17">
        <f t="shared" si="0"/>
        <v>19903.623697916668</v>
      </c>
      <c r="E40" s="541">
        <f t="shared" si="1"/>
        <v>46.295535660398848</v>
      </c>
      <c r="F40" s="18"/>
      <c r="G40" s="19">
        <v>91420</v>
      </c>
      <c r="H40" s="17">
        <f t="shared" si="2"/>
        <v>21597.498854166668</v>
      </c>
      <c r="I40" s="541">
        <f t="shared" si="3"/>
        <v>50.235464333218552</v>
      </c>
      <c r="J40" s="18"/>
      <c r="K40" s="21">
        <v>1920</v>
      </c>
      <c r="Q40" s="548"/>
      <c r="R40" s="548"/>
      <c r="S40" s="548"/>
      <c r="T40" s="548"/>
      <c r="U40" s="548"/>
      <c r="V40" s="548"/>
      <c r="W40" s="548"/>
    </row>
    <row r="41" spans="1:23" x14ac:dyDescent="0.25">
      <c r="A41" s="7" t="s">
        <v>314</v>
      </c>
      <c r="B41" s="8"/>
      <c r="C41" s="9" t="s">
        <v>315</v>
      </c>
      <c r="D41" s="9" t="s">
        <v>316</v>
      </c>
      <c r="E41" s="9" t="s">
        <v>307</v>
      </c>
      <c r="F41" s="9"/>
      <c r="G41" s="9" t="s">
        <v>315</v>
      </c>
      <c r="H41" s="9" t="s">
        <v>316</v>
      </c>
      <c r="I41" s="9" t="s">
        <v>307</v>
      </c>
      <c r="J41" s="9"/>
      <c r="K41" s="10"/>
      <c r="Q41" s="548"/>
      <c r="R41" s="548"/>
      <c r="S41" s="548"/>
      <c r="T41" s="548"/>
      <c r="U41" s="548"/>
      <c r="V41" s="548"/>
      <c r="W41" s="548"/>
    </row>
    <row r="42" spans="1:23" x14ac:dyDescent="0.25">
      <c r="A42" s="15" t="s">
        <v>897</v>
      </c>
      <c r="B42" s="16"/>
      <c r="C42" s="24">
        <v>19546300</v>
      </c>
      <c r="D42" s="17">
        <f t="shared" ref="D42:D50" si="4">C42/2000</f>
        <v>9773.15</v>
      </c>
      <c r="E42" s="541">
        <f t="shared" ref="E42:E50" si="5">D42*1.05506/1000*2.2046</f>
        <v>22.7322030001394</v>
      </c>
      <c r="F42" s="18"/>
      <c r="G42" s="19">
        <v>20608570</v>
      </c>
      <c r="H42" s="17">
        <f>G42/2000</f>
        <v>10304.285</v>
      </c>
      <c r="I42" s="541">
        <f t="shared" ref="I42:I50" si="6">H42*1.05506/1000*2.2046</f>
        <v>23.967615189707661</v>
      </c>
      <c r="J42" s="18"/>
      <c r="K42" s="22"/>
      <c r="Q42" s="548"/>
      <c r="R42" s="548"/>
      <c r="S42" s="548"/>
      <c r="T42" s="548"/>
      <c r="U42" s="548"/>
      <c r="V42" s="548"/>
      <c r="W42" s="548"/>
    </row>
    <row r="43" spans="1:23" x14ac:dyDescent="0.25">
      <c r="A43" s="15" t="s">
        <v>898</v>
      </c>
      <c r="B43" s="16"/>
      <c r="C43" s="24">
        <v>22460600</v>
      </c>
      <c r="D43" s="17">
        <f t="shared" si="4"/>
        <v>11230.3</v>
      </c>
      <c r="E43" s="541">
        <f t="shared" si="5"/>
        <v>26.121512445062798</v>
      </c>
      <c r="F43" s="18"/>
      <c r="G43" s="19">
        <v>23445900</v>
      </c>
      <c r="H43" s="17">
        <f t="shared" ref="H43:H50" si="7">G43/2000</f>
        <v>11722.95</v>
      </c>
      <c r="I43" s="541">
        <f t="shared" si="6"/>
        <v>27.267409091284208</v>
      </c>
      <c r="J43" s="18"/>
      <c r="K43" s="22"/>
      <c r="Q43" s="548"/>
      <c r="R43" s="548"/>
      <c r="S43" s="548"/>
      <c r="T43" s="548"/>
      <c r="U43" s="548"/>
      <c r="V43" s="548"/>
      <c r="W43" s="548"/>
    </row>
    <row r="44" spans="1:23" x14ac:dyDescent="0.25">
      <c r="A44" s="11" t="s">
        <v>899</v>
      </c>
      <c r="B44" s="12"/>
      <c r="C44" s="24">
        <v>24600497.144575384</v>
      </c>
      <c r="D44" s="17">
        <f t="shared" si="4"/>
        <v>12300.248572287692</v>
      </c>
      <c r="E44" s="541">
        <f t="shared" si="5"/>
        <v>28.610197070281195</v>
      </c>
      <c r="F44" s="18"/>
      <c r="G44" s="19">
        <v>25679670</v>
      </c>
      <c r="H44" s="17">
        <f t="shared" si="7"/>
        <v>12839.834999999999</v>
      </c>
      <c r="I44" s="541">
        <f t="shared" si="6"/>
        <v>29.865267156269461</v>
      </c>
      <c r="J44" s="18"/>
      <c r="K44" s="22"/>
    </row>
    <row r="45" spans="1:23" x14ac:dyDescent="0.25">
      <c r="A45" s="15" t="s">
        <v>900</v>
      </c>
      <c r="B45" s="16"/>
      <c r="C45" s="24">
        <v>16811000</v>
      </c>
      <c r="D45" s="17">
        <f t="shared" si="4"/>
        <v>8405.5</v>
      </c>
      <c r="E45" s="541">
        <f t="shared" si="5"/>
        <v>19.551069237418005</v>
      </c>
      <c r="F45" s="18"/>
      <c r="G45" s="19">
        <v>17703170</v>
      </c>
      <c r="H45" s="17">
        <f t="shared" si="7"/>
        <v>8851.5849999999991</v>
      </c>
      <c r="I45" s="541">
        <f t="shared" si="6"/>
        <v>20.588656379262464</v>
      </c>
      <c r="J45" s="18"/>
      <c r="K45" s="22"/>
    </row>
    <row r="46" spans="1:23" x14ac:dyDescent="0.25">
      <c r="A46" s="15" t="s">
        <v>901</v>
      </c>
      <c r="B46" s="16"/>
      <c r="C46" s="24">
        <v>14797554.763920812</v>
      </c>
      <c r="D46" s="17">
        <f t="shared" si="4"/>
        <v>7398.7773819604063</v>
      </c>
      <c r="E46" s="541">
        <f t="shared" si="5"/>
        <v>17.209447250841734</v>
      </c>
      <c r="F46" s="18"/>
      <c r="G46" s="19">
        <v>15582870</v>
      </c>
      <c r="H46" s="17">
        <f t="shared" si="7"/>
        <v>7791.4350000000004</v>
      </c>
      <c r="I46" s="541">
        <f t="shared" si="6"/>
        <v>18.122763088911064</v>
      </c>
      <c r="J46" s="18"/>
      <c r="K46" s="22"/>
    </row>
    <row r="47" spans="1:23" x14ac:dyDescent="0.25">
      <c r="A47" s="15" t="s">
        <v>902</v>
      </c>
      <c r="B47" s="16"/>
      <c r="C47" s="24">
        <v>14075990</v>
      </c>
      <c r="D47" s="17">
        <f t="shared" si="4"/>
        <v>7037.9949999999999</v>
      </c>
      <c r="E47" s="541">
        <f t="shared" si="5"/>
        <v>16.370272742561625</v>
      </c>
      <c r="F47" s="18"/>
      <c r="G47" s="19">
        <v>14974460</v>
      </c>
      <c r="H47" s="17">
        <f t="shared" si="7"/>
        <v>7487.23</v>
      </c>
      <c r="I47" s="541">
        <f t="shared" si="6"/>
        <v>17.415186738025483</v>
      </c>
      <c r="J47" s="18"/>
      <c r="K47" s="22"/>
    </row>
    <row r="48" spans="1:23" x14ac:dyDescent="0.25">
      <c r="A48" s="15" t="s">
        <v>903</v>
      </c>
      <c r="B48" s="16"/>
      <c r="C48" s="24">
        <v>13243490</v>
      </c>
      <c r="D48" s="17">
        <f t="shared" si="4"/>
        <v>6621.7449999999999</v>
      </c>
      <c r="E48" s="541">
        <f t="shared" si="5"/>
        <v>15.40208137142662</v>
      </c>
      <c r="F48" s="18"/>
      <c r="G48" s="19">
        <v>14164160</v>
      </c>
      <c r="H48" s="17">
        <f t="shared" si="7"/>
        <v>7082.08</v>
      </c>
      <c r="I48" s="541">
        <f t="shared" si="6"/>
        <v>16.472813803454081</v>
      </c>
      <c r="J48" s="18"/>
      <c r="K48" s="22"/>
    </row>
    <row r="49" spans="1:11" x14ac:dyDescent="0.25">
      <c r="A49" s="15" t="s">
        <v>972</v>
      </c>
      <c r="B49" s="16"/>
      <c r="C49" s="24">
        <v>12947318</v>
      </c>
      <c r="D49" s="17">
        <f t="shared" si="4"/>
        <v>6473.6589999999997</v>
      </c>
      <c r="E49" s="541">
        <f t="shared" si="5"/>
        <v>15.057635515844886</v>
      </c>
      <c r="F49" s="18"/>
      <c r="G49" s="19">
        <v>14062678</v>
      </c>
      <c r="H49" s="17">
        <f t="shared" si="7"/>
        <v>7031.3389999999999</v>
      </c>
      <c r="I49" s="541">
        <f t="shared" si="6"/>
        <v>16.354790984564566</v>
      </c>
      <c r="J49" s="18"/>
      <c r="K49" s="22"/>
    </row>
    <row r="50" spans="1:11" x14ac:dyDescent="0.25">
      <c r="A50" s="15" t="s">
        <v>973</v>
      </c>
      <c r="B50" s="16"/>
      <c r="C50" s="24">
        <v>25370000</v>
      </c>
      <c r="D50" s="17">
        <f t="shared" si="4"/>
        <v>12685</v>
      </c>
      <c r="E50" s="541">
        <f t="shared" si="5"/>
        <v>29.505123226060004</v>
      </c>
      <c r="F50" s="18"/>
      <c r="G50" s="19">
        <v>26920000</v>
      </c>
      <c r="H50" s="17">
        <f t="shared" si="7"/>
        <v>13460</v>
      </c>
      <c r="I50" s="541">
        <f t="shared" si="6"/>
        <v>31.307761814960006</v>
      </c>
      <c r="J50" s="18"/>
      <c r="K50" s="22"/>
    </row>
    <row r="51" spans="1:11" x14ac:dyDescent="0.25">
      <c r="A51" s="1738" t="s">
        <v>317</v>
      </c>
      <c r="B51" s="1739"/>
      <c r="C51" s="1739"/>
      <c r="D51" s="1739"/>
      <c r="E51" s="1739"/>
      <c r="F51" s="1739"/>
      <c r="G51" s="1739"/>
      <c r="H51" s="1739"/>
      <c r="I51" s="1739"/>
      <c r="J51" s="1739"/>
      <c r="K51" s="1740"/>
    </row>
    <row r="52" spans="1:11" x14ac:dyDescent="0.25">
      <c r="A52" s="1735" t="s">
        <v>904</v>
      </c>
      <c r="B52" s="1736"/>
      <c r="C52" s="1736"/>
      <c r="D52" s="1736"/>
      <c r="E52" s="1736"/>
      <c r="F52" s="1736"/>
      <c r="G52" s="1736"/>
      <c r="H52" s="1736"/>
      <c r="I52" s="1736"/>
      <c r="J52" s="1736"/>
      <c r="K52" s="1737"/>
    </row>
    <row r="53" spans="1:11" x14ac:dyDescent="0.25">
      <c r="A53" s="1743" t="s">
        <v>905</v>
      </c>
      <c r="B53" s="1744"/>
      <c r="C53" s="1744"/>
      <c r="D53" s="1744"/>
      <c r="E53" s="1744"/>
      <c r="F53" s="1744"/>
      <c r="G53" s="1744"/>
      <c r="H53" s="1744"/>
      <c r="I53" s="1744"/>
      <c r="J53" s="1744"/>
      <c r="K53" s="1745"/>
    </row>
    <row r="54" spans="1:11" x14ac:dyDescent="0.25">
      <c r="A54" s="1743" t="s">
        <v>906</v>
      </c>
      <c r="B54" s="1744"/>
      <c r="C54" s="1744"/>
      <c r="D54" s="1744"/>
      <c r="E54" s="1744"/>
      <c r="F54" s="1744"/>
      <c r="G54" s="1744"/>
      <c r="H54" s="1744"/>
      <c r="I54" s="1744"/>
      <c r="J54" s="1744"/>
      <c r="K54" s="1745"/>
    </row>
    <row r="55" spans="1:11" x14ac:dyDescent="0.25">
      <c r="A55" s="1743" t="s">
        <v>907</v>
      </c>
      <c r="B55" s="1744"/>
      <c r="C55" s="1744"/>
      <c r="D55" s="1744"/>
      <c r="E55" s="1744"/>
      <c r="F55" s="1744"/>
      <c r="G55" s="1744"/>
      <c r="H55" s="1744"/>
      <c r="I55" s="1744"/>
      <c r="J55" s="1744"/>
      <c r="K55" s="1745"/>
    </row>
    <row r="56" spans="1:11" x14ac:dyDescent="0.25">
      <c r="A56" s="1750" t="s">
        <v>318</v>
      </c>
      <c r="B56" s="1751"/>
      <c r="C56" s="1751"/>
      <c r="D56" s="1751"/>
      <c r="E56" s="1751"/>
      <c r="F56" s="1751"/>
      <c r="G56" s="1751"/>
      <c r="H56" s="1751"/>
      <c r="I56" s="1751"/>
      <c r="J56" s="1751"/>
      <c r="K56" s="1752"/>
    </row>
    <row r="57" spans="1:11" x14ac:dyDescent="0.25">
      <c r="A57" s="1743" t="s">
        <v>319</v>
      </c>
      <c r="B57" s="1744"/>
      <c r="C57" s="1744"/>
      <c r="D57" s="1744"/>
      <c r="E57" s="1744"/>
      <c r="F57" s="1744"/>
      <c r="G57" s="1744"/>
      <c r="H57" s="1744"/>
      <c r="I57" s="1744"/>
      <c r="J57" s="1744"/>
      <c r="K57" s="1745"/>
    </row>
    <row r="58" spans="1:11" x14ac:dyDescent="0.25">
      <c r="A58" s="1743" t="s">
        <v>908</v>
      </c>
      <c r="B58" s="1744"/>
      <c r="C58" s="1744"/>
      <c r="D58" s="1744"/>
      <c r="E58" s="1744"/>
      <c r="F58" s="1744"/>
      <c r="G58" s="1744"/>
      <c r="H58" s="1744"/>
      <c r="I58" s="1744"/>
      <c r="J58" s="1744"/>
      <c r="K58" s="1745"/>
    </row>
    <row r="59" spans="1:11" x14ac:dyDescent="0.25">
      <c r="A59" s="1743" t="s">
        <v>909</v>
      </c>
      <c r="B59" s="1744"/>
      <c r="C59" s="1744"/>
      <c r="D59" s="1744"/>
      <c r="E59" s="1744"/>
      <c r="F59" s="1744"/>
      <c r="G59" s="1744"/>
      <c r="H59" s="1744"/>
      <c r="I59" s="1744"/>
      <c r="J59" s="1744"/>
      <c r="K59" s="1745"/>
    </row>
    <row r="60" spans="1:11" x14ac:dyDescent="0.25">
      <c r="A60" s="25"/>
      <c r="B60" s="26"/>
      <c r="C60" s="26"/>
      <c r="D60" s="26"/>
      <c r="E60" s="26"/>
      <c r="F60" s="26"/>
      <c r="G60" s="26"/>
      <c r="H60" s="26"/>
      <c r="I60" s="26"/>
      <c r="J60" s="26"/>
      <c r="K60" s="27"/>
    </row>
    <row r="61" spans="1:11" x14ac:dyDescent="0.25">
      <c r="A61" s="1743" t="s">
        <v>320</v>
      </c>
      <c r="B61" s="1744"/>
      <c r="C61" s="1744"/>
      <c r="D61" s="1744"/>
      <c r="E61" s="1744"/>
      <c r="F61" s="1744"/>
      <c r="G61" s="1744"/>
      <c r="H61" s="1744"/>
      <c r="I61" s="1744"/>
      <c r="J61" s="1744"/>
      <c r="K61" s="1745"/>
    </row>
    <row r="62" spans="1:11" ht="13.8" thickBot="1" x14ac:dyDescent="0.3">
      <c r="A62" s="1758" t="s">
        <v>974</v>
      </c>
      <c r="B62" s="1759"/>
      <c r="C62" s="1759"/>
      <c r="D62" s="1759"/>
      <c r="E62" s="1759"/>
      <c r="F62" s="1759"/>
      <c r="G62" s="1759"/>
      <c r="H62" s="1759"/>
      <c r="I62" s="1759"/>
      <c r="J62" s="1759"/>
      <c r="K62" s="1760"/>
    </row>
    <row r="63" spans="1:11" x14ac:dyDescent="0.25">
      <c r="A63" s="536"/>
      <c r="B63" s="537"/>
      <c r="C63" s="537"/>
      <c r="D63" s="537"/>
      <c r="E63" s="537"/>
      <c r="F63" s="537"/>
      <c r="G63" s="537"/>
      <c r="H63" s="537"/>
      <c r="I63" s="537"/>
      <c r="J63" s="537"/>
      <c r="K63" s="537"/>
    </row>
    <row r="64" spans="1:11" x14ac:dyDescent="0.25">
      <c r="A64" s="536"/>
      <c r="B64" s="537"/>
      <c r="C64" s="537"/>
      <c r="D64" s="537"/>
      <c r="E64" s="537"/>
      <c r="F64" s="537"/>
      <c r="G64" s="537"/>
      <c r="H64" s="537"/>
      <c r="I64" s="537"/>
      <c r="J64" s="537"/>
      <c r="K64" s="537"/>
    </row>
    <row r="65" spans="1:14" x14ac:dyDescent="0.25">
      <c r="A65" s="536"/>
      <c r="B65" s="537"/>
      <c r="C65" s="537"/>
      <c r="D65" s="537"/>
      <c r="E65" s="537"/>
      <c r="F65" s="537"/>
      <c r="G65" s="537"/>
      <c r="H65" s="537"/>
      <c r="I65" s="537"/>
      <c r="J65" s="537"/>
      <c r="K65" s="537"/>
    </row>
    <row r="66" spans="1:14" x14ac:dyDescent="0.25">
      <c r="A66" s="536"/>
      <c r="B66" s="537"/>
      <c r="C66" s="537"/>
      <c r="D66" s="537"/>
      <c r="E66" s="537"/>
      <c r="F66" s="537"/>
      <c r="G66" s="537"/>
      <c r="H66" s="537"/>
      <c r="I66" s="537"/>
      <c r="J66" s="537"/>
      <c r="K66" s="537"/>
    </row>
    <row r="68" spans="1:14" ht="13.8" thickBot="1" x14ac:dyDescent="0.3"/>
    <row r="69" spans="1:14" ht="43.5" customHeight="1" thickTop="1" thickBot="1" x14ac:dyDescent="0.3">
      <c r="A69" s="371" t="s">
        <v>1084</v>
      </c>
      <c r="B69" s="372"/>
      <c r="C69" s="372"/>
      <c r="D69" s="372"/>
      <c r="E69" s="372"/>
      <c r="F69" s="372"/>
      <c r="G69" s="372"/>
      <c r="H69" s="372"/>
      <c r="I69" s="372"/>
      <c r="J69" s="372"/>
      <c r="K69" s="373"/>
      <c r="L69" s="373"/>
      <c r="M69" s="633"/>
      <c r="N69" s="634"/>
    </row>
    <row r="70" spans="1:14" ht="55.8" thickTop="1" x14ac:dyDescent="0.25">
      <c r="A70" s="635" t="s">
        <v>1091</v>
      </c>
      <c r="B70" s="636" t="s">
        <v>1032</v>
      </c>
      <c r="C70" s="637" t="s">
        <v>1041</v>
      </c>
      <c r="D70" s="637" t="s">
        <v>1042</v>
      </c>
      <c r="E70" s="636" t="s">
        <v>190</v>
      </c>
      <c r="F70" s="636" t="s">
        <v>1040</v>
      </c>
      <c r="G70" s="638" t="s">
        <v>1039</v>
      </c>
      <c r="H70" s="639" t="s">
        <v>267</v>
      </c>
      <c r="I70" s="636" t="s">
        <v>703</v>
      </c>
      <c r="J70" s="636" t="s">
        <v>1057</v>
      </c>
      <c r="K70" s="640" t="s">
        <v>702</v>
      </c>
      <c r="L70" s="640" t="s">
        <v>932</v>
      </c>
      <c r="M70" s="641" t="s">
        <v>533</v>
      </c>
      <c r="N70" s="642" t="s">
        <v>534</v>
      </c>
    </row>
    <row r="71" spans="1:14" ht="52.8" x14ac:dyDescent="0.25">
      <c r="A71" s="888" t="s">
        <v>1086</v>
      </c>
      <c r="B71" s="647" t="s">
        <v>866</v>
      </c>
      <c r="C71" s="889" t="s">
        <v>699</v>
      </c>
      <c r="D71" s="647">
        <v>2007</v>
      </c>
      <c r="E71" s="890" t="s">
        <v>700</v>
      </c>
      <c r="F71" s="648"/>
      <c r="G71" s="647"/>
      <c r="H71" s="890" t="s">
        <v>865</v>
      </c>
      <c r="I71" s="840">
        <f>mmBTU_to_GJ</f>
        <v>1.0549999999999999</v>
      </c>
      <c r="J71" s="643" t="s">
        <v>1059</v>
      </c>
      <c r="K71" s="644">
        <v>56.31533863997597</v>
      </c>
      <c r="L71" s="644" t="s">
        <v>933</v>
      </c>
      <c r="M71" s="645"/>
      <c r="N71" s="646"/>
    </row>
    <row r="72" spans="1:14" ht="52.8" x14ac:dyDescent="0.25">
      <c r="A72" s="888" t="s">
        <v>283</v>
      </c>
      <c r="B72" s="647" t="s">
        <v>866</v>
      </c>
      <c r="C72" s="889" t="s">
        <v>699</v>
      </c>
      <c r="D72" s="647">
        <v>2007</v>
      </c>
      <c r="E72" s="890" t="s">
        <v>700</v>
      </c>
      <c r="F72" s="648"/>
      <c r="G72" s="647"/>
      <c r="H72" s="890" t="s">
        <v>865</v>
      </c>
      <c r="I72" s="840">
        <f>mmBTU_to_GJ</f>
        <v>1.0549999999999999</v>
      </c>
      <c r="J72" s="643" t="s">
        <v>1059</v>
      </c>
      <c r="K72" s="644">
        <v>56.31533863997597</v>
      </c>
      <c r="L72" s="644" t="s">
        <v>933</v>
      </c>
      <c r="M72" s="645"/>
      <c r="N72" s="646"/>
    </row>
    <row r="73" spans="1:14" ht="52.8" x14ac:dyDescent="0.25">
      <c r="A73" s="888" t="s">
        <v>681</v>
      </c>
      <c r="B73" s="647" t="s">
        <v>866</v>
      </c>
      <c r="C73" s="889" t="s">
        <v>699</v>
      </c>
      <c r="D73" s="647">
        <v>2007</v>
      </c>
      <c r="E73" s="890" t="s">
        <v>700</v>
      </c>
      <c r="F73" s="648"/>
      <c r="G73" s="647"/>
      <c r="H73" s="890" t="s">
        <v>865</v>
      </c>
      <c r="I73" s="840">
        <f>mmBTU_to_GJ</f>
        <v>1.0549999999999999</v>
      </c>
      <c r="J73" s="643" t="s">
        <v>1059</v>
      </c>
      <c r="K73" s="644">
        <v>56.31533863997597</v>
      </c>
      <c r="L73" s="644" t="s">
        <v>933</v>
      </c>
      <c r="M73" s="645"/>
      <c r="N73" s="646"/>
    </row>
    <row r="74" spans="1:14" ht="52.8" x14ac:dyDescent="0.25">
      <c r="A74" s="888" t="s">
        <v>1087</v>
      </c>
      <c r="B74" s="647" t="s">
        <v>866</v>
      </c>
      <c r="C74" s="889" t="s">
        <v>699</v>
      </c>
      <c r="D74" s="647">
        <v>2007</v>
      </c>
      <c r="E74" s="890" t="s">
        <v>700</v>
      </c>
      <c r="F74" s="648"/>
      <c r="G74" s="647"/>
      <c r="H74" s="890" t="s">
        <v>865</v>
      </c>
      <c r="I74" s="840">
        <f>mmBTU_to_GJ</f>
        <v>1.0549999999999999</v>
      </c>
      <c r="J74" s="643" t="s">
        <v>1059</v>
      </c>
      <c r="K74" s="644">
        <v>56.31533863997597</v>
      </c>
      <c r="L74" s="644" t="s">
        <v>933</v>
      </c>
      <c r="M74" s="645"/>
      <c r="N74" s="646"/>
    </row>
    <row r="75" spans="1:14" ht="26.4" x14ac:dyDescent="0.25">
      <c r="A75" s="888" t="s">
        <v>682</v>
      </c>
      <c r="B75" s="647"/>
      <c r="C75" s="889" t="s">
        <v>699</v>
      </c>
      <c r="D75" s="647">
        <v>2007</v>
      </c>
      <c r="E75" s="890" t="s">
        <v>700</v>
      </c>
      <c r="F75" s="648"/>
      <c r="G75" s="647"/>
      <c r="H75" s="890" t="s">
        <v>865</v>
      </c>
      <c r="I75" s="840">
        <f>mmBTU_to_GJ</f>
        <v>1.0549999999999999</v>
      </c>
      <c r="J75" s="643" t="s">
        <v>1059</v>
      </c>
      <c r="K75" s="644">
        <v>56.31533863997597</v>
      </c>
      <c r="L75" s="644" t="s">
        <v>933</v>
      </c>
      <c r="M75" s="645"/>
      <c r="N75" s="646"/>
    </row>
    <row r="76" spans="1:14" ht="52.8" x14ac:dyDescent="0.25">
      <c r="A76" s="888" t="s">
        <v>683</v>
      </c>
      <c r="B76" s="647" t="s">
        <v>866</v>
      </c>
      <c r="C76" s="889" t="s">
        <v>699</v>
      </c>
      <c r="D76" s="647">
        <v>2007</v>
      </c>
      <c r="E76" s="890" t="s">
        <v>701</v>
      </c>
      <c r="F76" s="647"/>
      <c r="G76" s="647"/>
      <c r="H76" s="643" t="s">
        <v>296</v>
      </c>
      <c r="I76" s="840">
        <f>1/MJ_to_kWh/1000</f>
        <v>3.5999999999999995E-3</v>
      </c>
      <c r="J76" s="643" t="s">
        <v>1072</v>
      </c>
      <c r="K76" s="644">
        <v>0</v>
      </c>
      <c r="L76" s="644" t="s">
        <v>933</v>
      </c>
      <c r="M76" s="645"/>
      <c r="N76" s="646"/>
    </row>
    <row r="77" spans="1:14" ht="52.8" x14ac:dyDescent="0.25">
      <c r="A77" s="888" t="s">
        <v>698</v>
      </c>
      <c r="B77" s="647" t="s">
        <v>866</v>
      </c>
      <c r="C77" s="889" t="s">
        <v>699</v>
      </c>
      <c r="D77" s="647">
        <v>2007</v>
      </c>
      <c r="E77" s="890" t="s">
        <v>701</v>
      </c>
      <c r="F77" s="647"/>
      <c r="G77" s="647"/>
      <c r="H77" s="643" t="s">
        <v>296</v>
      </c>
      <c r="I77" s="840">
        <f>1/MJ_to_kWh/1000</f>
        <v>3.5999999999999995E-3</v>
      </c>
      <c r="J77" s="643" t="s">
        <v>1072</v>
      </c>
      <c r="K77" s="644">
        <v>0</v>
      </c>
      <c r="L77" s="644" t="s">
        <v>933</v>
      </c>
      <c r="M77" s="645"/>
      <c r="N77" s="646"/>
    </row>
    <row r="78" spans="1:14" ht="52.8" x14ac:dyDescent="0.25">
      <c r="A78" s="888" t="s">
        <v>684</v>
      </c>
      <c r="B78" s="647" t="s">
        <v>866</v>
      </c>
      <c r="C78" s="889" t="s">
        <v>699</v>
      </c>
      <c r="D78" s="647">
        <v>2007</v>
      </c>
      <c r="E78" s="890" t="s">
        <v>701</v>
      </c>
      <c r="F78" s="647"/>
      <c r="G78" s="647"/>
      <c r="H78" s="643" t="s">
        <v>296</v>
      </c>
      <c r="I78" s="840">
        <f>1/MJ_to_kWh/1000</f>
        <v>3.5999999999999995E-3</v>
      </c>
      <c r="J78" s="643" t="s">
        <v>1072</v>
      </c>
      <c r="K78" s="644">
        <v>0</v>
      </c>
      <c r="L78" s="644" t="s">
        <v>933</v>
      </c>
      <c r="M78" s="645"/>
      <c r="N78" s="646"/>
    </row>
    <row r="79" spans="1:14" ht="52.8" x14ac:dyDescent="0.25">
      <c r="A79" s="888" t="s">
        <v>1088</v>
      </c>
      <c r="B79" s="647" t="s">
        <v>866</v>
      </c>
      <c r="C79" s="889" t="s">
        <v>699</v>
      </c>
      <c r="D79" s="647">
        <v>2007</v>
      </c>
      <c r="E79" s="890" t="s">
        <v>700</v>
      </c>
      <c r="F79" s="648"/>
      <c r="G79" s="647"/>
      <c r="H79" s="643" t="s">
        <v>268</v>
      </c>
      <c r="I79" s="840">
        <f>$C$42/2000/lb_to_kg/1000000*mmBTU_to_GJ</f>
        <v>2.2735034516249999E-2</v>
      </c>
      <c r="J79" s="643" t="s">
        <v>1053</v>
      </c>
      <c r="K79" s="644">
        <v>102.75287348239476</v>
      </c>
      <c r="L79" s="644" t="s">
        <v>933</v>
      </c>
      <c r="M79" s="645"/>
      <c r="N79" s="646"/>
    </row>
    <row r="80" spans="1:14" ht="52.8" x14ac:dyDescent="0.25">
      <c r="A80" s="888" t="s">
        <v>716</v>
      </c>
      <c r="B80" s="647" t="s">
        <v>866</v>
      </c>
      <c r="C80" s="889" t="s">
        <v>699</v>
      </c>
      <c r="D80" s="647">
        <v>2007</v>
      </c>
      <c r="E80" s="890" t="s">
        <v>700</v>
      </c>
      <c r="F80" s="648"/>
      <c r="G80" s="647"/>
      <c r="H80" s="643" t="s">
        <v>268</v>
      </c>
      <c r="I80" s="840">
        <f>$C$42/2000/lb_to_kg/1000000*mmBTU_to_GJ</f>
        <v>2.2735034516249999E-2</v>
      </c>
      <c r="J80" s="643" t="s">
        <v>1053</v>
      </c>
      <c r="K80" s="644">
        <v>102.75287348239476</v>
      </c>
      <c r="L80" s="644" t="s">
        <v>933</v>
      </c>
      <c r="M80" s="645"/>
      <c r="N80" s="646"/>
    </row>
    <row r="81" spans="1:14" ht="52.8" x14ac:dyDescent="0.25">
      <c r="A81" s="888" t="s">
        <v>717</v>
      </c>
      <c r="B81" s="647" t="s">
        <v>866</v>
      </c>
      <c r="C81" s="889" t="s">
        <v>699</v>
      </c>
      <c r="D81" s="647">
        <v>2007</v>
      </c>
      <c r="E81" s="890" t="s">
        <v>700</v>
      </c>
      <c r="F81" s="648"/>
      <c r="G81" s="647"/>
      <c r="H81" s="643" t="s">
        <v>268</v>
      </c>
      <c r="I81" s="840">
        <f>$C$42/2000/lb_to_kg/1000000*mmBTU_to_GJ</f>
        <v>2.2735034516249999E-2</v>
      </c>
      <c r="J81" s="643" t="s">
        <v>1053</v>
      </c>
      <c r="K81" s="644">
        <v>102.75287348239476</v>
      </c>
      <c r="L81" s="644" t="s">
        <v>933</v>
      </c>
      <c r="M81" s="645"/>
      <c r="N81" s="646"/>
    </row>
    <row r="82" spans="1:14" ht="52.8" x14ac:dyDescent="0.25">
      <c r="A82" s="888" t="s">
        <v>913</v>
      </c>
      <c r="B82" s="647" t="s">
        <v>866</v>
      </c>
      <c r="C82" s="889" t="s">
        <v>699</v>
      </c>
      <c r="D82" s="647">
        <v>2007</v>
      </c>
      <c r="E82" s="890" t="s">
        <v>700</v>
      </c>
      <c r="F82" s="648"/>
      <c r="G82" s="647"/>
      <c r="H82" s="643" t="s">
        <v>269</v>
      </c>
      <c r="I82" s="840">
        <f>$C$14/gal_to_liters*mmBTU_to_GJ/1000000</f>
        <v>3.5803104359313075E-2</v>
      </c>
      <c r="J82" s="643" t="s">
        <v>1059</v>
      </c>
      <c r="K82" s="644">
        <v>74.122324937568308</v>
      </c>
      <c r="L82" s="644" t="s">
        <v>933</v>
      </c>
      <c r="M82" s="645"/>
      <c r="N82" s="646"/>
    </row>
    <row r="83" spans="1:14" ht="52.8" x14ac:dyDescent="0.25">
      <c r="A83" s="888" t="s">
        <v>911</v>
      </c>
      <c r="B83" s="647" t="s">
        <v>866</v>
      </c>
      <c r="C83" s="889" t="s">
        <v>699</v>
      </c>
      <c r="D83" s="647">
        <v>2007</v>
      </c>
      <c r="E83" s="890" t="s">
        <v>700</v>
      </c>
      <c r="F83" s="648"/>
      <c r="G83" s="647"/>
      <c r="H83" s="643" t="s">
        <v>269</v>
      </c>
      <c r="I83" s="840">
        <f>$Q$14/gal_to_liters*mmBTU_to_GJ/1000000</f>
        <v>2.4157130779392338E-2</v>
      </c>
      <c r="J83" s="643" t="s">
        <v>1053</v>
      </c>
      <c r="K83" s="644">
        <v>71.019041167591709</v>
      </c>
      <c r="L83" s="644" t="s">
        <v>933</v>
      </c>
      <c r="M83" s="645"/>
      <c r="N83" s="646"/>
    </row>
    <row r="84" spans="1:14" ht="52.8" x14ac:dyDescent="0.25">
      <c r="A84" s="888" t="s">
        <v>914</v>
      </c>
      <c r="B84" s="647" t="s">
        <v>866</v>
      </c>
      <c r="C84" s="889" t="s">
        <v>699</v>
      </c>
      <c r="D84" s="647">
        <v>2007</v>
      </c>
      <c r="E84" s="890" t="s">
        <v>700</v>
      </c>
      <c r="F84" s="648"/>
      <c r="G84" s="647"/>
      <c r="H84" s="643" t="s">
        <v>269</v>
      </c>
      <c r="I84" s="840">
        <f>$C$11/gal_to_liters*mmBTU_to_GJ/1000000</f>
        <v>3.2357978863936591E-2</v>
      </c>
      <c r="J84" s="643" t="s">
        <v>1053</v>
      </c>
      <c r="K84" s="644">
        <v>72.833307273582633</v>
      </c>
      <c r="L84" s="644" t="s">
        <v>933</v>
      </c>
      <c r="M84" s="645"/>
      <c r="N84" s="646"/>
    </row>
    <row r="85" spans="1:14" ht="290.39999999999998" x14ac:dyDescent="0.25">
      <c r="A85" s="888" t="s">
        <v>1082</v>
      </c>
      <c r="B85" s="839" t="s">
        <v>437</v>
      </c>
      <c r="C85" s="889" t="s">
        <v>699</v>
      </c>
      <c r="D85" s="647">
        <v>2007</v>
      </c>
      <c r="E85" s="890" t="s">
        <v>701</v>
      </c>
      <c r="F85" s="648"/>
      <c r="G85" s="647"/>
      <c r="H85" s="643" t="s">
        <v>268</v>
      </c>
      <c r="I85" s="840">
        <f>$E$45/1000</f>
        <v>1.9551069237418006E-2</v>
      </c>
      <c r="J85" s="643" t="s">
        <v>1053</v>
      </c>
      <c r="K85" s="644">
        <v>97.876597052612851</v>
      </c>
      <c r="L85" s="644" t="s">
        <v>933</v>
      </c>
      <c r="M85" s="645"/>
      <c r="N85" s="646"/>
    </row>
    <row r="86" spans="1:14" x14ac:dyDescent="0.25">
      <c r="A86" s="888" t="s">
        <v>815</v>
      </c>
      <c r="B86" s="839"/>
      <c r="C86" s="889"/>
      <c r="D86" s="647"/>
      <c r="E86" s="890" t="s">
        <v>701</v>
      </c>
      <c r="F86" s="648"/>
      <c r="G86" s="647"/>
      <c r="H86" s="643" t="s">
        <v>268</v>
      </c>
      <c r="I86" s="840">
        <f>$E$45/1000</f>
        <v>1.9551069237418006E-2</v>
      </c>
      <c r="J86" s="643" t="s">
        <v>1053</v>
      </c>
      <c r="K86" s="644">
        <v>97.876597052612851</v>
      </c>
      <c r="L86" s="644" t="s">
        <v>933</v>
      </c>
      <c r="M86" s="645"/>
      <c r="N86" s="646"/>
    </row>
    <row r="87" spans="1:14" ht="79.2" x14ac:dyDescent="0.25">
      <c r="A87" s="888" t="s">
        <v>824</v>
      </c>
      <c r="B87" s="985" t="s">
        <v>834</v>
      </c>
      <c r="C87" s="889"/>
      <c r="D87" s="647"/>
      <c r="E87" s="890" t="s">
        <v>701</v>
      </c>
      <c r="F87" s="648"/>
      <c r="G87" s="647"/>
      <c r="H87" s="643" t="s">
        <v>268</v>
      </c>
      <c r="I87" s="840">
        <f>18.608/1000</f>
        <v>1.8608E-2</v>
      </c>
      <c r="J87" s="643" t="s">
        <v>1053</v>
      </c>
      <c r="K87" s="644">
        <v>97.876597052612851</v>
      </c>
      <c r="L87" s="644" t="s">
        <v>933</v>
      </c>
      <c r="M87" s="645"/>
      <c r="N87" s="646"/>
    </row>
    <row r="88" spans="1:14" ht="79.2" x14ac:dyDescent="0.25">
      <c r="A88" s="888" t="s">
        <v>1089</v>
      </c>
      <c r="B88" s="647" t="s">
        <v>1090</v>
      </c>
      <c r="C88" s="889" t="s">
        <v>699</v>
      </c>
      <c r="D88" s="647">
        <v>2007</v>
      </c>
      <c r="E88" s="890" t="s">
        <v>701</v>
      </c>
      <c r="F88" s="648"/>
      <c r="G88" s="647"/>
      <c r="H88" s="643" t="s">
        <v>268</v>
      </c>
      <c r="I88" s="840">
        <v>2.8300000000000001E-3</v>
      </c>
      <c r="J88" s="643" t="s">
        <v>1072</v>
      </c>
      <c r="K88" s="644">
        <v>0</v>
      </c>
      <c r="L88" s="644" t="s">
        <v>933</v>
      </c>
      <c r="M88" s="645"/>
      <c r="N88" s="646"/>
    </row>
    <row r="90" spans="1:14" ht="13.8" thickBot="1" x14ac:dyDescent="0.3"/>
    <row r="91" spans="1:14" ht="33.75" customHeight="1" thickTop="1" x14ac:dyDescent="0.25">
      <c r="A91" s="1741" t="s">
        <v>993</v>
      </c>
      <c r="B91" s="1742"/>
      <c r="D91" s="1741" t="s">
        <v>685</v>
      </c>
      <c r="E91" s="1742"/>
      <c r="G91" s="1741" t="s">
        <v>686</v>
      </c>
      <c r="H91" s="1742"/>
      <c r="K91" s="1761" t="s">
        <v>688</v>
      </c>
      <c r="L91" s="1762"/>
    </row>
    <row r="92" spans="1:14" ht="41.25" customHeight="1" thickBot="1" x14ac:dyDescent="0.3">
      <c r="A92" s="1219" t="s">
        <v>1101</v>
      </c>
      <c r="B92" s="1033"/>
      <c r="D92" s="1753" t="s">
        <v>687</v>
      </c>
      <c r="E92" s="1754"/>
      <c r="G92" s="1219" t="s">
        <v>1102</v>
      </c>
      <c r="H92" s="1033"/>
      <c r="K92" s="1753" t="s">
        <v>689</v>
      </c>
      <c r="L92" s="1754"/>
      <c r="N92" s="1289"/>
    </row>
    <row r="93" spans="1:14" ht="13.8" x14ac:dyDescent="0.25">
      <c r="A93" s="30" t="s">
        <v>1085</v>
      </c>
      <c r="B93" s="31" t="s">
        <v>1093</v>
      </c>
      <c r="D93" s="30" t="s">
        <v>1085</v>
      </c>
      <c r="E93" s="31" t="s">
        <v>1093</v>
      </c>
      <c r="G93" s="30" t="s">
        <v>1085</v>
      </c>
      <c r="H93" s="31" t="s">
        <v>1093</v>
      </c>
      <c r="K93" s="30" t="s">
        <v>1085</v>
      </c>
      <c r="L93" s="31" t="s">
        <v>1093</v>
      </c>
    </row>
    <row r="94" spans="1:14" ht="28.5" customHeight="1" x14ac:dyDescent="0.25">
      <c r="A94" s="1030">
        <v>1992</v>
      </c>
      <c r="B94" s="1031">
        <v>70.563999999999993</v>
      </c>
      <c r="C94" s="860"/>
      <c r="D94" s="1222">
        <v>1992</v>
      </c>
      <c r="E94" s="1223">
        <v>358.2</v>
      </c>
      <c r="F94" s="1294"/>
      <c r="G94" s="1222">
        <v>1992</v>
      </c>
      <c r="H94" s="1225">
        <v>13.7</v>
      </c>
      <c r="K94" s="1222">
        <v>1980</v>
      </c>
      <c r="L94" s="1226">
        <v>55.195749555178075</v>
      </c>
    </row>
    <row r="95" spans="1:14" x14ac:dyDescent="0.25">
      <c r="A95" s="1030">
        <v>1993</v>
      </c>
      <c r="B95" s="1031">
        <v>72.244</v>
      </c>
      <c r="D95" s="1222">
        <v>1993</v>
      </c>
      <c r="E95" s="1223">
        <v>359.2</v>
      </c>
      <c r="F95" s="1294"/>
      <c r="G95" s="1222">
        <v>1993</v>
      </c>
      <c r="H95" s="1225">
        <v>13.97</v>
      </c>
      <c r="K95" s="1222">
        <v>1981</v>
      </c>
      <c r="L95" s="1226">
        <v>61.025412991342954</v>
      </c>
    </row>
    <row r="96" spans="1:14" x14ac:dyDescent="0.25">
      <c r="A96" s="1030">
        <v>1994</v>
      </c>
      <c r="B96" s="1031">
        <v>73.781000000000006</v>
      </c>
      <c r="D96" s="1222">
        <v>1994</v>
      </c>
      <c r="E96" s="1223">
        <v>368.1</v>
      </c>
      <c r="F96" s="1294"/>
      <c r="G96" s="1222">
        <v>1994</v>
      </c>
      <c r="H96" s="1225">
        <v>14.33</v>
      </c>
      <c r="K96" s="1222">
        <v>1982</v>
      </c>
      <c r="L96" s="1226">
        <v>62.017696129413558</v>
      </c>
    </row>
    <row r="97" spans="1:15" x14ac:dyDescent="0.25">
      <c r="A97" s="1030">
        <v>1995</v>
      </c>
      <c r="B97" s="1031">
        <v>75.320999999999998</v>
      </c>
      <c r="D97" s="1222">
        <v>1995</v>
      </c>
      <c r="E97" s="1223">
        <v>381.1</v>
      </c>
      <c r="F97" s="1294"/>
      <c r="G97" s="1222">
        <v>1995</v>
      </c>
      <c r="H97" s="1225">
        <v>14.86</v>
      </c>
      <c r="K97" s="1222">
        <v>1983</v>
      </c>
      <c r="L97" s="1226">
        <v>62.203749217801807</v>
      </c>
    </row>
    <row r="98" spans="1:15" x14ac:dyDescent="0.25">
      <c r="A98" s="1030">
        <v>1996</v>
      </c>
      <c r="B98" s="1031">
        <v>76.694999999999993</v>
      </c>
      <c r="D98" s="1222">
        <v>1996</v>
      </c>
      <c r="E98" s="1223">
        <v>381.7</v>
      </c>
      <c r="F98" s="1294"/>
      <c r="G98" s="1222">
        <v>1996</v>
      </c>
      <c r="H98" s="1225">
        <v>15.37</v>
      </c>
      <c r="K98" s="1222">
        <v>1984</v>
      </c>
      <c r="L98" s="1226">
        <v>63.81620931716656</v>
      </c>
    </row>
    <row r="99" spans="1:15" x14ac:dyDescent="0.25">
      <c r="A99" s="1030">
        <v>1997</v>
      </c>
      <c r="B99" s="1031">
        <v>78.009</v>
      </c>
      <c r="D99" s="1222">
        <v>1997</v>
      </c>
      <c r="E99" s="1223">
        <v>386.5</v>
      </c>
      <c r="F99" s="1294"/>
      <c r="G99" s="1222">
        <v>1997</v>
      </c>
      <c r="H99" s="1225">
        <v>15.78</v>
      </c>
      <c r="K99" s="1222">
        <v>1985</v>
      </c>
      <c r="L99" s="1226">
        <v>64.262922782386738</v>
      </c>
      <c r="M99" s="1291"/>
    </row>
    <row r="100" spans="1:15" x14ac:dyDescent="0.25">
      <c r="A100" s="1030">
        <v>1998</v>
      </c>
      <c r="B100" s="1031">
        <v>78.855000000000004</v>
      </c>
      <c r="D100" s="1222">
        <v>1998</v>
      </c>
      <c r="E100" s="1223">
        <v>389.5</v>
      </c>
      <c r="F100" s="1294"/>
      <c r="G100" s="1222">
        <v>1998</v>
      </c>
      <c r="H100" s="1225">
        <v>16.23</v>
      </c>
      <c r="K100" s="1222">
        <v>1986</v>
      </c>
      <c r="L100" s="1226">
        <v>64.135290363752389</v>
      </c>
      <c r="M100" s="1291"/>
      <c r="N100" s="1292"/>
      <c r="O100" s="1292"/>
    </row>
    <row r="101" spans="1:15" x14ac:dyDescent="0.25">
      <c r="A101" s="1030">
        <v>1999</v>
      </c>
      <c r="B101" s="1031">
        <v>80.061000000000007</v>
      </c>
      <c r="D101" s="1222">
        <v>1999</v>
      </c>
      <c r="E101" s="1223">
        <v>390.6</v>
      </c>
      <c r="F101" s="1294"/>
      <c r="G101" s="1222">
        <v>1999</v>
      </c>
      <c r="H101" s="1225">
        <v>16.399999999999999</v>
      </c>
      <c r="K101" s="1222">
        <v>1987</v>
      </c>
      <c r="L101" s="1226">
        <v>66.11359285258456</v>
      </c>
      <c r="M101" s="1291"/>
      <c r="N101" s="1292"/>
      <c r="O101" s="1292"/>
    </row>
    <row r="102" spans="1:15" x14ac:dyDescent="0.25">
      <c r="A102" s="1030">
        <v>2000</v>
      </c>
      <c r="B102" s="1031">
        <v>81.882999999999996</v>
      </c>
      <c r="D102" s="1222">
        <v>2000</v>
      </c>
      <c r="E102" s="1223">
        <v>394.1</v>
      </c>
      <c r="F102" s="1294"/>
      <c r="G102" s="1222">
        <v>2000</v>
      </c>
      <c r="H102" s="1225">
        <v>17.09</v>
      </c>
      <c r="K102" s="1222">
        <v>1988</v>
      </c>
      <c r="L102" s="1226">
        <v>72.112316528398225</v>
      </c>
      <c r="M102" s="1291"/>
      <c r="N102" s="1292"/>
      <c r="O102" s="1292"/>
    </row>
    <row r="103" spans="1:15" x14ac:dyDescent="0.25">
      <c r="A103" s="1030">
        <v>2001</v>
      </c>
      <c r="B103" s="1031">
        <v>83.753</v>
      </c>
      <c r="D103" s="1222">
        <v>2001</v>
      </c>
      <c r="E103" s="1223">
        <v>394.3</v>
      </c>
      <c r="F103" s="1294"/>
      <c r="G103" s="1222">
        <v>2001</v>
      </c>
      <c r="H103" s="1225">
        <v>17.57</v>
      </c>
      <c r="K103" s="1222">
        <v>1989</v>
      </c>
      <c r="L103" s="1226">
        <v>76.324186343331206</v>
      </c>
      <c r="M103" s="1291"/>
      <c r="N103" s="1292"/>
      <c r="O103" s="1292"/>
    </row>
    <row r="104" spans="1:15" x14ac:dyDescent="0.25">
      <c r="A104" s="1030">
        <v>2002</v>
      </c>
      <c r="B104" s="1031">
        <v>85.037999999999997</v>
      </c>
      <c r="D104" s="1222">
        <v>2002</v>
      </c>
      <c r="E104" s="1223">
        <v>395.6</v>
      </c>
      <c r="F104" s="1294"/>
      <c r="G104" s="1222">
        <v>2002</v>
      </c>
      <c r="H104" s="1225">
        <v>17.97</v>
      </c>
      <c r="K104" s="1222">
        <v>1990</v>
      </c>
      <c r="L104" s="1226">
        <v>77.217613273771548</v>
      </c>
      <c r="M104" s="1291"/>
      <c r="N104" s="1292"/>
      <c r="O104" s="1292"/>
    </row>
    <row r="105" spans="1:15" x14ac:dyDescent="0.25">
      <c r="A105" s="1030">
        <v>2003</v>
      </c>
      <c r="B105" s="1031">
        <v>86.728999999999999</v>
      </c>
      <c r="D105" s="1222">
        <v>2003</v>
      </c>
      <c r="E105" s="1223">
        <v>402</v>
      </c>
      <c r="F105" s="1294"/>
      <c r="G105" s="1222">
        <v>2003</v>
      </c>
      <c r="H105" s="1225">
        <v>18.5</v>
      </c>
      <c r="K105" s="1222">
        <v>1991</v>
      </c>
      <c r="L105" s="1226">
        <v>79.38736439055522</v>
      </c>
      <c r="M105" s="1291"/>
      <c r="N105" s="1292"/>
      <c r="O105" s="1292"/>
    </row>
    <row r="106" spans="1:15" x14ac:dyDescent="0.25">
      <c r="A106" s="1030">
        <v>2004</v>
      </c>
      <c r="B106" s="1031">
        <v>89.114000000000004</v>
      </c>
      <c r="D106" s="1222">
        <v>2004</v>
      </c>
      <c r="E106" s="1223">
        <v>444.2</v>
      </c>
      <c r="F106" s="1294"/>
      <c r="G106" s="1222">
        <v>2004</v>
      </c>
      <c r="H106" s="1225">
        <v>19.170000000000002</v>
      </c>
      <c r="K106" s="1222">
        <v>1992</v>
      </c>
      <c r="L106" s="1227">
        <v>80.280791320995533</v>
      </c>
      <c r="M106" s="1291"/>
      <c r="N106" s="1292"/>
      <c r="O106" s="1292"/>
    </row>
    <row r="107" spans="1:15" x14ac:dyDescent="0.25">
      <c r="A107" s="1030">
        <v>2005</v>
      </c>
      <c r="B107" s="1031">
        <v>91.980999999999995</v>
      </c>
      <c r="D107" s="1222">
        <v>2005</v>
      </c>
      <c r="E107" s="1223">
        <v>468.2</v>
      </c>
      <c r="F107" s="1294"/>
      <c r="G107" s="1222">
        <v>2005</v>
      </c>
      <c r="H107" s="1386">
        <v>19.670000000000002</v>
      </c>
      <c r="K107" s="1222">
        <v>1993</v>
      </c>
      <c r="L107" s="1227">
        <v>81.174218251435875</v>
      </c>
      <c r="M107" s="1291"/>
      <c r="N107" s="1292"/>
      <c r="O107" s="1292"/>
    </row>
    <row r="108" spans="1:15" x14ac:dyDescent="0.25">
      <c r="A108" s="1030">
        <v>2006</v>
      </c>
      <c r="B108" s="1031">
        <v>94.811999999999998</v>
      </c>
      <c r="D108" s="1222">
        <v>2006</v>
      </c>
      <c r="E108" s="1223">
        <v>499.6</v>
      </c>
      <c r="F108" s="1294"/>
      <c r="G108" s="1222">
        <v>2006</v>
      </c>
      <c r="H108" s="1225">
        <v>19.600000000000001</v>
      </c>
      <c r="K108" s="1222">
        <v>1994</v>
      </c>
      <c r="L108" s="1227">
        <v>82.961072112316543</v>
      </c>
      <c r="M108" s="1291"/>
      <c r="N108" s="1292"/>
      <c r="O108" s="1292"/>
    </row>
    <row r="109" spans="1:15" x14ac:dyDescent="0.25">
      <c r="A109" s="1030">
        <v>2007</v>
      </c>
      <c r="B109" s="1031">
        <v>97.334000000000003</v>
      </c>
      <c r="D109" s="1222">
        <v>2007</v>
      </c>
      <c r="E109" s="1223">
        <v>525.4</v>
      </c>
      <c r="F109" s="1322"/>
      <c r="G109" s="1222">
        <v>2007</v>
      </c>
      <c r="H109" s="1225">
        <v>19.55</v>
      </c>
      <c r="K109" s="1222">
        <v>1995</v>
      </c>
      <c r="L109" s="1227">
        <v>91.512444160816855</v>
      </c>
      <c r="M109" s="1291"/>
      <c r="N109" s="1292"/>
      <c r="O109" s="1292"/>
    </row>
    <row r="110" spans="1:15" x14ac:dyDescent="0.25">
      <c r="A110" s="1030">
        <v>2008</v>
      </c>
      <c r="B110" s="1031">
        <v>99.25</v>
      </c>
      <c r="D110" s="1222">
        <v>2008</v>
      </c>
      <c r="E110" s="1223">
        <v>575.4</v>
      </c>
      <c r="F110" s="1294"/>
      <c r="G110" s="1222">
        <v>2008</v>
      </c>
      <c r="H110" s="1225">
        <v>19.5</v>
      </c>
      <c r="K110" s="1222">
        <v>1996</v>
      </c>
      <c r="L110" s="1227">
        <v>93.044033184428855</v>
      </c>
      <c r="M110" s="1291"/>
      <c r="N110" s="1292"/>
      <c r="O110" s="1292"/>
    </row>
    <row r="111" spans="1:15" ht="14.4" x14ac:dyDescent="0.3">
      <c r="A111" s="1030">
        <v>2009</v>
      </c>
      <c r="B111" s="1220">
        <v>100</v>
      </c>
      <c r="D111" s="859">
        <v>2009</v>
      </c>
      <c r="E111" s="1223">
        <v>521.9</v>
      </c>
      <c r="F111" s="1294"/>
      <c r="G111" s="859">
        <v>2009</v>
      </c>
      <c r="H111" s="1034">
        <v>20.3</v>
      </c>
      <c r="K111" s="1222">
        <v>1997</v>
      </c>
      <c r="L111" s="1227">
        <v>93.873643905552015</v>
      </c>
      <c r="M111" s="1291"/>
      <c r="N111" s="1292"/>
      <c r="O111" s="1292"/>
    </row>
    <row r="112" spans="1:15" ht="14.4" x14ac:dyDescent="0.3">
      <c r="A112" s="1030">
        <v>2010</v>
      </c>
      <c r="B112" s="1220">
        <v>101.217</v>
      </c>
      <c r="D112" s="859">
        <v>2010</v>
      </c>
      <c r="E112" s="1223">
        <v>550.79999999999995</v>
      </c>
      <c r="F112" s="1294"/>
      <c r="G112" s="859">
        <v>2010</v>
      </c>
      <c r="H112" s="1034">
        <v>21.07</v>
      </c>
      <c r="K112" s="1222">
        <v>1998</v>
      </c>
      <c r="L112" s="1227">
        <v>94.894703254626677</v>
      </c>
      <c r="M112" s="1291"/>
      <c r="N112" s="1292"/>
      <c r="O112" s="1292"/>
    </row>
    <row r="113" spans="1:15" ht="14.4" x14ac:dyDescent="0.3">
      <c r="A113" s="1030">
        <v>2011</v>
      </c>
      <c r="B113" s="1220">
        <v>103.307</v>
      </c>
      <c r="D113" s="859">
        <v>2011</v>
      </c>
      <c r="E113" s="1223">
        <v>585.70000000000005</v>
      </c>
      <c r="F113" s="1294"/>
      <c r="G113" s="859">
        <v>2011</v>
      </c>
      <c r="H113" s="1034">
        <v>21.45</v>
      </c>
      <c r="K113" s="1222">
        <v>1999</v>
      </c>
      <c r="L113" s="1227">
        <v>95.532865347798349</v>
      </c>
      <c r="M113" s="1291"/>
      <c r="N113" s="1292"/>
      <c r="O113" s="1292"/>
    </row>
    <row r="114" spans="1:15" ht="14.4" x14ac:dyDescent="0.3">
      <c r="A114" s="1030">
        <v>2012</v>
      </c>
      <c r="B114" s="1220">
        <v>105.21299999999999</v>
      </c>
      <c r="D114" s="859">
        <v>2012</v>
      </c>
      <c r="E114" s="1223">
        <v>584.6</v>
      </c>
      <c r="F114" s="1294"/>
      <c r="G114" s="859">
        <v>2012</v>
      </c>
      <c r="H114" s="1034">
        <v>21.45</v>
      </c>
      <c r="K114" s="1222">
        <v>2000</v>
      </c>
      <c r="L114" s="1227">
        <v>100</v>
      </c>
      <c r="M114" s="1291"/>
      <c r="N114" s="1292"/>
      <c r="O114" s="1292"/>
    </row>
    <row r="115" spans="1:15" ht="14.4" x14ac:dyDescent="0.3">
      <c r="A115" s="1030">
        <v>2013</v>
      </c>
      <c r="B115" s="1220">
        <v>106.91</v>
      </c>
      <c r="D115" s="859">
        <v>2013</v>
      </c>
      <c r="E115" s="1223">
        <v>567.29999999999995</v>
      </c>
      <c r="F115" s="1294"/>
      <c r="G115" s="859">
        <v>2013</v>
      </c>
      <c r="H115" s="1034">
        <v>21.4</v>
      </c>
      <c r="K115" s="1222">
        <v>2001</v>
      </c>
      <c r="L115" s="1227">
        <v>101.08487555839186</v>
      </c>
      <c r="M115" s="1291"/>
      <c r="N115" s="1292"/>
      <c r="O115" s="1292"/>
    </row>
    <row r="116" spans="1:15" ht="14.4" x14ac:dyDescent="0.3">
      <c r="A116" s="1030">
        <v>2014</v>
      </c>
      <c r="B116" s="1220">
        <v>108.827</v>
      </c>
      <c r="D116" s="859">
        <v>2014</v>
      </c>
      <c r="E116" s="1223">
        <v>576.1</v>
      </c>
      <c r="F116" s="1294"/>
      <c r="G116" s="859">
        <v>2014</v>
      </c>
      <c r="H116" s="1034">
        <v>21.488333333333333</v>
      </c>
      <c r="K116" s="1222">
        <v>2002</v>
      </c>
      <c r="L116" s="1227">
        <v>100.38289725590302</v>
      </c>
      <c r="M116" s="1291"/>
      <c r="N116" s="1292"/>
      <c r="O116" s="1292"/>
    </row>
    <row r="117" spans="1:15" ht="14.4" x14ac:dyDescent="0.3">
      <c r="A117" s="1030">
        <v>2015</v>
      </c>
      <c r="B117" s="1220">
        <v>110.01</v>
      </c>
      <c r="D117" s="859">
        <v>2015</v>
      </c>
      <c r="E117" s="1223">
        <v>556.79999999999995</v>
      </c>
      <c r="F117" s="1294"/>
      <c r="G117" s="859">
        <v>2015</v>
      </c>
      <c r="H117" s="1034">
        <v>21.754999999999999</v>
      </c>
      <c r="K117" s="1222">
        <v>2003</v>
      </c>
      <c r="L117" s="1227">
        <v>105.04148053605616</v>
      </c>
      <c r="M117" s="1291"/>
      <c r="N117" s="1292"/>
      <c r="O117" s="1292"/>
    </row>
    <row r="118" spans="1:15" ht="15" thickBot="1" x14ac:dyDescent="0.35">
      <c r="A118" s="1030">
        <v>2016</v>
      </c>
      <c r="B118" s="1220">
        <v>111.41200000000001</v>
      </c>
      <c r="D118" s="861">
        <v>2016</v>
      </c>
      <c r="E118" s="1224">
        <v>541.70000000000005</v>
      </c>
      <c r="F118" s="1294"/>
      <c r="G118" s="861">
        <v>2016</v>
      </c>
      <c r="H118" s="1035">
        <v>22.714999999999993</v>
      </c>
      <c r="K118" s="1222">
        <v>2004</v>
      </c>
      <c r="L118" s="1227">
        <v>110.27440970006384</v>
      </c>
      <c r="M118" s="1291"/>
      <c r="N118" s="1292"/>
      <c r="O118" s="1292"/>
    </row>
    <row r="119" spans="1:15" ht="14.4" thickTop="1" thickBot="1" x14ac:dyDescent="0.3">
      <c r="A119" s="1032">
        <v>2017</v>
      </c>
      <c r="B119" s="1221">
        <v>112.854</v>
      </c>
      <c r="G119" s="305" t="s">
        <v>1103</v>
      </c>
      <c r="H119" s="305"/>
      <c r="K119" s="1222">
        <v>2005</v>
      </c>
      <c r="L119" s="1227">
        <v>119.52776005105299</v>
      </c>
      <c r="M119" s="1291"/>
      <c r="N119" s="1292"/>
      <c r="O119" s="1292"/>
    </row>
    <row r="120" spans="1:15" ht="13.8" thickTop="1" x14ac:dyDescent="0.25">
      <c r="K120" s="1222">
        <v>2006</v>
      </c>
      <c r="L120" s="1227">
        <v>125.5902999361838</v>
      </c>
      <c r="M120" s="1291"/>
      <c r="N120" s="1292"/>
      <c r="O120" s="1292"/>
    </row>
    <row r="121" spans="1:15" x14ac:dyDescent="0.25">
      <c r="K121" s="1222">
        <v>2007</v>
      </c>
      <c r="L121" s="1227">
        <v>129.73835354179963</v>
      </c>
      <c r="M121" s="1291"/>
      <c r="N121" s="1292"/>
      <c r="O121" s="1292"/>
    </row>
    <row r="122" spans="1:15" x14ac:dyDescent="0.25">
      <c r="K122" s="1222">
        <v>2008</v>
      </c>
      <c r="L122" s="1227">
        <v>145.6285896617741</v>
      </c>
      <c r="M122" s="1291"/>
      <c r="N122" s="1292"/>
      <c r="O122" s="1292"/>
    </row>
    <row r="123" spans="1:15" x14ac:dyDescent="0.25">
      <c r="K123" s="1222">
        <v>2009</v>
      </c>
      <c r="L123" s="1228">
        <v>143.39502233567327</v>
      </c>
      <c r="M123" s="1291"/>
      <c r="N123" s="1292"/>
      <c r="O123" s="1292"/>
    </row>
    <row r="124" spans="1:15" x14ac:dyDescent="0.25">
      <c r="K124" s="1222">
        <v>2010</v>
      </c>
      <c r="L124" s="1228">
        <v>149.13848117421827</v>
      </c>
      <c r="M124" s="1291"/>
      <c r="N124" s="1292"/>
      <c r="O124" s="1292"/>
    </row>
    <row r="125" spans="1:15" x14ac:dyDescent="0.25">
      <c r="K125" s="1222">
        <v>2011</v>
      </c>
      <c r="L125" s="1228">
        <v>160.8806636885769</v>
      </c>
      <c r="M125" s="1291"/>
      <c r="N125" s="1292"/>
      <c r="O125" s="1292"/>
    </row>
    <row r="126" spans="1:15" x14ac:dyDescent="0.25">
      <c r="K126" s="1222">
        <v>2012</v>
      </c>
      <c r="L126" s="1228">
        <v>166.11359285258459</v>
      </c>
      <c r="M126" s="1291"/>
      <c r="N126" s="1292"/>
      <c r="O126" s="1292"/>
    </row>
    <row r="127" spans="1:15" x14ac:dyDescent="0.25">
      <c r="K127" s="1222">
        <v>2013</v>
      </c>
      <c r="L127" s="1228">
        <v>168.41097638800255</v>
      </c>
      <c r="M127" s="1291"/>
      <c r="N127" s="1292"/>
      <c r="O127" s="1292"/>
    </row>
    <row r="128" spans="1:15" x14ac:dyDescent="0.25">
      <c r="K128" s="1222">
        <v>2014</v>
      </c>
      <c r="L128" s="1228">
        <v>171.79323548181239</v>
      </c>
      <c r="N128" s="1292"/>
      <c r="O128" s="1292"/>
    </row>
    <row r="129" spans="1:15" x14ac:dyDescent="0.25">
      <c r="K129" s="1222">
        <v>2015</v>
      </c>
      <c r="L129" s="1228">
        <v>168.98532227185709</v>
      </c>
      <c r="N129" s="1292"/>
      <c r="O129" s="1292"/>
    </row>
    <row r="130" spans="1:15" ht="13.8" thickBot="1" x14ac:dyDescent="0.3">
      <c r="K130" s="1229">
        <v>2016</v>
      </c>
      <c r="L130" s="1230">
        <v>170.4530950861519</v>
      </c>
      <c r="M130" s="1291"/>
      <c r="N130" s="1292"/>
      <c r="O130" s="1292"/>
    </row>
    <row r="131" spans="1:15" ht="13.8" thickTop="1" x14ac:dyDescent="0.25">
      <c r="K131" s="305" t="s">
        <v>1205</v>
      </c>
    </row>
    <row r="132" spans="1:15" ht="13.8" thickBot="1" x14ac:dyDescent="0.3">
      <c r="K132" s="305" t="s">
        <v>1233</v>
      </c>
    </row>
    <row r="133" spans="1:15" ht="28.2" thickBot="1" x14ac:dyDescent="0.3">
      <c r="A133" s="1429" t="s">
        <v>1104</v>
      </c>
      <c r="B133" s="1430"/>
      <c r="C133" s="1430"/>
      <c r="D133" s="1430"/>
      <c r="E133" s="1430"/>
      <c r="F133" s="1430"/>
      <c r="G133" s="1430"/>
      <c r="H133" s="1430"/>
      <c r="I133" s="1431"/>
    </row>
    <row r="134" spans="1:15" ht="52.8" x14ac:dyDescent="0.25">
      <c r="A134" s="1413"/>
      <c r="B134" s="605"/>
      <c r="C134" s="1755" t="s">
        <v>124</v>
      </c>
      <c r="D134" s="1755"/>
      <c r="E134" s="1755"/>
      <c r="F134" s="1756" t="s">
        <v>125</v>
      </c>
      <c r="G134" s="1755"/>
      <c r="H134" s="1757"/>
      <c r="I134" s="1414" t="s">
        <v>126</v>
      </c>
    </row>
    <row r="135" spans="1:15" ht="30" customHeight="1" thickBot="1" x14ac:dyDescent="0.3">
      <c r="A135" s="580" t="s">
        <v>127</v>
      </c>
      <c r="B135" s="606" t="s">
        <v>128</v>
      </c>
      <c r="C135" s="607" t="s">
        <v>129</v>
      </c>
      <c r="D135" s="607" t="s">
        <v>398</v>
      </c>
      <c r="E135" s="607" t="s">
        <v>399</v>
      </c>
      <c r="F135" s="580" t="s">
        <v>403</v>
      </c>
      <c r="G135" s="581" t="s">
        <v>404</v>
      </c>
      <c r="H135" s="582" t="s">
        <v>405</v>
      </c>
      <c r="I135" s="1415" t="s">
        <v>130</v>
      </c>
    </row>
    <row r="136" spans="1:15" x14ac:dyDescent="0.25">
      <c r="A136" s="1416" t="s">
        <v>1086</v>
      </c>
      <c r="B136" s="608" t="s">
        <v>131</v>
      </c>
      <c r="C136" s="841">
        <f t="shared" ref="C136:I145" si="8">+AVERAGEIFS(D$165:D$524,$B$165:$B$524,$A136,$C$165:$C$524,"&gt;="&amp;startup_year,$C$165:$C$524,"&lt;="&amp;(startup_year+anal_period))</f>
        <v>1092428.5714285714</v>
      </c>
      <c r="D136" s="842">
        <f t="shared" si="8"/>
        <v>1092000</v>
      </c>
      <c r="E136" s="843">
        <f t="shared" si="8"/>
        <v>3986.5714285714284</v>
      </c>
      <c r="F136" s="844">
        <f t="shared" si="8"/>
        <v>5.7707285714285712</v>
      </c>
      <c r="G136" s="844">
        <f t="shared" si="8"/>
        <v>0.18463557142857145</v>
      </c>
      <c r="H136" s="844">
        <f t="shared" si="8"/>
        <v>8.6157142857142856E-4</v>
      </c>
      <c r="I136" s="1417">
        <f t="shared" si="8"/>
        <v>11.597300000000001</v>
      </c>
    </row>
    <row r="137" spans="1:15" ht="16.5" customHeight="1" x14ac:dyDescent="0.25">
      <c r="A137" s="1418" t="s">
        <v>283</v>
      </c>
      <c r="B137" s="609" t="s">
        <v>131</v>
      </c>
      <c r="C137" s="845">
        <f t="shared" si="8"/>
        <v>1092428.5714285714</v>
      </c>
      <c r="D137" s="846">
        <f t="shared" si="8"/>
        <v>1092000</v>
      </c>
      <c r="E137" s="847">
        <f t="shared" si="8"/>
        <v>3986.5714285714284</v>
      </c>
      <c r="F137" s="848">
        <f t="shared" si="8"/>
        <v>5.7707285714285712</v>
      </c>
      <c r="G137" s="848">
        <f t="shared" si="8"/>
        <v>0.18463557142857145</v>
      </c>
      <c r="H137" s="848">
        <f t="shared" si="8"/>
        <v>8.6157142857142856E-4</v>
      </c>
      <c r="I137" s="1419">
        <f t="shared" si="8"/>
        <v>11.597300000000001</v>
      </c>
    </row>
    <row r="138" spans="1:15" x14ac:dyDescent="0.25">
      <c r="A138" s="1420" t="s">
        <v>1087</v>
      </c>
      <c r="B138" s="1408" t="s">
        <v>131</v>
      </c>
      <c r="C138" s="1409">
        <f t="shared" si="8"/>
        <v>1092428.5714285714</v>
      </c>
      <c r="D138" s="1410">
        <f t="shared" si="8"/>
        <v>1092000</v>
      </c>
      <c r="E138" s="1411">
        <f t="shared" si="8"/>
        <v>3986.5714285714284</v>
      </c>
      <c r="F138" s="1412">
        <f t="shared" si="8"/>
        <v>5.7707285714285712</v>
      </c>
      <c r="G138" s="1412">
        <f t="shared" si="8"/>
        <v>0.18463557142857145</v>
      </c>
      <c r="H138" s="1412">
        <f t="shared" si="8"/>
        <v>8.6157142857142856E-4</v>
      </c>
      <c r="I138" s="1421">
        <f t="shared" si="8"/>
        <v>11.597300000000001</v>
      </c>
    </row>
    <row r="139" spans="1:15" x14ac:dyDescent="0.25">
      <c r="A139" s="1418" t="s">
        <v>681</v>
      </c>
      <c r="B139" s="610" t="s">
        <v>131</v>
      </c>
      <c r="C139" s="846">
        <f t="shared" si="8"/>
        <v>1092428.5714285714</v>
      </c>
      <c r="D139" s="846">
        <f t="shared" si="8"/>
        <v>1092000</v>
      </c>
      <c r="E139" s="846">
        <f t="shared" si="8"/>
        <v>3986.5714285714284</v>
      </c>
      <c r="F139" s="849">
        <f t="shared" si="8"/>
        <v>5.7707285714285712</v>
      </c>
      <c r="G139" s="848">
        <f t="shared" si="8"/>
        <v>0.18463557142857145</v>
      </c>
      <c r="H139" s="850">
        <f t="shared" si="8"/>
        <v>8.6157142857142856E-4</v>
      </c>
      <c r="I139" s="1419">
        <f t="shared" si="8"/>
        <v>11.597300000000001</v>
      </c>
    </row>
    <row r="140" spans="1:15" x14ac:dyDescent="0.25">
      <c r="A140" s="1418" t="s">
        <v>682</v>
      </c>
      <c r="B140" s="610" t="s">
        <v>1297</v>
      </c>
      <c r="C140" s="846">
        <f t="shared" si="8"/>
        <v>-1186285.7142857143</v>
      </c>
      <c r="D140" s="846">
        <f t="shared" si="8"/>
        <v>0</v>
      </c>
      <c r="E140" s="846">
        <f t="shared" si="8"/>
        <v>0</v>
      </c>
      <c r="F140" s="849">
        <f t="shared" si="8"/>
        <v>-85.798571428571421</v>
      </c>
      <c r="G140" s="848">
        <f t="shared" si="8"/>
        <v>0.54694285714285729</v>
      </c>
      <c r="H140" s="850">
        <f t="shared" si="8"/>
        <v>-1.8306285714285715E-3</v>
      </c>
      <c r="I140" s="1419">
        <f t="shared" si="8"/>
        <v>-70.082857142857137</v>
      </c>
    </row>
    <row r="141" spans="1:15" x14ac:dyDescent="0.25">
      <c r="A141" s="1418" t="s">
        <v>683</v>
      </c>
      <c r="B141" s="610" t="s">
        <v>132</v>
      </c>
      <c r="C141" s="846">
        <f t="shared" si="8"/>
        <v>1805857.142857143</v>
      </c>
      <c r="D141" s="846">
        <f t="shared" si="8"/>
        <v>1392142.857142857</v>
      </c>
      <c r="E141" s="846">
        <f t="shared" si="8"/>
        <v>22850</v>
      </c>
      <c r="F141" s="849">
        <f t="shared" si="8"/>
        <v>144.41857142857143</v>
      </c>
      <c r="G141" s="848">
        <f t="shared" si="8"/>
        <v>0.21479457142857142</v>
      </c>
      <c r="H141" s="850">
        <f t="shared" si="8"/>
        <v>2.1261428571428573E-3</v>
      </c>
      <c r="I141" s="1419">
        <f t="shared" si="8"/>
        <v>150.04142857142855</v>
      </c>
    </row>
    <row r="142" spans="1:15" x14ac:dyDescent="0.25">
      <c r="A142" s="1418" t="s">
        <v>698</v>
      </c>
      <c r="B142" s="610" t="s">
        <v>132</v>
      </c>
      <c r="C142" s="846">
        <f t="shared" si="8"/>
        <v>1805857.142857143</v>
      </c>
      <c r="D142" s="846">
        <f t="shared" si="8"/>
        <v>1392142.857142857</v>
      </c>
      <c r="E142" s="846">
        <f t="shared" si="8"/>
        <v>22850</v>
      </c>
      <c r="F142" s="849">
        <f t="shared" si="8"/>
        <v>144.41857142857143</v>
      </c>
      <c r="G142" s="848">
        <f t="shared" si="8"/>
        <v>0.21479457142857142</v>
      </c>
      <c r="H142" s="850">
        <f t="shared" si="8"/>
        <v>2.1261428571428573E-3</v>
      </c>
      <c r="I142" s="1419">
        <f t="shared" si="8"/>
        <v>150.04142857142855</v>
      </c>
    </row>
    <row r="143" spans="1:15" x14ac:dyDescent="0.25">
      <c r="A143" s="1418" t="s">
        <v>684</v>
      </c>
      <c r="B143" s="610" t="s">
        <v>132</v>
      </c>
      <c r="C143" s="846">
        <f t="shared" si="8"/>
        <v>1805857.142857143</v>
      </c>
      <c r="D143" s="846">
        <f t="shared" si="8"/>
        <v>1392142.857142857</v>
      </c>
      <c r="E143" s="846">
        <f t="shared" si="8"/>
        <v>22850</v>
      </c>
      <c r="F143" s="849">
        <f t="shared" si="8"/>
        <v>144.41857142857143</v>
      </c>
      <c r="G143" s="848">
        <f t="shared" si="8"/>
        <v>0.21479457142857142</v>
      </c>
      <c r="H143" s="850">
        <f t="shared" si="8"/>
        <v>2.1261428571428573E-3</v>
      </c>
      <c r="I143" s="1419">
        <f t="shared" si="8"/>
        <v>150.04142857142855</v>
      </c>
    </row>
    <row r="144" spans="1:15" x14ac:dyDescent="0.25">
      <c r="A144" s="1418" t="s">
        <v>1088</v>
      </c>
      <c r="B144" s="610" t="s">
        <v>133</v>
      </c>
      <c r="C144" s="846">
        <f t="shared" si="8"/>
        <v>1022000</v>
      </c>
      <c r="D144" s="846">
        <f t="shared" si="8"/>
        <v>1021000</v>
      </c>
      <c r="E144" s="846">
        <f t="shared" si="8"/>
        <v>15530</v>
      </c>
      <c r="F144" s="849">
        <f t="shared" si="8"/>
        <v>1.7352142857142856</v>
      </c>
      <c r="G144" s="848">
        <f t="shared" si="8"/>
        <v>0.14097615142857142</v>
      </c>
      <c r="H144" s="850">
        <f t="shared" si="8"/>
        <v>3.3450857142857139E-5</v>
      </c>
      <c r="I144" s="1419">
        <f t="shared" si="8"/>
        <v>5.9950857142857146</v>
      </c>
    </row>
    <row r="145" spans="1:9" x14ac:dyDescent="0.25">
      <c r="A145" s="1418" t="s">
        <v>716</v>
      </c>
      <c r="B145" s="610" t="s">
        <v>133</v>
      </c>
      <c r="C145" s="846">
        <f t="shared" si="8"/>
        <v>1022000</v>
      </c>
      <c r="D145" s="846">
        <f t="shared" si="8"/>
        <v>1021000</v>
      </c>
      <c r="E145" s="846">
        <f t="shared" si="8"/>
        <v>15530</v>
      </c>
      <c r="F145" s="849">
        <f t="shared" si="8"/>
        <v>1.7352142857142856</v>
      </c>
      <c r="G145" s="848">
        <f t="shared" si="8"/>
        <v>0.14097615142857142</v>
      </c>
      <c r="H145" s="850">
        <f t="shared" si="8"/>
        <v>3.3450857142857139E-5</v>
      </c>
      <c r="I145" s="1419">
        <f t="shared" si="8"/>
        <v>5.9950857142857146</v>
      </c>
    </row>
    <row r="146" spans="1:9" x14ac:dyDescent="0.25">
      <c r="A146" s="1418" t="s">
        <v>717</v>
      </c>
      <c r="B146" s="610" t="s">
        <v>133</v>
      </c>
      <c r="C146" s="846">
        <f t="shared" ref="C146:I153" si="9">+AVERAGEIFS(D$165:D$524,$B$165:$B$524,$A146,$C$165:$C$524,"&gt;="&amp;startup_year,$C$165:$C$524,"&lt;="&amp;(startup_year+anal_period))</f>
        <v>1022000</v>
      </c>
      <c r="D146" s="846">
        <f t="shared" si="9"/>
        <v>1021000</v>
      </c>
      <c r="E146" s="846">
        <f t="shared" si="9"/>
        <v>15530</v>
      </c>
      <c r="F146" s="849">
        <f t="shared" si="9"/>
        <v>1.7352142857142856</v>
      </c>
      <c r="G146" s="848">
        <f t="shared" si="9"/>
        <v>0.14097615142857142</v>
      </c>
      <c r="H146" s="850">
        <f t="shared" si="9"/>
        <v>3.3450857142857139E-5</v>
      </c>
      <c r="I146" s="1419">
        <f t="shared" si="9"/>
        <v>5.9950857142857146</v>
      </c>
    </row>
    <row r="147" spans="1:9" x14ac:dyDescent="0.25">
      <c r="A147" s="1418" t="s">
        <v>913</v>
      </c>
      <c r="B147" s="610" t="s">
        <v>134</v>
      </c>
      <c r="C147" s="846">
        <f t="shared" si="9"/>
        <v>1209571.4285714286</v>
      </c>
      <c r="D147" s="846">
        <f t="shared" si="9"/>
        <v>1202857.142857143</v>
      </c>
      <c r="E147" s="846">
        <f t="shared" si="9"/>
        <v>1052142.857142857</v>
      </c>
      <c r="F147" s="849">
        <f t="shared" si="9"/>
        <v>18.241142857142858</v>
      </c>
      <c r="G147" s="848">
        <f t="shared" si="9"/>
        <v>0.16393314285714286</v>
      </c>
      <c r="H147" s="850">
        <f t="shared" si="9"/>
        <v>2.9462999999999999E-4</v>
      </c>
      <c r="I147" s="1419">
        <f t="shared" si="9"/>
        <v>23.269000000000002</v>
      </c>
    </row>
    <row r="148" spans="1:9" x14ac:dyDescent="0.25">
      <c r="A148" s="1418" t="s">
        <v>911</v>
      </c>
      <c r="B148" s="610" t="s">
        <v>1105</v>
      </c>
      <c r="C148" s="846">
        <f t="shared" si="9"/>
        <v>1595000</v>
      </c>
      <c r="D148" s="846">
        <f t="shared" si="9"/>
        <v>701814.28571428568</v>
      </c>
      <c r="E148" s="846">
        <f t="shared" si="9"/>
        <v>286814.28571428574</v>
      </c>
      <c r="F148" s="849">
        <f t="shared" si="9"/>
        <v>38.889714285714284</v>
      </c>
      <c r="G148" s="848">
        <f t="shared" si="9"/>
        <v>0.11244285714285715</v>
      </c>
      <c r="H148" s="850">
        <f t="shared" si="9"/>
        <v>2.5675714285714291E-2</v>
      </c>
      <c r="I148" s="1419">
        <f t="shared" si="9"/>
        <v>45.941428571428574</v>
      </c>
    </row>
    <row r="149" spans="1:9" x14ac:dyDescent="0.25">
      <c r="A149" s="1418" t="s">
        <v>914</v>
      </c>
      <c r="B149" s="610" t="s">
        <v>134</v>
      </c>
      <c r="C149" s="846">
        <f t="shared" si="9"/>
        <v>1250571.4285714286</v>
      </c>
      <c r="D149" s="846">
        <f t="shared" si="9"/>
        <v>1243000</v>
      </c>
      <c r="E149" s="846">
        <f t="shared" si="9"/>
        <v>1078428.5714285714</v>
      </c>
      <c r="F149" s="849">
        <f t="shared" si="9"/>
        <v>24.139571428571426</v>
      </c>
      <c r="G149" s="848">
        <f t="shared" si="9"/>
        <v>0.16961914285714288</v>
      </c>
      <c r="H149" s="850">
        <f t="shared" si="9"/>
        <v>3.828957142857143E-4</v>
      </c>
      <c r="I149" s="1419">
        <f t="shared" si="9"/>
        <v>29.461285714285712</v>
      </c>
    </row>
    <row r="150" spans="1:9" x14ac:dyDescent="0.25">
      <c r="A150" s="1418" t="s">
        <v>1082</v>
      </c>
      <c r="B150" s="610" t="s">
        <v>1298</v>
      </c>
      <c r="C150" s="846">
        <f t="shared" si="9"/>
        <v>1190142.857142857</v>
      </c>
      <c r="D150" s="846">
        <f t="shared" si="9"/>
        <v>51982.857142857145</v>
      </c>
      <c r="E150" s="846">
        <f t="shared" si="9"/>
        <v>29331.428571428572</v>
      </c>
      <c r="F150" s="849">
        <f t="shared" si="9"/>
        <v>3.8235857142857141</v>
      </c>
      <c r="G150" s="848">
        <f t="shared" si="9"/>
        <v>8.4691714285714276E-3</v>
      </c>
      <c r="H150" s="850">
        <f t="shared" si="9"/>
        <v>-3.8252005714285715E-3</v>
      </c>
      <c r="I150" s="1419">
        <f t="shared" si="9"/>
        <v>3.0757142857142861</v>
      </c>
    </row>
    <row r="151" spans="1:9" x14ac:dyDescent="0.25">
      <c r="A151" s="1418" t="s">
        <v>815</v>
      </c>
      <c r="B151" s="610" t="s">
        <v>1298</v>
      </c>
      <c r="C151" s="846">
        <f t="shared" si="9"/>
        <v>1190142.857142857</v>
      </c>
      <c r="D151" s="846">
        <f t="shared" si="9"/>
        <v>51982.857142857145</v>
      </c>
      <c r="E151" s="846">
        <f t="shared" si="9"/>
        <v>29331.428571428572</v>
      </c>
      <c r="F151" s="849">
        <f t="shared" si="9"/>
        <v>3.8235857142857141</v>
      </c>
      <c r="G151" s="848">
        <f t="shared" si="9"/>
        <v>8.4691714285714276E-3</v>
      </c>
      <c r="H151" s="850">
        <f t="shared" si="9"/>
        <v>-3.8252005714285715E-3</v>
      </c>
      <c r="I151" s="1419">
        <f t="shared" si="9"/>
        <v>3.0757142857142861</v>
      </c>
    </row>
    <row r="152" spans="1:9" x14ac:dyDescent="0.25">
      <c r="A152" s="1418" t="s">
        <v>824</v>
      </c>
      <c r="B152" s="610" t="s">
        <v>1298</v>
      </c>
      <c r="C152" s="846">
        <f t="shared" si="9"/>
        <v>1190142.857142857</v>
      </c>
      <c r="D152" s="846">
        <f t="shared" si="9"/>
        <v>51982.857142857145</v>
      </c>
      <c r="E152" s="846">
        <f t="shared" si="9"/>
        <v>29331.428571428572</v>
      </c>
      <c r="F152" s="849">
        <f t="shared" si="9"/>
        <v>3.8235857142857141</v>
      </c>
      <c r="G152" s="848">
        <f t="shared" si="9"/>
        <v>8.4691714285714276E-3</v>
      </c>
      <c r="H152" s="850">
        <f t="shared" si="9"/>
        <v>-3.8252005714285715E-3</v>
      </c>
      <c r="I152" s="1419">
        <f t="shared" si="9"/>
        <v>3.0757142857142861</v>
      </c>
    </row>
    <row r="153" spans="1:9" ht="13.8" thickBot="1" x14ac:dyDescent="0.3">
      <c r="A153" s="1422" t="s">
        <v>1089</v>
      </c>
      <c r="B153" s="1423" t="s">
        <v>1299</v>
      </c>
      <c r="C153" s="1424">
        <f t="shared" si="9"/>
        <v>1384142.857142857</v>
      </c>
      <c r="D153" s="1424">
        <f t="shared" si="9"/>
        <v>1383285.7142857143</v>
      </c>
      <c r="E153" s="1424">
        <f t="shared" si="9"/>
        <v>5053.4285714285716</v>
      </c>
      <c r="F153" s="1425">
        <f t="shared" si="9"/>
        <v>78.613200000000006</v>
      </c>
      <c r="G153" s="1426">
        <f t="shared" si="9"/>
        <v>0.27492571428571427</v>
      </c>
      <c r="H153" s="1427">
        <f t="shared" si="9"/>
        <v>2.3312142857142859E-3</v>
      </c>
      <c r="I153" s="1428">
        <f t="shared" si="9"/>
        <v>87.636585714285715</v>
      </c>
    </row>
    <row r="162" spans="2:10" ht="13.8" thickBot="1" x14ac:dyDescent="0.3">
      <c r="B162" s="305" t="s">
        <v>1296</v>
      </c>
    </row>
    <row r="163" spans="2:10" ht="39.6" x14ac:dyDescent="0.25">
      <c r="D163" s="1390" t="s">
        <v>124</v>
      </c>
      <c r="E163" s="1391"/>
      <c r="F163" s="1392"/>
      <c r="G163" s="1390" t="s">
        <v>125</v>
      </c>
      <c r="H163" s="1391"/>
      <c r="I163" s="1391"/>
      <c r="J163" s="1392" t="s">
        <v>126</v>
      </c>
    </row>
    <row r="164" spans="2:10" ht="13.8" thickBot="1" x14ac:dyDescent="0.3">
      <c r="B164" s="1" t="s">
        <v>248</v>
      </c>
      <c r="C164" s="1" t="s">
        <v>1085</v>
      </c>
      <c r="D164" s="1393" t="s">
        <v>129</v>
      </c>
      <c r="E164" s="1394" t="s">
        <v>398</v>
      </c>
      <c r="F164" s="1395" t="s">
        <v>399</v>
      </c>
      <c r="G164" s="1393" t="s">
        <v>403</v>
      </c>
      <c r="H164" s="1394" t="s">
        <v>404</v>
      </c>
      <c r="I164" s="1394" t="s">
        <v>405</v>
      </c>
      <c r="J164" s="1395" t="s">
        <v>130</v>
      </c>
    </row>
    <row r="165" spans="2:10" x14ac:dyDescent="0.25">
      <c r="B165" s="1396" t="s">
        <v>1086</v>
      </c>
      <c r="C165" s="1397">
        <v>2005</v>
      </c>
      <c r="D165" s="1396">
        <v>1094000</v>
      </c>
      <c r="E165" s="1398">
        <v>1094000</v>
      </c>
      <c r="F165" s="1399">
        <v>4252</v>
      </c>
      <c r="G165" s="1396">
        <v>5.9984999999999999</v>
      </c>
      <c r="H165" s="1398">
        <v>0.18232600000000002</v>
      </c>
      <c r="I165" s="1398">
        <v>8.8801999999999994E-5</v>
      </c>
      <c r="J165" s="1399">
        <v>11.536999999999999</v>
      </c>
    </row>
    <row r="166" spans="2:10" x14ac:dyDescent="0.25">
      <c r="B166" s="1400" t="s">
        <v>283</v>
      </c>
      <c r="C166" s="1401">
        <v>2005</v>
      </c>
      <c r="D166" s="1400">
        <v>1094000</v>
      </c>
      <c r="E166" s="1402">
        <v>1094000</v>
      </c>
      <c r="F166" s="1403">
        <v>4252</v>
      </c>
      <c r="G166" s="1400">
        <v>5.9984999999999999</v>
      </c>
      <c r="H166" s="1402">
        <v>0.18232600000000002</v>
      </c>
      <c r="I166" s="1402">
        <v>8.8801999999999994E-5</v>
      </c>
      <c r="J166" s="1403">
        <v>11.536999999999999</v>
      </c>
    </row>
    <row r="167" spans="2:10" x14ac:dyDescent="0.25">
      <c r="B167" s="1400" t="s">
        <v>1087</v>
      </c>
      <c r="C167" s="1401">
        <v>2005</v>
      </c>
      <c r="D167" s="1400">
        <v>1094000</v>
      </c>
      <c r="E167" s="1402">
        <v>1094000</v>
      </c>
      <c r="F167" s="1403">
        <v>4252</v>
      </c>
      <c r="G167" s="1400">
        <v>5.9984999999999999</v>
      </c>
      <c r="H167" s="1402">
        <v>0.18232600000000002</v>
      </c>
      <c r="I167" s="1402">
        <v>8.8801999999999994E-5</v>
      </c>
      <c r="J167" s="1403">
        <v>11.536999999999999</v>
      </c>
    </row>
    <row r="168" spans="2:10" x14ac:dyDescent="0.25">
      <c r="B168" s="1400" t="s">
        <v>681</v>
      </c>
      <c r="C168" s="1401">
        <v>2005</v>
      </c>
      <c r="D168" s="1400">
        <v>1094000</v>
      </c>
      <c r="E168" s="1402">
        <v>1094000</v>
      </c>
      <c r="F168" s="1403">
        <v>4252</v>
      </c>
      <c r="G168" s="1400">
        <v>5.9984999999999999</v>
      </c>
      <c r="H168" s="1402">
        <v>0.18232600000000002</v>
      </c>
      <c r="I168" s="1402">
        <v>8.8801999999999994E-5</v>
      </c>
      <c r="J168" s="1403">
        <v>11.536999999999999</v>
      </c>
    </row>
    <row r="169" spans="2:10" x14ac:dyDescent="0.25">
      <c r="B169" s="1400" t="s">
        <v>682</v>
      </c>
      <c r="C169" s="1401">
        <v>2005</v>
      </c>
      <c r="D169" s="1400">
        <v>-1208000</v>
      </c>
      <c r="E169" s="1402">
        <v>0</v>
      </c>
      <c r="F169" s="1403">
        <v>0</v>
      </c>
      <c r="G169" s="1400">
        <v>-85.789999999999992</v>
      </c>
      <c r="H169" s="1402">
        <v>0.54689999999999994</v>
      </c>
      <c r="I169" s="1402">
        <v>-1.4884E-3</v>
      </c>
      <c r="J169" s="1403">
        <v>-70</v>
      </c>
    </row>
    <row r="170" spans="2:10" x14ac:dyDescent="0.25">
      <c r="B170" s="1400" t="s">
        <v>683</v>
      </c>
      <c r="C170" s="1401">
        <v>2005</v>
      </c>
      <c r="D170" s="1400">
        <v>2475000</v>
      </c>
      <c r="E170" s="1402">
        <v>2129000</v>
      </c>
      <c r="F170" s="1403">
        <v>124000</v>
      </c>
      <c r="G170" s="1400">
        <v>251.83</v>
      </c>
      <c r="H170" s="1402">
        <v>0.31369799999999998</v>
      </c>
      <c r="I170" s="1402">
        <v>3.6604999999999997E-3</v>
      </c>
      <c r="J170" s="1403">
        <v>255.85999999999999</v>
      </c>
    </row>
    <row r="171" spans="2:10" x14ac:dyDescent="0.25">
      <c r="B171" s="1400" t="s">
        <v>698</v>
      </c>
      <c r="C171" s="1401">
        <v>2005</v>
      </c>
      <c r="D171" s="1400">
        <v>2475000</v>
      </c>
      <c r="E171" s="1402">
        <v>2129000</v>
      </c>
      <c r="F171" s="1403">
        <v>124000</v>
      </c>
      <c r="G171" s="1400">
        <v>251.83</v>
      </c>
      <c r="H171" s="1402">
        <v>0.31369799999999998</v>
      </c>
      <c r="I171" s="1402">
        <v>3.6604999999999997E-3</v>
      </c>
      <c r="J171" s="1403">
        <v>255.85999999999999</v>
      </c>
    </row>
    <row r="172" spans="2:10" x14ac:dyDescent="0.25">
      <c r="B172" s="1400" t="s">
        <v>684</v>
      </c>
      <c r="C172" s="1401">
        <v>2005</v>
      </c>
      <c r="D172" s="1400">
        <v>2475000</v>
      </c>
      <c r="E172" s="1402">
        <v>2129000</v>
      </c>
      <c r="F172" s="1403">
        <v>124000</v>
      </c>
      <c r="G172" s="1400">
        <v>251.83</v>
      </c>
      <c r="H172" s="1402">
        <v>0.31369799999999998</v>
      </c>
      <c r="I172" s="1402">
        <v>3.6604999999999997E-3</v>
      </c>
      <c r="J172" s="1403">
        <v>255.85999999999999</v>
      </c>
    </row>
    <row r="173" spans="2:10" x14ac:dyDescent="0.25">
      <c r="B173" s="1400" t="s">
        <v>1088</v>
      </c>
      <c r="C173" s="1401">
        <v>2005</v>
      </c>
      <c r="D173" s="1400">
        <v>1023000</v>
      </c>
      <c r="E173" s="1402">
        <v>1022000</v>
      </c>
      <c r="F173" s="1403">
        <v>15840</v>
      </c>
      <c r="G173" s="1400">
        <v>1.9352</v>
      </c>
      <c r="H173" s="1402">
        <v>0.14136591000000001</v>
      </c>
      <c r="I173" s="1402">
        <v>3.6392E-5</v>
      </c>
      <c r="J173" s="1403">
        <v>6.2023000000000001</v>
      </c>
    </row>
    <row r="174" spans="2:10" x14ac:dyDescent="0.25">
      <c r="B174" s="1400" t="s">
        <v>716</v>
      </c>
      <c r="C174" s="1401">
        <v>2005</v>
      </c>
      <c r="D174" s="1400">
        <v>1023000</v>
      </c>
      <c r="E174" s="1402">
        <v>1022000</v>
      </c>
      <c r="F174" s="1403">
        <v>15840</v>
      </c>
      <c r="G174" s="1400">
        <v>1.9352</v>
      </c>
      <c r="H174" s="1402">
        <v>0.14136591000000001</v>
      </c>
      <c r="I174" s="1402">
        <v>3.6392E-5</v>
      </c>
      <c r="J174" s="1403">
        <v>6.2023000000000001</v>
      </c>
    </row>
    <row r="175" spans="2:10" x14ac:dyDescent="0.25">
      <c r="B175" s="1400" t="s">
        <v>717</v>
      </c>
      <c r="C175" s="1401">
        <v>2005</v>
      </c>
      <c r="D175" s="1400">
        <v>1023000</v>
      </c>
      <c r="E175" s="1402">
        <v>1022000</v>
      </c>
      <c r="F175" s="1403">
        <v>15840</v>
      </c>
      <c r="G175" s="1400">
        <v>1.9352</v>
      </c>
      <c r="H175" s="1402">
        <v>0.14136591000000001</v>
      </c>
      <c r="I175" s="1402">
        <v>3.6392E-5</v>
      </c>
      <c r="J175" s="1403">
        <v>6.2023000000000001</v>
      </c>
    </row>
    <row r="176" spans="2:10" x14ac:dyDescent="0.25">
      <c r="B176" s="1400" t="s">
        <v>913</v>
      </c>
      <c r="C176" s="1401">
        <v>2005</v>
      </c>
      <c r="D176" s="1400">
        <v>1205000</v>
      </c>
      <c r="E176" s="1402">
        <v>1200000</v>
      </c>
      <c r="F176" s="1403">
        <v>1056000</v>
      </c>
      <c r="G176" s="1400">
        <v>18.433</v>
      </c>
      <c r="H176" s="1402">
        <v>0.18217</v>
      </c>
      <c r="I176" s="1402">
        <v>2.0549999999999998E-4</v>
      </c>
      <c r="J176" s="1403">
        <v>23.908999999999999</v>
      </c>
    </row>
    <row r="177" spans="2:10" x14ac:dyDescent="0.25">
      <c r="B177" s="1400" t="s">
        <v>911</v>
      </c>
      <c r="C177" s="1401">
        <v>2005</v>
      </c>
      <c r="D177" s="1400">
        <v>1760000</v>
      </c>
      <c r="E177" s="1402">
        <v>783400</v>
      </c>
      <c r="F177" s="1403">
        <v>307400</v>
      </c>
      <c r="G177" s="1400">
        <v>47.923999999999999</v>
      </c>
      <c r="H177" s="1402">
        <v>0.13161500000000001</v>
      </c>
      <c r="I177" s="1402">
        <v>3.3619999999999997E-2</v>
      </c>
      <c r="J177" s="1403">
        <v>56.43</v>
      </c>
    </row>
    <row r="178" spans="2:10" x14ac:dyDescent="0.25">
      <c r="B178" s="1400" t="s">
        <v>914</v>
      </c>
      <c r="C178" s="1401">
        <v>2005</v>
      </c>
      <c r="D178" s="1400">
        <v>1248000</v>
      </c>
      <c r="E178" s="1402">
        <v>1242000</v>
      </c>
      <c r="F178" s="1403">
        <v>1084000</v>
      </c>
      <c r="G178" s="1400">
        <v>24.465</v>
      </c>
      <c r="H178" s="1402">
        <v>0.18840200000000001</v>
      </c>
      <c r="I178" s="1402">
        <v>2.7361999999999997E-4</v>
      </c>
      <c r="J178" s="1403">
        <v>30.237000000000002</v>
      </c>
    </row>
    <row r="179" spans="2:10" x14ac:dyDescent="0.25">
      <c r="B179" s="1400" t="s">
        <v>1082</v>
      </c>
      <c r="C179" s="1401">
        <v>2005</v>
      </c>
      <c r="D179" s="1400">
        <v>1195000</v>
      </c>
      <c r="E179" s="1402">
        <v>56800</v>
      </c>
      <c r="F179" s="1403">
        <v>32280</v>
      </c>
      <c r="G179" s="1400">
        <v>4.3339999999999996</v>
      </c>
      <c r="H179" s="1402">
        <v>9.434399999999999E-3</v>
      </c>
      <c r="I179" s="1402">
        <v>-3.8369229999999999E-3</v>
      </c>
      <c r="J179" s="1403">
        <v>3.6147</v>
      </c>
    </row>
    <row r="180" spans="2:10" x14ac:dyDescent="0.25">
      <c r="B180" s="1400" t="s">
        <v>815</v>
      </c>
      <c r="C180" s="1401">
        <v>2005</v>
      </c>
      <c r="D180" s="1400">
        <v>1195000</v>
      </c>
      <c r="E180" s="1402">
        <v>56800</v>
      </c>
      <c r="F180" s="1403">
        <v>32280</v>
      </c>
      <c r="G180" s="1400">
        <v>4.3339999999999996</v>
      </c>
      <c r="H180" s="1402">
        <v>9.434399999999999E-3</v>
      </c>
      <c r="I180" s="1402">
        <v>-3.8369229999999999E-3</v>
      </c>
      <c r="J180" s="1403">
        <v>3.6147</v>
      </c>
    </row>
    <row r="181" spans="2:10" x14ac:dyDescent="0.25">
      <c r="B181" s="1400" t="s">
        <v>824</v>
      </c>
      <c r="C181" s="1401">
        <v>2005</v>
      </c>
      <c r="D181" s="1400">
        <v>1195000</v>
      </c>
      <c r="E181" s="1402">
        <v>56800</v>
      </c>
      <c r="F181" s="1403">
        <v>32280</v>
      </c>
      <c r="G181" s="1400">
        <v>4.3339999999999996</v>
      </c>
      <c r="H181" s="1402">
        <v>9.434399999999999E-3</v>
      </c>
      <c r="I181" s="1402">
        <v>-3.8369229999999999E-3</v>
      </c>
      <c r="J181" s="1403">
        <v>3.6147</v>
      </c>
    </row>
    <row r="182" spans="2:10" ht="13.8" thickBot="1" x14ac:dyDescent="0.3">
      <c r="B182" s="1404" t="s">
        <v>1089</v>
      </c>
      <c r="C182" s="1405">
        <v>2005</v>
      </c>
      <c r="D182" s="1404">
        <v>1387000</v>
      </c>
      <c r="E182" s="1406">
        <v>1386000</v>
      </c>
      <c r="F182" s="1407">
        <v>5427</v>
      </c>
      <c r="G182" s="1404">
        <v>78.934799999999996</v>
      </c>
      <c r="H182" s="1406">
        <v>0.27050000000000002</v>
      </c>
      <c r="I182" s="1406">
        <v>1.418723E-3</v>
      </c>
      <c r="J182" s="1407">
        <v>87.571399999999997</v>
      </c>
    </row>
    <row r="183" spans="2:10" x14ac:dyDescent="0.25">
      <c r="B183" s="1396" t="s">
        <v>1086</v>
      </c>
      <c r="C183" s="1397">
        <v>2010</v>
      </c>
      <c r="D183" s="1396">
        <v>1094000</v>
      </c>
      <c r="E183" s="1398">
        <v>1093000</v>
      </c>
      <c r="F183" s="1399">
        <v>4104</v>
      </c>
      <c r="G183" s="1396">
        <v>5.9177</v>
      </c>
      <c r="H183" s="1398">
        <v>0.18431800000000001</v>
      </c>
      <c r="I183" s="1398">
        <v>8.6370000000000001E-4</v>
      </c>
      <c r="J183" s="1399">
        <v>11.7387</v>
      </c>
    </row>
    <row r="184" spans="2:10" x14ac:dyDescent="0.25">
      <c r="B184" s="1400" t="s">
        <v>283</v>
      </c>
      <c r="C184" s="1401">
        <v>2010</v>
      </c>
      <c r="D184" s="1400">
        <v>1094000</v>
      </c>
      <c r="E184" s="1402">
        <v>1093000</v>
      </c>
      <c r="F184" s="1403">
        <v>4104</v>
      </c>
      <c r="G184" s="1400">
        <v>5.9177</v>
      </c>
      <c r="H184" s="1402">
        <v>0.18431800000000001</v>
      </c>
      <c r="I184" s="1402">
        <v>8.6370000000000001E-4</v>
      </c>
      <c r="J184" s="1403">
        <v>11.7387</v>
      </c>
    </row>
    <row r="185" spans="2:10" x14ac:dyDescent="0.25">
      <c r="B185" s="1400" t="s">
        <v>1087</v>
      </c>
      <c r="C185" s="1401">
        <v>2010</v>
      </c>
      <c r="D185" s="1400">
        <v>1094000</v>
      </c>
      <c r="E185" s="1402">
        <v>1093000</v>
      </c>
      <c r="F185" s="1403">
        <v>4104</v>
      </c>
      <c r="G185" s="1400">
        <v>5.9177</v>
      </c>
      <c r="H185" s="1402">
        <v>0.18431800000000001</v>
      </c>
      <c r="I185" s="1402">
        <v>8.6370000000000001E-4</v>
      </c>
      <c r="J185" s="1403">
        <v>11.7387</v>
      </c>
    </row>
    <row r="186" spans="2:10" x14ac:dyDescent="0.25">
      <c r="B186" s="1400" t="s">
        <v>681</v>
      </c>
      <c r="C186" s="1401">
        <v>2010</v>
      </c>
      <c r="D186" s="1400">
        <v>1094000</v>
      </c>
      <c r="E186" s="1402">
        <v>1093000</v>
      </c>
      <c r="F186" s="1403">
        <v>4104</v>
      </c>
      <c r="G186" s="1400">
        <v>5.9177</v>
      </c>
      <c r="H186" s="1402">
        <v>0.18431800000000001</v>
      </c>
      <c r="I186" s="1402">
        <v>8.6370000000000001E-4</v>
      </c>
      <c r="J186" s="1403">
        <v>11.7387</v>
      </c>
    </row>
    <row r="187" spans="2:10" x14ac:dyDescent="0.25">
      <c r="B187" s="1400" t="s">
        <v>682</v>
      </c>
      <c r="C187" s="1401">
        <v>2010</v>
      </c>
      <c r="D187" s="1400">
        <v>-1208000</v>
      </c>
      <c r="E187" s="1402">
        <v>0</v>
      </c>
      <c r="F187" s="1403">
        <v>0</v>
      </c>
      <c r="G187" s="1400">
        <v>-85.789999999999992</v>
      </c>
      <c r="H187" s="1402">
        <v>0.54600000000000004</v>
      </c>
      <c r="I187" s="1402">
        <v>-1.8614999999999999E-3</v>
      </c>
      <c r="J187" s="1403">
        <v>-70.12</v>
      </c>
    </row>
    <row r="188" spans="2:10" x14ac:dyDescent="0.25">
      <c r="B188" s="1400" t="s">
        <v>683</v>
      </c>
      <c r="C188" s="1401">
        <v>2010</v>
      </c>
      <c r="D188" s="1400">
        <v>2254000</v>
      </c>
      <c r="E188" s="1402">
        <v>1938000</v>
      </c>
      <c r="F188" s="1403">
        <v>52730</v>
      </c>
      <c r="G188" s="1400">
        <v>220.67</v>
      </c>
      <c r="H188" s="1402">
        <v>0.288267</v>
      </c>
      <c r="I188" s="1402">
        <v>3.4012000000000001E-3</v>
      </c>
      <c r="J188" s="1403">
        <v>228.91000000000003</v>
      </c>
    </row>
    <row r="189" spans="2:10" x14ac:dyDescent="0.25">
      <c r="B189" s="1400" t="s">
        <v>698</v>
      </c>
      <c r="C189" s="1401">
        <v>2010</v>
      </c>
      <c r="D189" s="1400">
        <v>2254000</v>
      </c>
      <c r="E189" s="1402">
        <v>1938000</v>
      </c>
      <c r="F189" s="1403">
        <v>52730</v>
      </c>
      <c r="G189" s="1400">
        <v>220.67</v>
      </c>
      <c r="H189" s="1402">
        <v>0.288267</v>
      </c>
      <c r="I189" s="1402">
        <v>3.4012000000000001E-3</v>
      </c>
      <c r="J189" s="1403">
        <v>228.91000000000003</v>
      </c>
    </row>
    <row r="190" spans="2:10" x14ac:dyDescent="0.25">
      <c r="B190" s="1400" t="s">
        <v>684</v>
      </c>
      <c r="C190" s="1401">
        <v>2010</v>
      </c>
      <c r="D190" s="1400">
        <v>2254000</v>
      </c>
      <c r="E190" s="1402">
        <v>1938000</v>
      </c>
      <c r="F190" s="1403">
        <v>52730</v>
      </c>
      <c r="G190" s="1400">
        <v>220.67</v>
      </c>
      <c r="H190" s="1402">
        <v>0.288267</v>
      </c>
      <c r="I190" s="1402">
        <v>3.4012000000000001E-3</v>
      </c>
      <c r="J190" s="1403">
        <v>228.91000000000003</v>
      </c>
    </row>
    <row r="191" spans="2:10" x14ac:dyDescent="0.25">
      <c r="B191" s="1400" t="s">
        <v>1088</v>
      </c>
      <c r="C191" s="1401">
        <v>2010</v>
      </c>
      <c r="D191" s="1400">
        <v>1023000</v>
      </c>
      <c r="E191" s="1402">
        <v>1022000</v>
      </c>
      <c r="F191" s="1403">
        <v>15710</v>
      </c>
      <c r="G191" s="1400">
        <v>1.8761000000000001</v>
      </c>
      <c r="H191" s="1402">
        <v>0.14136795000000002</v>
      </c>
      <c r="I191" s="1402">
        <v>3.5802E-5</v>
      </c>
      <c r="J191" s="1403">
        <v>6.1511000000000005</v>
      </c>
    </row>
    <row r="192" spans="2:10" x14ac:dyDescent="0.25">
      <c r="B192" s="1400" t="s">
        <v>716</v>
      </c>
      <c r="C192" s="1401">
        <v>2010</v>
      </c>
      <c r="D192" s="1400">
        <v>1023000</v>
      </c>
      <c r="E192" s="1402">
        <v>1022000</v>
      </c>
      <c r="F192" s="1403">
        <v>15710</v>
      </c>
      <c r="G192" s="1400">
        <v>1.8761000000000001</v>
      </c>
      <c r="H192" s="1402">
        <v>0.14136795000000002</v>
      </c>
      <c r="I192" s="1402">
        <v>3.5802E-5</v>
      </c>
      <c r="J192" s="1403">
        <v>6.1511000000000005</v>
      </c>
    </row>
    <row r="193" spans="2:10" x14ac:dyDescent="0.25">
      <c r="B193" s="1400" t="s">
        <v>717</v>
      </c>
      <c r="C193" s="1401">
        <v>2010</v>
      </c>
      <c r="D193" s="1400">
        <v>1023000</v>
      </c>
      <c r="E193" s="1402">
        <v>1022000</v>
      </c>
      <c r="F193" s="1403">
        <v>15710</v>
      </c>
      <c r="G193" s="1400">
        <v>1.8761000000000001</v>
      </c>
      <c r="H193" s="1402">
        <v>0.14136795000000002</v>
      </c>
      <c r="I193" s="1402">
        <v>3.5802E-5</v>
      </c>
      <c r="J193" s="1403">
        <v>6.1511000000000005</v>
      </c>
    </row>
    <row r="194" spans="2:10" x14ac:dyDescent="0.25">
      <c r="B194" s="1400" t="s">
        <v>913</v>
      </c>
      <c r="C194" s="1401">
        <v>2010</v>
      </c>
      <c r="D194" s="1400">
        <v>1206000</v>
      </c>
      <c r="E194" s="1402">
        <v>1201000</v>
      </c>
      <c r="F194" s="1403">
        <v>1056000</v>
      </c>
      <c r="G194" s="1400">
        <v>18.166999999999998</v>
      </c>
      <c r="H194" s="1402">
        <v>0.18199899999999999</v>
      </c>
      <c r="I194" s="1402">
        <v>2.9639E-4</v>
      </c>
      <c r="J194" s="1403">
        <v>23.741999999999997</v>
      </c>
    </row>
    <row r="195" spans="2:10" x14ac:dyDescent="0.25">
      <c r="B195" s="1400" t="s">
        <v>911</v>
      </c>
      <c r="C195" s="1401">
        <v>2010</v>
      </c>
      <c r="D195" s="1400">
        <v>1687000</v>
      </c>
      <c r="E195" s="1402">
        <v>740000</v>
      </c>
      <c r="F195" s="1403">
        <v>297100</v>
      </c>
      <c r="G195" s="1400">
        <v>42.921999999999997</v>
      </c>
      <c r="H195" s="1402">
        <v>0.12687100000000001</v>
      </c>
      <c r="I195" s="1402">
        <v>2.955E-2</v>
      </c>
      <c r="J195" s="1403">
        <v>50.54</v>
      </c>
    </row>
    <row r="196" spans="2:10" x14ac:dyDescent="0.25">
      <c r="B196" s="1400" t="s">
        <v>914</v>
      </c>
      <c r="C196" s="1401">
        <v>2010</v>
      </c>
      <c r="D196" s="1400">
        <v>1248000</v>
      </c>
      <c r="E196" s="1402">
        <v>1242000</v>
      </c>
      <c r="F196" s="1403">
        <v>1083000</v>
      </c>
      <c r="G196" s="1400">
        <v>24.158999999999999</v>
      </c>
      <c r="H196" s="1402">
        <v>0.18823500000000001</v>
      </c>
      <c r="I196" s="1402">
        <v>3.8572999999999998E-4</v>
      </c>
      <c r="J196" s="1403">
        <v>30.041</v>
      </c>
    </row>
    <row r="197" spans="2:10" x14ac:dyDescent="0.25">
      <c r="B197" s="1400" t="s">
        <v>1082</v>
      </c>
      <c r="C197" s="1401">
        <v>2010</v>
      </c>
      <c r="D197" s="1400">
        <v>1194000</v>
      </c>
      <c r="E197" s="1402">
        <v>56320</v>
      </c>
      <c r="F197" s="1403">
        <v>32080</v>
      </c>
      <c r="G197" s="1400">
        <v>4.2514000000000003</v>
      </c>
      <c r="H197" s="1402">
        <v>9.6048000000000001E-3</v>
      </c>
      <c r="I197" s="1402">
        <v>-3.820487E-3</v>
      </c>
      <c r="J197" s="1403">
        <v>3.5488999999999997</v>
      </c>
    </row>
    <row r="198" spans="2:10" x14ac:dyDescent="0.25">
      <c r="B198" s="1400" t="s">
        <v>815</v>
      </c>
      <c r="C198" s="1401">
        <v>2010</v>
      </c>
      <c r="D198" s="1400">
        <v>1194000</v>
      </c>
      <c r="E198" s="1402">
        <v>56320</v>
      </c>
      <c r="F198" s="1403">
        <v>32080</v>
      </c>
      <c r="G198" s="1400">
        <v>4.2514000000000003</v>
      </c>
      <c r="H198" s="1402">
        <v>9.6048000000000001E-3</v>
      </c>
      <c r="I198" s="1402">
        <v>-3.820487E-3</v>
      </c>
      <c r="J198" s="1403">
        <v>3.5488999999999997</v>
      </c>
    </row>
    <row r="199" spans="2:10" x14ac:dyDescent="0.25">
      <c r="B199" s="1400" t="s">
        <v>824</v>
      </c>
      <c r="C199" s="1401">
        <v>2010</v>
      </c>
      <c r="D199" s="1400">
        <v>1194000</v>
      </c>
      <c r="E199" s="1402">
        <v>56320</v>
      </c>
      <c r="F199" s="1403">
        <v>32080</v>
      </c>
      <c r="G199" s="1400">
        <v>4.2514000000000003</v>
      </c>
      <c r="H199" s="1402">
        <v>9.6048000000000001E-3</v>
      </c>
      <c r="I199" s="1402">
        <v>-3.820487E-3</v>
      </c>
      <c r="J199" s="1403">
        <v>3.5488999999999997</v>
      </c>
    </row>
    <row r="200" spans="2:10" ht="13.8" thickBot="1" x14ac:dyDescent="0.3">
      <c r="B200" s="1404" t="s">
        <v>1089</v>
      </c>
      <c r="C200" s="1405">
        <v>2010</v>
      </c>
      <c r="D200" s="1404">
        <v>1386000</v>
      </c>
      <c r="E200" s="1406">
        <v>1385000</v>
      </c>
      <c r="F200" s="1407">
        <v>5215</v>
      </c>
      <c r="G200" s="1404">
        <v>78.8352</v>
      </c>
      <c r="H200" s="1406">
        <v>0.27453</v>
      </c>
      <c r="I200" s="1406">
        <v>2.3346E-3</v>
      </c>
      <c r="J200" s="1407">
        <v>87.848799999999997</v>
      </c>
    </row>
    <row r="201" spans="2:10" x14ac:dyDescent="0.25">
      <c r="B201" s="1396" t="s">
        <v>1086</v>
      </c>
      <c r="C201" s="1397">
        <v>2015</v>
      </c>
      <c r="D201" s="1396">
        <v>1093000</v>
      </c>
      <c r="E201" s="1398">
        <v>1092000</v>
      </c>
      <c r="F201" s="1399">
        <v>4020</v>
      </c>
      <c r="G201" s="1396">
        <v>5.8287000000000004</v>
      </c>
      <c r="H201" s="1398">
        <v>0.18472100000000002</v>
      </c>
      <c r="I201" s="1398">
        <v>8.6249999999999999E-4</v>
      </c>
      <c r="J201" s="1399">
        <v>11.659600000000001</v>
      </c>
    </row>
    <row r="202" spans="2:10" x14ac:dyDescent="0.25">
      <c r="B202" s="1400" t="s">
        <v>283</v>
      </c>
      <c r="C202" s="1401">
        <v>2015</v>
      </c>
      <c r="D202" s="1400">
        <v>1093000</v>
      </c>
      <c r="E202" s="1402">
        <v>1092000</v>
      </c>
      <c r="F202" s="1403">
        <v>4020</v>
      </c>
      <c r="G202" s="1400">
        <v>5.8287000000000004</v>
      </c>
      <c r="H202" s="1402">
        <v>0.18472100000000002</v>
      </c>
      <c r="I202" s="1402">
        <v>8.6249999999999999E-4</v>
      </c>
      <c r="J202" s="1403">
        <v>11.659600000000001</v>
      </c>
    </row>
    <row r="203" spans="2:10" x14ac:dyDescent="0.25">
      <c r="B203" s="1400" t="s">
        <v>1087</v>
      </c>
      <c r="C203" s="1401">
        <v>2015</v>
      </c>
      <c r="D203" s="1400">
        <v>1093000</v>
      </c>
      <c r="E203" s="1402">
        <v>1092000</v>
      </c>
      <c r="F203" s="1403">
        <v>4020</v>
      </c>
      <c r="G203" s="1400">
        <v>5.8287000000000004</v>
      </c>
      <c r="H203" s="1402">
        <v>0.18472100000000002</v>
      </c>
      <c r="I203" s="1402">
        <v>8.6249999999999999E-4</v>
      </c>
      <c r="J203" s="1403">
        <v>11.659600000000001</v>
      </c>
    </row>
    <row r="204" spans="2:10" x14ac:dyDescent="0.25">
      <c r="B204" s="1400" t="s">
        <v>681</v>
      </c>
      <c r="C204" s="1401">
        <v>2015</v>
      </c>
      <c r="D204" s="1400">
        <v>1093000</v>
      </c>
      <c r="E204" s="1402">
        <v>1092000</v>
      </c>
      <c r="F204" s="1403">
        <v>4020</v>
      </c>
      <c r="G204" s="1400">
        <v>5.8287000000000004</v>
      </c>
      <c r="H204" s="1402">
        <v>0.18472100000000002</v>
      </c>
      <c r="I204" s="1402">
        <v>8.6249999999999999E-4</v>
      </c>
      <c r="J204" s="1403">
        <v>11.659600000000001</v>
      </c>
    </row>
    <row r="205" spans="2:10" x14ac:dyDescent="0.25">
      <c r="B205" s="1400" t="s">
        <v>682</v>
      </c>
      <c r="C205" s="1401">
        <v>2015</v>
      </c>
      <c r="D205" s="1400">
        <v>-1194000</v>
      </c>
      <c r="E205" s="1402">
        <v>0</v>
      </c>
      <c r="F205" s="1403">
        <v>0</v>
      </c>
      <c r="G205" s="1400">
        <v>-85.789999999999992</v>
      </c>
      <c r="H205" s="1402">
        <v>0.54659999999999997</v>
      </c>
      <c r="I205" s="1402">
        <v>-1.8422E-3</v>
      </c>
      <c r="J205" s="1403">
        <v>-70.099999999999994</v>
      </c>
    </row>
    <row r="206" spans="2:10" x14ac:dyDescent="0.25">
      <c r="B206" s="1400" t="s">
        <v>683</v>
      </c>
      <c r="C206" s="1401">
        <v>2015</v>
      </c>
      <c r="D206" s="1400">
        <v>2038000</v>
      </c>
      <c r="E206" s="1402">
        <v>1688000</v>
      </c>
      <c r="F206" s="1403">
        <v>38920</v>
      </c>
      <c r="G206" s="1400">
        <v>180.61</v>
      </c>
      <c r="H206" s="1402">
        <v>0.25748300000000002</v>
      </c>
      <c r="I206" s="1402">
        <v>2.7356999999999998E-3</v>
      </c>
      <c r="J206" s="1403">
        <v>187.32</v>
      </c>
    </row>
    <row r="207" spans="2:10" x14ac:dyDescent="0.25">
      <c r="B207" s="1400" t="s">
        <v>698</v>
      </c>
      <c r="C207" s="1401">
        <v>2015</v>
      </c>
      <c r="D207" s="1400">
        <v>2038000</v>
      </c>
      <c r="E207" s="1402">
        <v>1688000</v>
      </c>
      <c r="F207" s="1403">
        <v>38920</v>
      </c>
      <c r="G207" s="1400">
        <v>180.61</v>
      </c>
      <c r="H207" s="1402">
        <v>0.25748300000000002</v>
      </c>
      <c r="I207" s="1402">
        <v>2.7356999999999998E-3</v>
      </c>
      <c r="J207" s="1403">
        <v>187.32</v>
      </c>
    </row>
    <row r="208" spans="2:10" x14ac:dyDescent="0.25">
      <c r="B208" s="1400" t="s">
        <v>684</v>
      </c>
      <c r="C208" s="1401">
        <v>2015</v>
      </c>
      <c r="D208" s="1400">
        <v>2038000</v>
      </c>
      <c r="E208" s="1402">
        <v>1688000</v>
      </c>
      <c r="F208" s="1403">
        <v>38920</v>
      </c>
      <c r="G208" s="1400">
        <v>180.61</v>
      </c>
      <c r="H208" s="1402">
        <v>0.25748300000000002</v>
      </c>
      <c r="I208" s="1402">
        <v>2.7356999999999998E-3</v>
      </c>
      <c r="J208" s="1403">
        <v>187.32</v>
      </c>
    </row>
    <row r="209" spans="2:10" x14ac:dyDescent="0.25">
      <c r="B209" s="1400" t="s">
        <v>1088</v>
      </c>
      <c r="C209" s="1401">
        <v>2015</v>
      </c>
      <c r="D209" s="1400">
        <v>1022000</v>
      </c>
      <c r="E209" s="1402">
        <v>1021000</v>
      </c>
      <c r="F209" s="1403">
        <v>15590</v>
      </c>
      <c r="G209" s="1400">
        <v>1.8048999999999999</v>
      </c>
      <c r="H209" s="1402">
        <v>0.14106285999999998</v>
      </c>
      <c r="I209" s="1402">
        <v>3.4603000000000001E-5</v>
      </c>
      <c r="J209" s="1403">
        <v>6.0683999999999996</v>
      </c>
    </row>
    <row r="210" spans="2:10" x14ac:dyDescent="0.25">
      <c r="B210" s="1400" t="s">
        <v>716</v>
      </c>
      <c r="C210" s="1401">
        <v>2015</v>
      </c>
      <c r="D210" s="1400">
        <v>1022000</v>
      </c>
      <c r="E210" s="1402">
        <v>1021000</v>
      </c>
      <c r="F210" s="1403">
        <v>15590</v>
      </c>
      <c r="G210" s="1400">
        <v>1.8048999999999999</v>
      </c>
      <c r="H210" s="1402">
        <v>0.14106285999999998</v>
      </c>
      <c r="I210" s="1402">
        <v>3.4603000000000001E-5</v>
      </c>
      <c r="J210" s="1403">
        <v>6.0683999999999996</v>
      </c>
    </row>
    <row r="211" spans="2:10" x14ac:dyDescent="0.25">
      <c r="B211" s="1400" t="s">
        <v>717</v>
      </c>
      <c r="C211" s="1401">
        <v>2015</v>
      </c>
      <c r="D211" s="1400">
        <v>1022000</v>
      </c>
      <c r="E211" s="1402">
        <v>1021000</v>
      </c>
      <c r="F211" s="1403">
        <v>15590</v>
      </c>
      <c r="G211" s="1400">
        <v>1.8048999999999999</v>
      </c>
      <c r="H211" s="1402">
        <v>0.14106285999999998</v>
      </c>
      <c r="I211" s="1402">
        <v>3.4603000000000001E-5</v>
      </c>
      <c r="J211" s="1403">
        <v>6.0683999999999996</v>
      </c>
    </row>
    <row r="212" spans="2:10" x14ac:dyDescent="0.25">
      <c r="B212" s="1400" t="s">
        <v>913</v>
      </c>
      <c r="C212" s="1401">
        <v>2015</v>
      </c>
      <c r="D212" s="1400">
        <v>1210000</v>
      </c>
      <c r="E212" s="1402">
        <v>1204000</v>
      </c>
      <c r="F212" s="1403">
        <v>1053000</v>
      </c>
      <c r="G212" s="1400">
        <v>18.527999999999999</v>
      </c>
      <c r="H212" s="1402">
        <v>0.16494200000000001</v>
      </c>
      <c r="I212" s="1402">
        <v>2.9771000000000002E-4</v>
      </c>
      <c r="J212" s="1403">
        <v>23.579000000000001</v>
      </c>
    </row>
    <row r="213" spans="2:10" x14ac:dyDescent="0.25">
      <c r="B213" s="1400" t="s">
        <v>911</v>
      </c>
      <c r="C213" s="1401">
        <v>2015</v>
      </c>
      <c r="D213" s="1400">
        <v>1642000</v>
      </c>
      <c r="E213" s="1402">
        <v>724000</v>
      </c>
      <c r="F213" s="1403">
        <v>290600</v>
      </c>
      <c r="G213" s="1400">
        <v>41.042999999999999</v>
      </c>
      <c r="H213" s="1402">
        <v>0.1162</v>
      </c>
      <c r="I213" s="1402">
        <v>2.7609999999999999E-2</v>
      </c>
      <c r="J213" s="1403">
        <v>48.36</v>
      </c>
    </row>
    <row r="214" spans="2:10" x14ac:dyDescent="0.25">
      <c r="B214" s="1400" t="s">
        <v>914</v>
      </c>
      <c r="C214" s="1401">
        <v>2015</v>
      </c>
      <c r="D214" s="1400">
        <v>1252000</v>
      </c>
      <c r="E214" s="1402">
        <v>1245000</v>
      </c>
      <c r="F214" s="1403">
        <v>1081000</v>
      </c>
      <c r="G214" s="1400">
        <v>24.462</v>
      </c>
      <c r="H214" s="1402">
        <v>0.17067199999999999</v>
      </c>
      <c r="I214" s="1402">
        <v>3.8633E-4</v>
      </c>
      <c r="J214" s="1403">
        <v>29.811999999999998</v>
      </c>
    </row>
    <row r="215" spans="2:10" x14ac:dyDescent="0.25">
      <c r="B215" s="1400" t="s">
        <v>1082</v>
      </c>
      <c r="C215" s="1401">
        <v>2015</v>
      </c>
      <c r="D215" s="1400">
        <v>1191000</v>
      </c>
      <c r="E215" s="1402">
        <v>53390</v>
      </c>
      <c r="F215" s="1403">
        <v>29910</v>
      </c>
      <c r="G215" s="1400">
        <v>3.9701</v>
      </c>
      <c r="H215" s="1402">
        <v>8.6864999999999998E-3</v>
      </c>
      <c r="I215" s="1402">
        <v>-3.8232459999999998E-3</v>
      </c>
      <c r="J215" s="1403">
        <v>3.2326999999999999</v>
      </c>
    </row>
    <row r="216" spans="2:10" x14ac:dyDescent="0.25">
      <c r="B216" s="1400" t="s">
        <v>815</v>
      </c>
      <c r="C216" s="1401">
        <v>2015</v>
      </c>
      <c r="D216" s="1400">
        <v>1191000</v>
      </c>
      <c r="E216" s="1402">
        <v>53390</v>
      </c>
      <c r="F216" s="1403">
        <v>29910</v>
      </c>
      <c r="G216" s="1400">
        <v>3.9701</v>
      </c>
      <c r="H216" s="1402">
        <v>8.6864999999999998E-3</v>
      </c>
      <c r="I216" s="1402">
        <v>-3.8232459999999998E-3</v>
      </c>
      <c r="J216" s="1403">
        <v>3.2326999999999999</v>
      </c>
    </row>
    <row r="217" spans="2:10" x14ac:dyDescent="0.25">
      <c r="B217" s="1400" t="s">
        <v>824</v>
      </c>
      <c r="C217" s="1401">
        <v>2015</v>
      </c>
      <c r="D217" s="1400">
        <v>1191000</v>
      </c>
      <c r="E217" s="1402">
        <v>53390</v>
      </c>
      <c r="F217" s="1403">
        <v>29910</v>
      </c>
      <c r="G217" s="1400">
        <v>3.9701</v>
      </c>
      <c r="H217" s="1402">
        <v>8.6864999999999998E-3</v>
      </c>
      <c r="I217" s="1402">
        <v>-3.8232459999999998E-3</v>
      </c>
      <c r="J217" s="1403">
        <v>3.2326999999999999</v>
      </c>
    </row>
    <row r="218" spans="2:10" ht="13.8" thickBot="1" x14ac:dyDescent="0.3">
      <c r="B218" s="1404" t="s">
        <v>1089</v>
      </c>
      <c r="C218" s="1405">
        <v>2015</v>
      </c>
      <c r="D218" s="1404">
        <v>1385000</v>
      </c>
      <c r="E218" s="1406">
        <v>1384000</v>
      </c>
      <c r="F218" s="1407">
        <v>5105</v>
      </c>
      <c r="G218" s="1404">
        <v>78.707400000000007</v>
      </c>
      <c r="H218" s="1406">
        <v>0.27494000000000002</v>
      </c>
      <c r="I218" s="1406">
        <v>2.3330999999999998E-3</v>
      </c>
      <c r="J218" s="1407">
        <v>87.730800000000002</v>
      </c>
    </row>
    <row r="219" spans="2:10" x14ac:dyDescent="0.25">
      <c r="B219" s="1396" t="s">
        <v>1086</v>
      </c>
      <c r="C219" s="1397">
        <v>2020</v>
      </c>
      <c r="D219" s="1396">
        <v>1093000</v>
      </c>
      <c r="E219" s="1398">
        <v>1092000</v>
      </c>
      <c r="F219" s="1399">
        <v>3993</v>
      </c>
      <c r="G219" s="1396">
        <v>5.7995000000000001</v>
      </c>
      <c r="H219" s="1398">
        <v>0.18462100000000001</v>
      </c>
      <c r="I219" s="1398">
        <v>8.6209999999999998E-4</v>
      </c>
      <c r="J219" s="1399">
        <v>11.6227</v>
      </c>
    </row>
    <row r="220" spans="2:10" x14ac:dyDescent="0.25">
      <c r="B220" s="1400" t="s">
        <v>283</v>
      </c>
      <c r="C220" s="1401">
        <v>2020</v>
      </c>
      <c r="D220" s="1400">
        <v>1093000</v>
      </c>
      <c r="E220" s="1402">
        <v>1092000</v>
      </c>
      <c r="F220" s="1403">
        <v>3993</v>
      </c>
      <c r="G220" s="1400">
        <v>5.7995000000000001</v>
      </c>
      <c r="H220" s="1402">
        <v>0.18462100000000001</v>
      </c>
      <c r="I220" s="1402">
        <v>8.6209999999999998E-4</v>
      </c>
      <c r="J220" s="1403">
        <v>11.6227</v>
      </c>
    </row>
    <row r="221" spans="2:10" x14ac:dyDescent="0.25">
      <c r="B221" s="1400" t="s">
        <v>1087</v>
      </c>
      <c r="C221" s="1401">
        <v>2020</v>
      </c>
      <c r="D221" s="1400">
        <v>1093000</v>
      </c>
      <c r="E221" s="1402">
        <v>1092000</v>
      </c>
      <c r="F221" s="1403">
        <v>3993</v>
      </c>
      <c r="G221" s="1400">
        <v>5.7995000000000001</v>
      </c>
      <c r="H221" s="1402">
        <v>0.18462100000000001</v>
      </c>
      <c r="I221" s="1402">
        <v>8.6209999999999998E-4</v>
      </c>
      <c r="J221" s="1403">
        <v>11.6227</v>
      </c>
    </row>
    <row r="222" spans="2:10" x14ac:dyDescent="0.25">
      <c r="B222" s="1400" t="s">
        <v>681</v>
      </c>
      <c r="C222" s="1401">
        <v>2020</v>
      </c>
      <c r="D222" s="1400">
        <v>1093000</v>
      </c>
      <c r="E222" s="1402">
        <v>1092000</v>
      </c>
      <c r="F222" s="1403">
        <v>3993</v>
      </c>
      <c r="G222" s="1400">
        <v>5.7995000000000001</v>
      </c>
      <c r="H222" s="1402">
        <v>0.18462100000000001</v>
      </c>
      <c r="I222" s="1402">
        <v>8.6209999999999998E-4</v>
      </c>
      <c r="J222" s="1403">
        <v>11.6227</v>
      </c>
    </row>
    <row r="223" spans="2:10" x14ac:dyDescent="0.25">
      <c r="B223" s="1400" t="s">
        <v>682</v>
      </c>
      <c r="C223" s="1401">
        <v>2020</v>
      </c>
      <c r="D223" s="1400">
        <v>-1185000</v>
      </c>
      <c r="E223" s="1402">
        <v>0</v>
      </c>
      <c r="F223" s="1403">
        <v>0</v>
      </c>
      <c r="G223" s="1400">
        <v>-85.800000000000011</v>
      </c>
      <c r="H223" s="1402">
        <v>0.54700000000000004</v>
      </c>
      <c r="I223" s="1402">
        <v>-1.8286999999999999E-3</v>
      </c>
      <c r="J223" s="1403">
        <v>-70.08</v>
      </c>
    </row>
    <row r="224" spans="2:10" x14ac:dyDescent="0.25">
      <c r="B224" s="1400" t="s">
        <v>683</v>
      </c>
      <c r="C224" s="1401">
        <v>2020</v>
      </c>
      <c r="D224" s="1400">
        <v>1866000</v>
      </c>
      <c r="E224" s="1402">
        <v>1484000</v>
      </c>
      <c r="F224" s="1403">
        <v>26490</v>
      </c>
      <c r="G224" s="1400">
        <v>161.61000000000001</v>
      </c>
      <c r="H224" s="1402">
        <v>0.22423899999999999</v>
      </c>
      <c r="I224" s="1402">
        <v>2.4153E-3</v>
      </c>
      <c r="J224" s="1403">
        <v>168.06</v>
      </c>
    </row>
    <row r="225" spans="2:10" x14ac:dyDescent="0.25">
      <c r="B225" s="1400" t="s">
        <v>698</v>
      </c>
      <c r="C225" s="1401">
        <v>2020</v>
      </c>
      <c r="D225" s="1400">
        <v>1866000</v>
      </c>
      <c r="E225" s="1402">
        <v>1484000</v>
      </c>
      <c r="F225" s="1403">
        <v>26490</v>
      </c>
      <c r="G225" s="1400">
        <v>161.61000000000001</v>
      </c>
      <c r="H225" s="1402">
        <v>0.22423899999999999</v>
      </c>
      <c r="I225" s="1402">
        <v>2.4153E-3</v>
      </c>
      <c r="J225" s="1403">
        <v>168.06</v>
      </c>
    </row>
    <row r="226" spans="2:10" x14ac:dyDescent="0.25">
      <c r="B226" s="1400" t="s">
        <v>684</v>
      </c>
      <c r="C226" s="1401">
        <v>2020</v>
      </c>
      <c r="D226" s="1400">
        <v>1866000</v>
      </c>
      <c r="E226" s="1402">
        <v>1484000</v>
      </c>
      <c r="F226" s="1403">
        <v>26490</v>
      </c>
      <c r="G226" s="1400">
        <v>161.61000000000001</v>
      </c>
      <c r="H226" s="1402">
        <v>0.22423899999999999</v>
      </c>
      <c r="I226" s="1402">
        <v>2.4153E-3</v>
      </c>
      <c r="J226" s="1403">
        <v>168.06</v>
      </c>
    </row>
    <row r="227" spans="2:10" x14ac:dyDescent="0.25">
      <c r="B227" s="1400" t="s">
        <v>1088</v>
      </c>
      <c r="C227" s="1401">
        <v>2020</v>
      </c>
      <c r="D227" s="1400">
        <v>1022000</v>
      </c>
      <c r="E227" s="1402">
        <v>1021000</v>
      </c>
      <c r="F227" s="1403">
        <v>15530</v>
      </c>
      <c r="G227" s="1400">
        <v>1.7706</v>
      </c>
      <c r="H227" s="1402">
        <v>0.14096106</v>
      </c>
      <c r="I227" s="1402">
        <v>3.4058000000000005E-5</v>
      </c>
      <c r="J227" s="1403">
        <v>6.0322999999999993</v>
      </c>
    </row>
    <row r="228" spans="2:10" x14ac:dyDescent="0.25">
      <c r="B228" s="1400" t="s">
        <v>716</v>
      </c>
      <c r="C228" s="1401">
        <v>2020</v>
      </c>
      <c r="D228" s="1400">
        <v>1022000</v>
      </c>
      <c r="E228" s="1402">
        <v>1021000</v>
      </c>
      <c r="F228" s="1403">
        <v>15530</v>
      </c>
      <c r="G228" s="1400">
        <v>1.7706</v>
      </c>
      <c r="H228" s="1402">
        <v>0.14096106</v>
      </c>
      <c r="I228" s="1402">
        <v>3.4058000000000005E-5</v>
      </c>
      <c r="J228" s="1403">
        <v>6.0322999999999993</v>
      </c>
    </row>
    <row r="229" spans="2:10" x14ac:dyDescent="0.25">
      <c r="B229" s="1400" t="s">
        <v>717</v>
      </c>
      <c r="C229" s="1401">
        <v>2020</v>
      </c>
      <c r="D229" s="1400">
        <v>1022000</v>
      </c>
      <c r="E229" s="1402">
        <v>1021000</v>
      </c>
      <c r="F229" s="1403">
        <v>15530</v>
      </c>
      <c r="G229" s="1400">
        <v>1.7706</v>
      </c>
      <c r="H229" s="1402">
        <v>0.14096106</v>
      </c>
      <c r="I229" s="1402">
        <v>3.4058000000000005E-5</v>
      </c>
      <c r="J229" s="1403">
        <v>6.0322999999999993</v>
      </c>
    </row>
    <row r="230" spans="2:10" x14ac:dyDescent="0.25">
      <c r="B230" s="1400" t="s">
        <v>913</v>
      </c>
      <c r="C230" s="1401">
        <v>2020</v>
      </c>
      <c r="D230" s="1400">
        <v>1211000</v>
      </c>
      <c r="E230" s="1402">
        <v>1205000</v>
      </c>
      <c r="F230" s="1403">
        <v>1052000</v>
      </c>
      <c r="G230" s="1400">
        <v>18.605999999999998</v>
      </c>
      <c r="H230" s="1402">
        <v>0.162991</v>
      </c>
      <c r="I230" s="1402">
        <v>3.0018999999999998E-4</v>
      </c>
      <c r="J230" s="1403">
        <v>23.607999999999997</v>
      </c>
    </row>
    <row r="231" spans="2:10" x14ac:dyDescent="0.25">
      <c r="B231" s="1400" t="s">
        <v>911</v>
      </c>
      <c r="C231" s="1401">
        <v>2020</v>
      </c>
      <c r="D231" s="1400">
        <v>1591000</v>
      </c>
      <c r="E231" s="1402">
        <v>703100</v>
      </c>
      <c r="F231" s="1403">
        <v>286400</v>
      </c>
      <c r="G231" s="1400">
        <v>39.366999999999997</v>
      </c>
      <c r="H231" s="1402">
        <v>0.11210000000000001</v>
      </c>
      <c r="I231" s="1402">
        <v>2.5360000000000001E-2</v>
      </c>
      <c r="J231" s="1403">
        <v>46.16</v>
      </c>
    </row>
    <row r="232" spans="2:10" x14ac:dyDescent="0.25">
      <c r="B232" s="1400" t="s">
        <v>914</v>
      </c>
      <c r="C232" s="1401">
        <v>2020</v>
      </c>
      <c r="D232" s="1400">
        <v>1252000</v>
      </c>
      <c r="E232" s="1402">
        <v>1245000</v>
      </c>
      <c r="F232" s="1403">
        <v>1078000</v>
      </c>
      <c r="G232" s="1400">
        <v>24.533999999999999</v>
      </c>
      <c r="H232" s="1402">
        <v>0.16861900000000002</v>
      </c>
      <c r="I232" s="1402">
        <v>3.8906999999999999E-4</v>
      </c>
      <c r="J232" s="1403">
        <v>29.833999999999996</v>
      </c>
    </row>
    <row r="233" spans="2:10" x14ac:dyDescent="0.25">
      <c r="B233" s="1400" t="s">
        <v>1082</v>
      </c>
      <c r="C233" s="1401">
        <v>2020</v>
      </c>
      <c r="D233" s="1400">
        <v>1190000</v>
      </c>
      <c r="E233" s="1402">
        <v>52190</v>
      </c>
      <c r="F233" s="1403">
        <v>29260</v>
      </c>
      <c r="G233" s="1400">
        <v>3.8701999999999996</v>
      </c>
      <c r="H233" s="1402">
        <v>8.4535000000000009E-3</v>
      </c>
      <c r="I233" s="1402">
        <v>-3.824488E-3</v>
      </c>
      <c r="J233" s="1403">
        <v>3.1251000000000002</v>
      </c>
    </row>
    <row r="234" spans="2:10" x14ac:dyDescent="0.25">
      <c r="B234" s="1400" t="s">
        <v>815</v>
      </c>
      <c r="C234" s="1401">
        <v>2020</v>
      </c>
      <c r="D234" s="1400">
        <v>1190000</v>
      </c>
      <c r="E234" s="1402">
        <v>52190</v>
      </c>
      <c r="F234" s="1403">
        <v>29260</v>
      </c>
      <c r="G234" s="1400">
        <v>3.8701999999999996</v>
      </c>
      <c r="H234" s="1402">
        <v>8.4535000000000009E-3</v>
      </c>
      <c r="I234" s="1402">
        <v>-3.824488E-3</v>
      </c>
      <c r="J234" s="1403">
        <v>3.1251000000000002</v>
      </c>
    </row>
    <row r="235" spans="2:10" x14ac:dyDescent="0.25">
      <c r="B235" s="1400" t="s">
        <v>824</v>
      </c>
      <c r="C235" s="1401">
        <v>2020</v>
      </c>
      <c r="D235" s="1400">
        <v>1190000</v>
      </c>
      <c r="E235" s="1402">
        <v>52190</v>
      </c>
      <c r="F235" s="1403">
        <v>29260</v>
      </c>
      <c r="G235" s="1400">
        <v>3.8701999999999996</v>
      </c>
      <c r="H235" s="1402">
        <v>8.4535000000000009E-3</v>
      </c>
      <c r="I235" s="1402">
        <v>-3.824488E-3</v>
      </c>
      <c r="J235" s="1403">
        <v>3.1251000000000002</v>
      </c>
    </row>
    <row r="236" spans="2:10" ht="13.8" thickBot="1" x14ac:dyDescent="0.3">
      <c r="B236" s="1404" t="s">
        <v>1089</v>
      </c>
      <c r="C236" s="1405">
        <v>2020</v>
      </c>
      <c r="D236" s="1404">
        <v>1384000</v>
      </c>
      <c r="E236" s="1406">
        <v>1384000</v>
      </c>
      <c r="F236" s="1407">
        <v>5066</v>
      </c>
      <c r="G236" s="1404">
        <v>78.656899999999993</v>
      </c>
      <c r="H236" s="1406">
        <v>0.27494000000000002</v>
      </c>
      <c r="I236" s="1406">
        <v>2.3319E-3</v>
      </c>
      <c r="J236" s="1407">
        <v>87.680599999999998</v>
      </c>
    </row>
    <row r="237" spans="2:10" x14ac:dyDescent="0.25">
      <c r="B237" s="1396" t="s">
        <v>1086</v>
      </c>
      <c r="C237" s="1397">
        <v>2025</v>
      </c>
      <c r="D237" s="1396">
        <v>1093000</v>
      </c>
      <c r="E237" s="1398">
        <v>1092000</v>
      </c>
      <c r="F237" s="1399">
        <v>3984</v>
      </c>
      <c r="G237" s="1396">
        <v>5.7702</v>
      </c>
      <c r="H237" s="1398">
        <v>0.18462100000000001</v>
      </c>
      <c r="I237" s="1398">
        <v>8.6159999999999991E-4</v>
      </c>
      <c r="J237" s="1399">
        <v>11.5953</v>
      </c>
    </row>
    <row r="238" spans="2:10" x14ac:dyDescent="0.25">
      <c r="B238" s="1400" t="s">
        <v>283</v>
      </c>
      <c r="C238" s="1401">
        <v>2025</v>
      </c>
      <c r="D238" s="1400">
        <v>1093000</v>
      </c>
      <c r="E238" s="1402">
        <v>1092000</v>
      </c>
      <c r="F238" s="1403">
        <v>3984</v>
      </c>
      <c r="G238" s="1400">
        <v>5.7702</v>
      </c>
      <c r="H238" s="1402">
        <v>0.18462100000000001</v>
      </c>
      <c r="I238" s="1402">
        <v>8.6159999999999991E-4</v>
      </c>
      <c r="J238" s="1403">
        <v>11.5953</v>
      </c>
    </row>
    <row r="239" spans="2:10" x14ac:dyDescent="0.25">
      <c r="B239" s="1400" t="s">
        <v>1087</v>
      </c>
      <c r="C239" s="1401">
        <v>2025</v>
      </c>
      <c r="D239" s="1400">
        <v>1093000</v>
      </c>
      <c r="E239" s="1402">
        <v>1092000</v>
      </c>
      <c r="F239" s="1403">
        <v>3984</v>
      </c>
      <c r="G239" s="1400">
        <v>5.7702</v>
      </c>
      <c r="H239" s="1402">
        <v>0.18462100000000001</v>
      </c>
      <c r="I239" s="1402">
        <v>8.6159999999999991E-4</v>
      </c>
      <c r="J239" s="1403">
        <v>11.5953</v>
      </c>
    </row>
    <row r="240" spans="2:10" x14ac:dyDescent="0.25">
      <c r="B240" s="1400" t="s">
        <v>681</v>
      </c>
      <c r="C240" s="1401">
        <v>2025</v>
      </c>
      <c r="D240" s="1400">
        <v>1093000</v>
      </c>
      <c r="E240" s="1402">
        <v>1092000</v>
      </c>
      <c r="F240" s="1403">
        <v>3984</v>
      </c>
      <c r="G240" s="1400">
        <v>5.7702</v>
      </c>
      <c r="H240" s="1402">
        <v>0.18462100000000001</v>
      </c>
      <c r="I240" s="1402">
        <v>8.6159999999999991E-4</v>
      </c>
      <c r="J240" s="1403">
        <v>11.5953</v>
      </c>
    </row>
    <row r="241" spans="2:10" x14ac:dyDescent="0.25">
      <c r="B241" s="1400" t="s">
        <v>682</v>
      </c>
      <c r="C241" s="1401">
        <v>2025</v>
      </c>
      <c r="D241" s="1400">
        <v>-1185000</v>
      </c>
      <c r="E241" s="1402">
        <v>0</v>
      </c>
      <c r="F241" s="1403">
        <v>0</v>
      </c>
      <c r="G241" s="1400">
        <v>-85.800000000000011</v>
      </c>
      <c r="H241" s="1402">
        <v>0.54700000000000004</v>
      </c>
      <c r="I241" s="1402">
        <v>-1.8286999999999999E-3</v>
      </c>
      <c r="J241" s="1403">
        <v>-70.08</v>
      </c>
    </row>
    <row r="242" spans="2:10" x14ac:dyDescent="0.25">
      <c r="B242" s="1400" t="s">
        <v>683</v>
      </c>
      <c r="C242" s="1401">
        <v>2025</v>
      </c>
      <c r="D242" s="1400">
        <v>1787000</v>
      </c>
      <c r="E242" s="1402">
        <v>1356000</v>
      </c>
      <c r="F242" s="1403">
        <v>23200</v>
      </c>
      <c r="G242" s="1400">
        <v>145.11000000000001</v>
      </c>
      <c r="H242" s="1402">
        <v>0.20658799999999999</v>
      </c>
      <c r="I242" s="1402">
        <v>2.1538999999999998E-3</v>
      </c>
      <c r="J242" s="1403">
        <v>150.89999999999998</v>
      </c>
    </row>
    <row r="243" spans="2:10" x14ac:dyDescent="0.25">
      <c r="B243" s="1400" t="s">
        <v>698</v>
      </c>
      <c r="C243" s="1401">
        <v>2025</v>
      </c>
      <c r="D243" s="1400">
        <v>1787000</v>
      </c>
      <c r="E243" s="1402">
        <v>1356000</v>
      </c>
      <c r="F243" s="1403">
        <v>23200</v>
      </c>
      <c r="G243" s="1400">
        <v>145.11000000000001</v>
      </c>
      <c r="H243" s="1402">
        <v>0.20658799999999999</v>
      </c>
      <c r="I243" s="1402">
        <v>2.1538999999999998E-3</v>
      </c>
      <c r="J243" s="1403">
        <v>150.89999999999998</v>
      </c>
    </row>
    <row r="244" spans="2:10" x14ac:dyDescent="0.25">
      <c r="B244" s="1400" t="s">
        <v>684</v>
      </c>
      <c r="C244" s="1401">
        <v>2025</v>
      </c>
      <c r="D244" s="1400">
        <v>1787000</v>
      </c>
      <c r="E244" s="1402">
        <v>1356000</v>
      </c>
      <c r="F244" s="1403">
        <v>23200</v>
      </c>
      <c r="G244" s="1400">
        <v>145.11000000000001</v>
      </c>
      <c r="H244" s="1402">
        <v>0.20658799999999999</v>
      </c>
      <c r="I244" s="1402">
        <v>2.1538999999999998E-3</v>
      </c>
      <c r="J244" s="1403">
        <v>150.89999999999998</v>
      </c>
    </row>
    <row r="245" spans="2:10" x14ac:dyDescent="0.25">
      <c r="B245" s="1400" t="s">
        <v>1088</v>
      </c>
      <c r="C245" s="1401">
        <v>2025</v>
      </c>
      <c r="D245" s="1400">
        <v>1022000</v>
      </c>
      <c r="E245" s="1402">
        <v>1021000</v>
      </c>
      <c r="F245" s="1403">
        <v>15530</v>
      </c>
      <c r="G245" s="1400">
        <v>1.7374000000000001</v>
      </c>
      <c r="H245" s="1402">
        <v>0.14096106999999999</v>
      </c>
      <c r="I245" s="1402">
        <v>3.3522000000000002E-5</v>
      </c>
      <c r="J245" s="1403">
        <v>5.9969999999999999</v>
      </c>
    </row>
    <row r="246" spans="2:10" x14ac:dyDescent="0.25">
      <c r="B246" s="1400" t="s">
        <v>716</v>
      </c>
      <c r="C246" s="1401">
        <v>2025</v>
      </c>
      <c r="D246" s="1400">
        <v>1022000</v>
      </c>
      <c r="E246" s="1402">
        <v>1021000</v>
      </c>
      <c r="F246" s="1403">
        <v>15530</v>
      </c>
      <c r="G246" s="1400">
        <v>1.7374000000000001</v>
      </c>
      <c r="H246" s="1402">
        <v>0.14096106999999999</v>
      </c>
      <c r="I246" s="1402">
        <v>3.3522000000000002E-5</v>
      </c>
      <c r="J246" s="1403">
        <v>5.9969999999999999</v>
      </c>
    </row>
    <row r="247" spans="2:10" x14ac:dyDescent="0.25">
      <c r="B247" s="1400" t="s">
        <v>717</v>
      </c>
      <c r="C247" s="1401">
        <v>2025</v>
      </c>
      <c r="D247" s="1400">
        <v>1022000</v>
      </c>
      <c r="E247" s="1402">
        <v>1021000</v>
      </c>
      <c r="F247" s="1403">
        <v>15530</v>
      </c>
      <c r="G247" s="1400">
        <v>1.7374000000000001</v>
      </c>
      <c r="H247" s="1402">
        <v>0.14096106999999999</v>
      </c>
      <c r="I247" s="1402">
        <v>3.3522000000000002E-5</v>
      </c>
      <c r="J247" s="1403">
        <v>5.9969999999999999</v>
      </c>
    </row>
    <row r="248" spans="2:10" x14ac:dyDescent="0.25">
      <c r="B248" s="1400" t="s">
        <v>913</v>
      </c>
      <c r="C248" s="1401">
        <v>2025</v>
      </c>
      <c r="D248" s="1400">
        <v>1210000</v>
      </c>
      <c r="E248" s="1402">
        <v>1203000</v>
      </c>
      <c r="F248" s="1403">
        <v>1052000</v>
      </c>
      <c r="G248" s="1400">
        <v>18.323</v>
      </c>
      <c r="H248" s="1402">
        <v>0.16309799999999999</v>
      </c>
      <c r="I248" s="1402">
        <v>2.9605000000000001E-4</v>
      </c>
      <c r="J248" s="1403">
        <v>23.334</v>
      </c>
    </row>
    <row r="249" spans="2:10" x14ac:dyDescent="0.25">
      <c r="B249" s="1400" t="s">
        <v>911</v>
      </c>
      <c r="C249" s="1401">
        <v>2025</v>
      </c>
      <c r="D249" s="1400">
        <v>1588000</v>
      </c>
      <c r="E249" s="1402">
        <v>698600</v>
      </c>
      <c r="F249" s="1403">
        <v>286300</v>
      </c>
      <c r="G249" s="1400">
        <v>38.775999999999996</v>
      </c>
      <c r="H249" s="1402">
        <v>0.1116</v>
      </c>
      <c r="I249" s="1402">
        <v>2.5360000000000001E-2</v>
      </c>
      <c r="J249" s="1403">
        <v>45.71</v>
      </c>
    </row>
    <row r="250" spans="2:10" x14ac:dyDescent="0.25">
      <c r="B250" s="1400" t="s">
        <v>914</v>
      </c>
      <c r="C250" s="1401">
        <v>2025</v>
      </c>
      <c r="D250" s="1400">
        <v>1251000</v>
      </c>
      <c r="E250" s="1402">
        <v>1243000</v>
      </c>
      <c r="F250" s="1403">
        <v>1078000</v>
      </c>
      <c r="G250" s="1400">
        <v>24.223999999999997</v>
      </c>
      <c r="H250" s="1402">
        <v>0.16872600000000001</v>
      </c>
      <c r="I250" s="1402">
        <v>3.8451000000000002E-4</v>
      </c>
      <c r="J250" s="1403">
        <v>29.523000000000003</v>
      </c>
    </row>
    <row r="251" spans="2:10" x14ac:dyDescent="0.25">
      <c r="B251" s="1400" t="s">
        <v>1082</v>
      </c>
      <c r="C251" s="1401">
        <v>2025</v>
      </c>
      <c r="D251" s="1400">
        <v>1190000</v>
      </c>
      <c r="E251" s="1402">
        <v>51790</v>
      </c>
      <c r="F251" s="1403">
        <v>29250</v>
      </c>
      <c r="G251" s="1400">
        <v>3.8201000000000001</v>
      </c>
      <c r="H251" s="1402">
        <v>8.410599999999999E-3</v>
      </c>
      <c r="I251" s="1402">
        <v>-3.8247120000000001E-3</v>
      </c>
      <c r="J251" s="1403">
        <v>3.0718000000000001</v>
      </c>
    </row>
    <row r="252" spans="2:10" x14ac:dyDescent="0.25">
      <c r="B252" s="1400" t="s">
        <v>815</v>
      </c>
      <c r="C252" s="1401">
        <v>2025</v>
      </c>
      <c r="D252" s="1400">
        <v>1190000</v>
      </c>
      <c r="E252" s="1402">
        <v>51790</v>
      </c>
      <c r="F252" s="1403">
        <v>29250</v>
      </c>
      <c r="G252" s="1400">
        <v>3.8201000000000001</v>
      </c>
      <c r="H252" s="1402">
        <v>8.410599999999999E-3</v>
      </c>
      <c r="I252" s="1402">
        <v>-3.8247120000000001E-3</v>
      </c>
      <c r="J252" s="1403">
        <v>3.0718000000000001</v>
      </c>
    </row>
    <row r="253" spans="2:10" x14ac:dyDescent="0.25">
      <c r="B253" s="1400" t="s">
        <v>824</v>
      </c>
      <c r="C253" s="1401">
        <v>2025</v>
      </c>
      <c r="D253" s="1400">
        <v>1190000</v>
      </c>
      <c r="E253" s="1402">
        <v>51790</v>
      </c>
      <c r="F253" s="1403">
        <v>29250</v>
      </c>
      <c r="G253" s="1400">
        <v>3.8201000000000001</v>
      </c>
      <c r="H253" s="1402">
        <v>8.410599999999999E-3</v>
      </c>
      <c r="I253" s="1402">
        <v>-3.8247120000000001E-3</v>
      </c>
      <c r="J253" s="1403">
        <v>3.0718000000000001</v>
      </c>
    </row>
    <row r="254" spans="2:10" ht="13.8" thickBot="1" x14ac:dyDescent="0.3">
      <c r="B254" s="1404" t="s">
        <v>1089</v>
      </c>
      <c r="C254" s="1405">
        <v>2025</v>
      </c>
      <c r="D254" s="1404">
        <v>1384000</v>
      </c>
      <c r="E254" s="1406">
        <v>1383000</v>
      </c>
      <c r="F254" s="1407">
        <v>5053</v>
      </c>
      <c r="G254" s="1404">
        <v>78.616100000000003</v>
      </c>
      <c r="H254" s="1406">
        <v>0.27494000000000002</v>
      </c>
      <c r="I254" s="1406">
        <v>2.3316999999999999E-3</v>
      </c>
      <c r="J254" s="1407">
        <v>87.639700000000005</v>
      </c>
    </row>
    <row r="255" spans="2:10" x14ac:dyDescent="0.25">
      <c r="B255" s="1396" t="s">
        <v>1086</v>
      </c>
      <c r="C255" s="1397">
        <v>2030</v>
      </c>
      <c r="D255" s="1396">
        <v>1092000</v>
      </c>
      <c r="E255" s="1398">
        <v>1092000</v>
      </c>
      <c r="F255" s="1399">
        <v>3981</v>
      </c>
      <c r="G255" s="1396">
        <v>5.7552000000000003</v>
      </c>
      <c r="H255" s="1398">
        <v>0.18462100000000001</v>
      </c>
      <c r="I255" s="1398">
        <v>8.6129999999999996E-4</v>
      </c>
      <c r="J255" s="1399">
        <v>11.5802</v>
      </c>
    </row>
    <row r="256" spans="2:10" x14ac:dyDescent="0.25">
      <c r="B256" s="1400" t="s">
        <v>283</v>
      </c>
      <c r="C256" s="1401">
        <v>2030</v>
      </c>
      <c r="D256" s="1400">
        <v>1092000</v>
      </c>
      <c r="E256" s="1402">
        <v>1092000</v>
      </c>
      <c r="F256" s="1403">
        <v>3981</v>
      </c>
      <c r="G256" s="1400">
        <v>5.7552000000000003</v>
      </c>
      <c r="H256" s="1402">
        <v>0.18462100000000001</v>
      </c>
      <c r="I256" s="1402">
        <v>8.6129999999999996E-4</v>
      </c>
      <c r="J256" s="1403">
        <v>11.5802</v>
      </c>
    </row>
    <row r="257" spans="2:10" x14ac:dyDescent="0.25">
      <c r="B257" s="1400" t="s">
        <v>1087</v>
      </c>
      <c r="C257" s="1401">
        <v>2030</v>
      </c>
      <c r="D257" s="1400">
        <v>1092000</v>
      </c>
      <c r="E257" s="1402">
        <v>1092000</v>
      </c>
      <c r="F257" s="1403">
        <v>3981</v>
      </c>
      <c r="G257" s="1400">
        <v>5.7552000000000003</v>
      </c>
      <c r="H257" s="1402">
        <v>0.18462100000000001</v>
      </c>
      <c r="I257" s="1402">
        <v>8.6129999999999996E-4</v>
      </c>
      <c r="J257" s="1403">
        <v>11.5802</v>
      </c>
    </row>
    <row r="258" spans="2:10" x14ac:dyDescent="0.25">
      <c r="B258" s="1400" t="s">
        <v>681</v>
      </c>
      <c r="C258" s="1401">
        <v>2030</v>
      </c>
      <c r="D258" s="1400">
        <v>1092000</v>
      </c>
      <c r="E258" s="1402">
        <v>1092000</v>
      </c>
      <c r="F258" s="1403">
        <v>3981</v>
      </c>
      <c r="G258" s="1400">
        <v>5.7552000000000003</v>
      </c>
      <c r="H258" s="1402">
        <v>0.18462100000000001</v>
      </c>
      <c r="I258" s="1402">
        <v>8.6129999999999996E-4</v>
      </c>
      <c r="J258" s="1403">
        <v>11.5802</v>
      </c>
    </row>
    <row r="259" spans="2:10" x14ac:dyDescent="0.25">
      <c r="B259" s="1400" t="s">
        <v>682</v>
      </c>
      <c r="C259" s="1401">
        <v>2030</v>
      </c>
      <c r="D259" s="1400">
        <v>-1185000</v>
      </c>
      <c r="E259" s="1402">
        <v>0</v>
      </c>
      <c r="F259" s="1403">
        <v>0</v>
      </c>
      <c r="G259" s="1400">
        <v>-85.800000000000011</v>
      </c>
      <c r="H259" s="1402">
        <v>0.54700000000000004</v>
      </c>
      <c r="I259" s="1402">
        <v>-1.8286999999999999E-3</v>
      </c>
      <c r="J259" s="1403">
        <v>-70.08</v>
      </c>
    </row>
    <row r="260" spans="2:10" x14ac:dyDescent="0.25">
      <c r="B260" s="1400" t="s">
        <v>683</v>
      </c>
      <c r="C260" s="1401">
        <v>2030</v>
      </c>
      <c r="D260" s="1400">
        <v>1749000</v>
      </c>
      <c r="E260" s="1402">
        <v>1310000</v>
      </c>
      <c r="F260" s="1403">
        <v>19790</v>
      </c>
      <c r="G260" s="1400">
        <v>134.88</v>
      </c>
      <c r="H260" s="1402">
        <v>0.20275799999999999</v>
      </c>
      <c r="I260" s="1402">
        <v>1.9713E-3</v>
      </c>
      <c r="J260" s="1403">
        <v>140.09</v>
      </c>
    </row>
    <row r="261" spans="2:10" x14ac:dyDescent="0.25">
      <c r="B261" s="1400" t="s">
        <v>698</v>
      </c>
      <c r="C261" s="1401">
        <v>2030</v>
      </c>
      <c r="D261" s="1400">
        <v>1749000</v>
      </c>
      <c r="E261" s="1402">
        <v>1310000</v>
      </c>
      <c r="F261" s="1403">
        <v>19790</v>
      </c>
      <c r="G261" s="1400">
        <v>134.88</v>
      </c>
      <c r="H261" s="1402">
        <v>0.20275799999999999</v>
      </c>
      <c r="I261" s="1402">
        <v>1.9713E-3</v>
      </c>
      <c r="J261" s="1403">
        <v>140.09</v>
      </c>
    </row>
    <row r="262" spans="2:10" x14ac:dyDescent="0.25">
      <c r="B262" s="1400" t="s">
        <v>684</v>
      </c>
      <c r="C262" s="1401">
        <v>2030</v>
      </c>
      <c r="D262" s="1400">
        <v>1749000</v>
      </c>
      <c r="E262" s="1402">
        <v>1310000</v>
      </c>
      <c r="F262" s="1403">
        <v>19790</v>
      </c>
      <c r="G262" s="1400">
        <v>134.88</v>
      </c>
      <c r="H262" s="1402">
        <v>0.20275799999999999</v>
      </c>
      <c r="I262" s="1402">
        <v>1.9713E-3</v>
      </c>
      <c r="J262" s="1403">
        <v>140.09</v>
      </c>
    </row>
    <row r="263" spans="2:10" x14ac:dyDescent="0.25">
      <c r="B263" s="1400" t="s">
        <v>1088</v>
      </c>
      <c r="C263" s="1401">
        <v>2030</v>
      </c>
      <c r="D263" s="1400">
        <v>1022000</v>
      </c>
      <c r="E263" s="1402">
        <v>1021000</v>
      </c>
      <c r="F263" s="1403">
        <v>15520</v>
      </c>
      <c r="G263" s="1400">
        <v>1.716</v>
      </c>
      <c r="H263" s="1402">
        <v>0.14096175</v>
      </c>
      <c r="I263" s="1402">
        <v>3.3149000000000004E-5</v>
      </c>
      <c r="J263" s="1403">
        <v>5.9754000000000005</v>
      </c>
    </row>
    <row r="264" spans="2:10" x14ac:dyDescent="0.25">
      <c r="B264" s="1400" t="s">
        <v>716</v>
      </c>
      <c r="C264" s="1401">
        <v>2030</v>
      </c>
      <c r="D264" s="1400">
        <v>1022000</v>
      </c>
      <c r="E264" s="1402">
        <v>1021000</v>
      </c>
      <c r="F264" s="1403">
        <v>15520</v>
      </c>
      <c r="G264" s="1400">
        <v>1.716</v>
      </c>
      <c r="H264" s="1402">
        <v>0.14096175</v>
      </c>
      <c r="I264" s="1402">
        <v>3.3149000000000004E-5</v>
      </c>
      <c r="J264" s="1403">
        <v>5.9754000000000005</v>
      </c>
    </row>
    <row r="265" spans="2:10" x14ac:dyDescent="0.25">
      <c r="B265" s="1400" t="s">
        <v>717</v>
      </c>
      <c r="C265" s="1401">
        <v>2030</v>
      </c>
      <c r="D265" s="1400">
        <v>1022000</v>
      </c>
      <c r="E265" s="1402">
        <v>1021000</v>
      </c>
      <c r="F265" s="1403">
        <v>15520</v>
      </c>
      <c r="G265" s="1400">
        <v>1.716</v>
      </c>
      <c r="H265" s="1402">
        <v>0.14096175</v>
      </c>
      <c r="I265" s="1402">
        <v>3.3149000000000004E-5</v>
      </c>
      <c r="J265" s="1403">
        <v>5.9754000000000005</v>
      </c>
    </row>
    <row r="266" spans="2:10" x14ac:dyDescent="0.25">
      <c r="B266" s="1400" t="s">
        <v>913</v>
      </c>
      <c r="C266" s="1401">
        <v>2030</v>
      </c>
      <c r="D266" s="1400">
        <v>1209000</v>
      </c>
      <c r="E266" s="1402">
        <v>1202000</v>
      </c>
      <c r="F266" s="1403">
        <v>1052000</v>
      </c>
      <c r="G266" s="1400">
        <v>18.120999999999999</v>
      </c>
      <c r="H266" s="1402">
        <v>0.16412299999999999</v>
      </c>
      <c r="I266" s="1402">
        <v>2.9339999999999998E-4</v>
      </c>
      <c r="J266" s="1403">
        <v>23.162000000000003</v>
      </c>
    </row>
    <row r="267" spans="2:10" x14ac:dyDescent="0.25">
      <c r="B267" s="1400" t="s">
        <v>911</v>
      </c>
      <c r="C267" s="1401">
        <v>2030</v>
      </c>
      <c r="D267" s="1400">
        <v>1586000</v>
      </c>
      <c r="E267" s="1402">
        <v>697000</v>
      </c>
      <c r="F267" s="1403">
        <v>286200</v>
      </c>
      <c r="G267" s="1400">
        <v>38.404000000000003</v>
      </c>
      <c r="H267" s="1402">
        <v>0.1118</v>
      </c>
      <c r="I267" s="1402">
        <v>2.5350000000000001E-2</v>
      </c>
      <c r="J267" s="1403">
        <v>45.44</v>
      </c>
    </row>
    <row r="268" spans="2:10" x14ac:dyDescent="0.25">
      <c r="B268" s="1400" t="s">
        <v>914</v>
      </c>
      <c r="C268" s="1401">
        <v>2030</v>
      </c>
      <c r="D268" s="1400">
        <v>1250000</v>
      </c>
      <c r="E268" s="1402">
        <v>1242000</v>
      </c>
      <c r="F268" s="1403">
        <v>1078000</v>
      </c>
      <c r="G268" s="1400">
        <v>24.006999999999998</v>
      </c>
      <c r="H268" s="1402">
        <v>0.16975200000000001</v>
      </c>
      <c r="I268" s="1402">
        <v>3.8147000000000002E-4</v>
      </c>
      <c r="J268" s="1403">
        <v>29.335999999999999</v>
      </c>
    </row>
    <row r="269" spans="2:10" x14ac:dyDescent="0.25">
      <c r="B269" s="1400" t="s">
        <v>1082</v>
      </c>
      <c r="C269" s="1401">
        <v>2030</v>
      </c>
      <c r="D269" s="1400">
        <v>1190000</v>
      </c>
      <c r="E269" s="1402">
        <v>51650</v>
      </c>
      <c r="F269" s="1403">
        <v>29230</v>
      </c>
      <c r="G269" s="1400">
        <v>3.7881999999999998</v>
      </c>
      <c r="H269" s="1402">
        <v>8.4297E-3</v>
      </c>
      <c r="I269" s="1402">
        <v>-3.825901E-3</v>
      </c>
      <c r="J269" s="1403">
        <v>3.0377000000000001</v>
      </c>
    </row>
    <row r="270" spans="2:10" x14ac:dyDescent="0.25">
      <c r="B270" s="1400" t="s">
        <v>815</v>
      </c>
      <c r="C270" s="1401">
        <v>2030</v>
      </c>
      <c r="D270" s="1400">
        <v>1190000</v>
      </c>
      <c r="E270" s="1402">
        <v>51650</v>
      </c>
      <c r="F270" s="1403">
        <v>29230</v>
      </c>
      <c r="G270" s="1400">
        <v>3.7881999999999998</v>
      </c>
      <c r="H270" s="1402">
        <v>8.4297E-3</v>
      </c>
      <c r="I270" s="1402">
        <v>-3.825901E-3</v>
      </c>
      <c r="J270" s="1403">
        <v>3.0377000000000001</v>
      </c>
    </row>
    <row r="271" spans="2:10" x14ac:dyDescent="0.25">
      <c r="B271" s="1400" t="s">
        <v>824</v>
      </c>
      <c r="C271" s="1401">
        <v>2030</v>
      </c>
      <c r="D271" s="1400">
        <v>1190000</v>
      </c>
      <c r="E271" s="1402">
        <v>51650</v>
      </c>
      <c r="F271" s="1403">
        <v>29230</v>
      </c>
      <c r="G271" s="1400">
        <v>3.7881999999999998</v>
      </c>
      <c r="H271" s="1402">
        <v>8.4297E-3</v>
      </c>
      <c r="I271" s="1402">
        <v>-3.825901E-3</v>
      </c>
      <c r="J271" s="1403">
        <v>3.0377000000000001</v>
      </c>
    </row>
    <row r="272" spans="2:10" ht="13.8" thickBot="1" x14ac:dyDescent="0.3">
      <c r="B272" s="1404" t="s">
        <v>1089</v>
      </c>
      <c r="C272" s="1405">
        <v>2030</v>
      </c>
      <c r="D272" s="1404">
        <v>1384000</v>
      </c>
      <c r="E272" s="1406">
        <v>1383000</v>
      </c>
      <c r="F272" s="1407">
        <v>5048</v>
      </c>
      <c r="G272" s="1404">
        <v>78.598700000000008</v>
      </c>
      <c r="H272" s="1406">
        <v>0.27484000000000003</v>
      </c>
      <c r="I272" s="1406">
        <v>2.3306000000000004E-3</v>
      </c>
      <c r="J272" s="1407">
        <v>87.622100000000003</v>
      </c>
    </row>
    <row r="273" spans="2:10" x14ac:dyDescent="0.25">
      <c r="B273" s="1396" t="s">
        <v>1086</v>
      </c>
      <c r="C273" s="1397">
        <v>2035</v>
      </c>
      <c r="D273" s="1396">
        <v>1092000</v>
      </c>
      <c r="E273" s="1398">
        <v>1092000</v>
      </c>
      <c r="F273" s="1399">
        <v>3981</v>
      </c>
      <c r="G273" s="1396">
        <v>5.7552000000000003</v>
      </c>
      <c r="H273" s="1398">
        <v>0.18462100000000001</v>
      </c>
      <c r="I273" s="1398">
        <v>8.6129999999999996E-4</v>
      </c>
      <c r="J273" s="1399">
        <v>11.5802</v>
      </c>
    </row>
    <row r="274" spans="2:10" x14ac:dyDescent="0.25">
      <c r="B274" s="1400" t="s">
        <v>283</v>
      </c>
      <c r="C274" s="1401">
        <v>2035</v>
      </c>
      <c r="D274" s="1400">
        <v>1092000</v>
      </c>
      <c r="E274" s="1402">
        <v>1092000</v>
      </c>
      <c r="F274" s="1403">
        <v>3981</v>
      </c>
      <c r="G274" s="1400">
        <v>5.7552000000000003</v>
      </c>
      <c r="H274" s="1402">
        <v>0.18462100000000001</v>
      </c>
      <c r="I274" s="1402">
        <v>8.6129999999999996E-4</v>
      </c>
      <c r="J274" s="1403">
        <v>11.5802</v>
      </c>
    </row>
    <row r="275" spans="2:10" x14ac:dyDescent="0.25">
      <c r="B275" s="1400" t="s">
        <v>1087</v>
      </c>
      <c r="C275" s="1401">
        <v>2035</v>
      </c>
      <c r="D275" s="1400">
        <v>1092000</v>
      </c>
      <c r="E275" s="1402">
        <v>1092000</v>
      </c>
      <c r="F275" s="1403">
        <v>3981</v>
      </c>
      <c r="G275" s="1400">
        <v>5.7552000000000003</v>
      </c>
      <c r="H275" s="1402">
        <v>0.18462100000000001</v>
      </c>
      <c r="I275" s="1402">
        <v>8.6129999999999996E-4</v>
      </c>
      <c r="J275" s="1403">
        <v>11.5802</v>
      </c>
    </row>
    <row r="276" spans="2:10" x14ac:dyDescent="0.25">
      <c r="B276" s="1400" t="s">
        <v>681</v>
      </c>
      <c r="C276" s="1401">
        <v>2035</v>
      </c>
      <c r="D276" s="1400">
        <v>1092000</v>
      </c>
      <c r="E276" s="1402">
        <v>1092000</v>
      </c>
      <c r="F276" s="1403">
        <v>3981</v>
      </c>
      <c r="G276" s="1400">
        <v>5.7552000000000003</v>
      </c>
      <c r="H276" s="1402">
        <v>0.18462100000000001</v>
      </c>
      <c r="I276" s="1402">
        <v>8.6129999999999996E-4</v>
      </c>
      <c r="J276" s="1403">
        <v>11.5802</v>
      </c>
    </row>
    <row r="277" spans="2:10" x14ac:dyDescent="0.25">
      <c r="B277" s="1400" t="s">
        <v>682</v>
      </c>
      <c r="C277" s="1401">
        <v>2035</v>
      </c>
      <c r="D277" s="1400">
        <v>-1185000</v>
      </c>
      <c r="E277" s="1402">
        <v>0</v>
      </c>
      <c r="F277" s="1403">
        <v>0</v>
      </c>
      <c r="G277" s="1400">
        <v>-85.800000000000011</v>
      </c>
      <c r="H277" s="1402">
        <v>0.54700000000000004</v>
      </c>
      <c r="I277" s="1402">
        <v>-1.8286999999999999E-3</v>
      </c>
      <c r="J277" s="1403">
        <v>-70.08</v>
      </c>
    </row>
    <row r="278" spans="2:10" x14ac:dyDescent="0.25">
      <c r="B278" s="1400" t="s">
        <v>683</v>
      </c>
      <c r="C278" s="1401">
        <v>2035</v>
      </c>
      <c r="D278" s="1400">
        <v>1745000</v>
      </c>
      <c r="E278" s="1402">
        <v>1314000</v>
      </c>
      <c r="F278" s="1403">
        <v>18650</v>
      </c>
      <c r="G278" s="1400">
        <v>132.69</v>
      </c>
      <c r="H278" s="1402">
        <v>0.204869</v>
      </c>
      <c r="I278" s="1402">
        <v>1.9257999999999999E-3</v>
      </c>
      <c r="J278" s="1403">
        <v>137.91999999999999</v>
      </c>
    </row>
    <row r="279" spans="2:10" x14ac:dyDescent="0.25">
      <c r="B279" s="1400" t="s">
        <v>698</v>
      </c>
      <c r="C279" s="1401">
        <v>2035</v>
      </c>
      <c r="D279" s="1400">
        <v>1745000</v>
      </c>
      <c r="E279" s="1402">
        <v>1314000</v>
      </c>
      <c r="F279" s="1403">
        <v>18650</v>
      </c>
      <c r="G279" s="1400">
        <v>132.69</v>
      </c>
      <c r="H279" s="1402">
        <v>0.204869</v>
      </c>
      <c r="I279" s="1402">
        <v>1.9257999999999999E-3</v>
      </c>
      <c r="J279" s="1403">
        <v>137.91999999999999</v>
      </c>
    </row>
    <row r="280" spans="2:10" x14ac:dyDescent="0.25">
      <c r="B280" s="1400" t="s">
        <v>684</v>
      </c>
      <c r="C280" s="1401">
        <v>2035</v>
      </c>
      <c r="D280" s="1400">
        <v>1745000</v>
      </c>
      <c r="E280" s="1402">
        <v>1314000</v>
      </c>
      <c r="F280" s="1403">
        <v>18650</v>
      </c>
      <c r="G280" s="1400">
        <v>132.69</v>
      </c>
      <c r="H280" s="1402">
        <v>0.204869</v>
      </c>
      <c r="I280" s="1402">
        <v>1.9257999999999999E-3</v>
      </c>
      <c r="J280" s="1403">
        <v>137.91999999999999</v>
      </c>
    </row>
    <row r="281" spans="2:10" x14ac:dyDescent="0.25">
      <c r="B281" s="1400" t="s">
        <v>1088</v>
      </c>
      <c r="C281" s="1401">
        <v>2035</v>
      </c>
      <c r="D281" s="1400">
        <v>1022000</v>
      </c>
      <c r="E281" s="1402">
        <v>1021000</v>
      </c>
      <c r="F281" s="1403">
        <v>15520</v>
      </c>
      <c r="G281" s="1400">
        <v>1.7124999999999999</v>
      </c>
      <c r="H281" s="1402">
        <v>0.14096197999999999</v>
      </c>
      <c r="I281" s="1402">
        <v>3.3061000000000001E-5</v>
      </c>
      <c r="J281" s="1403">
        <v>5.9708000000000006</v>
      </c>
    </row>
    <row r="282" spans="2:10" x14ac:dyDescent="0.25">
      <c r="B282" s="1400" t="s">
        <v>716</v>
      </c>
      <c r="C282" s="1401">
        <v>2035</v>
      </c>
      <c r="D282" s="1400">
        <v>1022000</v>
      </c>
      <c r="E282" s="1402">
        <v>1021000</v>
      </c>
      <c r="F282" s="1403">
        <v>15520</v>
      </c>
      <c r="G282" s="1400">
        <v>1.7124999999999999</v>
      </c>
      <c r="H282" s="1402">
        <v>0.14096197999999999</v>
      </c>
      <c r="I282" s="1402">
        <v>3.3061000000000001E-5</v>
      </c>
      <c r="J282" s="1403">
        <v>5.9708000000000006</v>
      </c>
    </row>
    <row r="283" spans="2:10" x14ac:dyDescent="0.25">
      <c r="B283" s="1400" t="s">
        <v>717</v>
      </c>
      <c r="C283" s="1401">
        <v>2035</v>
      </c>
      <c r="D283" s="1400">
        <v>1022000</v>
      </c>
      <c r="E283" s="1402">
        <v>1021000</v>
      </c>
      <c r="F283" s="1403">
        <v>15520</v>
      </c>
      <c r="G283" s="1400">
        <v>1.7124999999999999</v>
      </c>
      <c r="H283" s="1402">
        <v>0.14096197999999999</v>
      </c>
      <c r="I283" s="1402">
        <v>3.3061000000000001E-5</v>
      </c>
      <c r="J283" s="1403">
        <v>5.9708000000000006</v>
      </c>
    </row>
    <row r="284" spans="2:10" x14ac:dyDescent="0.25">
      <c r="B284" s="1400" t="s">
        <v>913</v>
      </c>
      <c r="C284" s="1401">
        <v>2035</v>
      </c>
      <c r="D284" s="1400">
        <v>1209000</v>
      </c>
      <c r="E284" s="1402">
        <v>1202000</v>
      </c>
      <c r="F284" s="1403">
        <v>1052000</v>
      </c>
      <c r="G284" s="1400">
        <v>18.088999999999999</v>
      </c>
      <c r="H284" s="1402">
        <v>0.16412499999999999</v>
      </c>
      <c r="I284" s="1402">
        <v>2.9260000000000001E-4</v>
      </c>
      <c r="J284" s="1403">
        <v>23.119</v>
      </c>
    </row>
    <row r="285" spans="2:10" x14ac:dyDescent="0.25">
      <c r="B285" s="1400" t="s">
        <v>911</v>
      </c>
      <c r="C285" s="1401">
        <v>2035</v>
      </c>
      <c r="D285" s="1400">
        <v>1586000</v>
      </c>
      <c r="E285" s="1402">
        <v>697100</v>
      </c>
      <c r="F285" s="1403">
        <v>286100</v>
      </c>
      <c r="G285" s="1400">
        <v>38.326999999999998</v>
      </c>
      <c r="H285" s="1402">
        <v>0.1118</v>
      </c>
      <c r="I285" s="1402">
        <v>2.5350000000000001E-2</v>
      </c>
      <c r="J285" s="1403">
        <v>45.39</v>
      </c>
    </row>
    <row r="286" spans="2:10" x14ac:dyDescent="0.25">
      <c r="B286" s="1400" t="s">
        <v>914</v>
      </c>
      <c r="C286" s="1401">
        <v>2035</v>
      </c>
      <c r="D286" s="1400">
        <v>1250000</v>
      </c>
      <c r="E286" s="1402">
        <v>1242000</v>
      </c>
      <c r="F286" s="1403">
        <v>1078000</v>
      </c>
      <c r="G286" s="1400">
        <v>23.973999999999997</v>
      </c>
      <c r="H286" s="1402">
        <v>0.169854</v>
      </c>
      <c r="I286" s="1402">
        <v>3.8064000000000001E-4</v>
      </c>
      <c r="J286" s="1403">
        <v>29.302</v>
      </c>
    </row>
    <row r="287" spans="2:10" x14ac:dyDescent="0.25">
      <c r="B287" s="1400" t="s">
        <v>1082</v>
      </c>
      <c r="C287" s="1401">
        <v>2035</v>
      </c>
      <c r="D287" s="1400">
        <v>1190000</v>
      </c>
      <c r="E287" s="1402">
        <v>51660</v>
      </c>
      <c r="F287" s="1403">
        <v>29230</v>
      </c>
      <c r="G287" s="1400">
        <v>3.7818000000000001</v>
      </c>
      <c r="H287" s="1402">
        <v>8.4370999999999995E-3</v>
      </c>
      <c r="I287" s="1402">
        <v>-3.8259590000000003E-3</v>
      </c>
      <c r="J287" s="1403">
        <v>3.0312999999999999</v>
      </c>
    </row>
    <row r="288" spans="2:10" x14ac:dyDescent="0.25">
      <c r="B288" s="1400" t="s">
        <v>815</v>
      </c>
      <c r="C288" s="1401">
        <v>2035</v>
      </c>
      <c r="D288" s="1400">
        <v>1190000</v>
      </c>
      <c r="E288" s="1402">
        <v>51660</v>
      </c>
      <c r="F288" s="1403">
        <v>29230</v>
      </c>
      <c r="G288" s="1400">
        <v>3.7818000000000001</v>
      </c>
      <c r="H288" s="1402">
        <v>8.4370999999999995E-3</v>
      </c>
      <c r="I288" s="1402">
        <v>-3.8259590000000003E-3</v>
      </c>
      <c r="J288" s="1403">
        <v>3.0312999999999999</v>
      </c>
    </row>
    <row r="289" spans="2:10" x14ac:dyDescent="0.25">
      <c r="B289" s="1400" t="s">
        <v>824</v>
      </c>
      <c r="C289" s="1401">
        <v>2035</v>
      </c>
      <c r="D289" s="1400">
        <v>1190000</v>
      </c>
      <c r="E289" s="1402">
        <v>51660</v>
      </c>
      <c r="F289" s="1403">
        <v>29230</v>
      </c>
      <c r="G289" s="1400">
        <v>3.7818000000000001</v>
      </c>
      <c r="H289" s="1402">
        <v>8.4370999999999995E-3</v>
      </c>
      <c r="I289" s="1402">
        <v>-3.8259590000000003E-3</v>
      </c>
      <c r="J289" s="1403">
        <v>3.0312999999999999</v>
      </c>
    </row>
    <row r="290" spans="2:10" ht="13.8" thickBot="1" x14ac:dyDescent="0.3">
      <c r="B290" s="1404" t="s">
        <v>1089</v>
      </c>
      <c r="C290" s="1405">
        <v>2035</v>
      </c>
      <c r="D290" s="1404">
        <v>1384000</v>
      </c>
      <c r="E290" s="1406">
        <v>1383000</v>
      </c>
      <c r="F290" s="1407">
        <v>5034</v>
      </c>
      <c r="G290" s="1404">
        <v>78.571100000000001</v>
      </c>
      <c r="H290" s="1406">
        <v>0.27494000000000002</v>
      </c>
      <c r="I290" s="1406">
        <v>2.3304000000000003E-3</v>
      </c>
      <c r="J290" s="1407">
        <v>87.594300000000004</v>
      </c>
    </row>
    <row r="291" spans="2:10" x14ac:dyDescent="0.25">
      <c r="B291" s="1396" t="s">
        <v>1086</v>
      </c>
      <c r="C291" s="1397">
        <v>2040</v>
      </c>
      <c r="D291" s="1396">
        <v>1092000</v>
      </c>
      <c r="E291" s="1398">
        <v>1092000</v>
      </c>
      <c r="F291" s="1399">
        <v>3975</v>
      </c>
      <c r="G291" s="1396">
        <v>5.7453000000000003</v>
      </c>
      <c r="H291" s="1398">
        <v>0.18462200000000001</v>
      </c>
      <c r="I291" s="1398">
        <v>8.6110000000000006E-4</v>
      </c>
      <c r="J291" s="1399">
        <v>11.577199999999999</v>
      </c>
    </row>
    <row r="292" spans="2:10" x14ac:dyDescent="0.25">
      <c r="B292" s="1400" t="s">
        <v>283</v>
      </c>
      <c r="C292" s="1401">
        <v>2040</v>
      </c>
      <c r="D292" s="1400">
        <v>1092000</v>
      </c>
      <c r="E292" s="1402">
        <v>1092000</v>
      </c>
      <c r="F292" s="1403">
        <v>3975</v>
      </c>
      <c r="G292" s="1400">
        <v>5.7453000000000003</v>
      </c>
      <c r="H292" s="1402">
        <v>0.18462200000000001</v>
      </c>
      <c r="I292" s="1402">
        <v>8.6110000000000006E-4</v>
      </c>
      <c r="J292" s="1403">
        <v>11.577199999999999</v>
      </c>
    </row>
    <row r="293" spans="2:10" x14ac:dyDescent="0.25">
      <c r="B293" s="1400" t="s">
        <v>1087</v>
      </c>
      <c r="C293" s="1401">
        <v>2040</v>
      </c>
      <c r="D293" s="1400">
        <v>1092000</v>
      </c>
      <c r="E293" s="1402">
        <v>1092000</v>
      </c>
      <c r="F293" s="1403">
        <v>3975</v>
      </c>
      <c r="G293" s="1400">
        <v>5.7453000000000003</v>
      </c>
      <c r="H293" s="1402">
        <v>0.18462200000000001</v>
      </c>
      <c r="I293" s="1402">
        <v>8.6110000000000006E-4</v>
      </c>
      <c r="J293" s="1403">
        <v>11.577199999999999</v>
      </c>
    </row>
    <row r="294" spans="2:10" x14ac:dyDescent="0.25">
      <c r="B294" s="1400" t="s">
        <v>681</v>
      </c>
      <c r="C294" s="1401">
        <v>2040</v>
      </c>
      <c r="D294" s="1400">
        <v>1092000</v>
      </c>
      <c r="E294" s="1402">
        <v>1092000</v>
      </c>
      <c r="F294" s="1403">
        <v>3975</v>
      </c>
      <c r="G294" s="1400">
        <v>5.7453000000000003</v>
      </c>
      <c r="H294" s="1402">
        <v>0.18462200000000001</v>
      </c>
      <c r="I294" s="1402">
        <v>8.6110000000000006E-4</v>
      </c>
      <c r="J294" s="1403">
        <v>11.577199999999999</v>
      </c>
    </row>
    <row r="295" spans="2:10" x14ac:dyDescent="0.25">
      <c r="B295" s="1400" t="s">
        <v>682</v>
      </c>
      <c r="C295" s="1401">
        <v>2040</v>
      </c>
      <c r="D295" s="1400">
        <v>-1185000</v>
      </c>
      <c r="E295" s="1402">
        <v>0</v>
      </c>
      <c r="F295" s="1403">
        <v>0</v>
      </c>
      <c r="G295" s="1400">
        <v>-85.800000000000011</v>
      </c>
      <c r="H295" s="1402">
        <v>0.54700000000000004</v>
      </c>
      <c r="I295" s="1402">
        <v>-1.8286999999999999E-3</v>
      </c>
      <c r="J295" s="1403">
        <v>-70.08</v>
      </c>
    </row>
    <row r="296" spans="2:10" x14ac:dyDescent="0.25">
      <c r="B296" s="1400" t="s">
        <v>683</v>
      </c>
      <c r="C296" s="1401">
        <v>2040</v>
      </c>
      <c r="D296" s="1400">
        <v>1732000</v>
      </c>
      <c r="E296" s="1402">
        <v>1300000</v>
      </c>
      <c r="F296" s="1403">
        <v>17320</v>
      </c>
      <c r="G296" s="1400">
        <v>129.32</v>
      </c>
      <c r="H296" s="1402">
        <v>0.20383000000000001</v>
      </c>
      <c r="I296" s="1402">
        <v>1.8644999999999998E-3</v>
      </c>
      <c r="J296" s="1403">
        <v>134.37</v>
      </c>
    </row>
    <row r="297" spans="2:10" x14ac:dyDescent="0.25">
      <c r="B297" s="1400" t="s">
        <v>698</v>
      </c>
      <c r="C297" s="1401">
        <v>2040</v>
      </c>
      <c r="D297" s="1400">
        <v>1732000</v>
      </c>
      <c r="E297" s="1402">
        <v>1300000</v>
      </c>
      <c r="F297" s="1403">
        <v>17320</v>
      </c>
      <c r="G297" s="1400">
        <v>129.32</v>
      </c>
      <c r="H297" s="1402">
        <v>0.20383000000000001</v>
      </c>
      <c r="I297" s="1402">
        <v>1.8644999999999998E-3</v>
      </c>
      <c r="J297" s="1403">
        <v>134.37</v>
      </c>
    </row>
    <row r="298" spans="2:10" x14ac:dyDescent="0.25">
      <c r="B298" s="1400" t="s">
        <v>684</v>
      </c>
      <c r="C298" s="1401">
        <v>2040</v>
      </c>
      <c r="D298" s="1400">
        <v>1732000</v>
      </c>
      <c r="E298" s="1402">
        <v>1300000</v>
      </c>
      <c r="F298" s="1403">
        <v>17320</v>
      </c>
      <c r="G298" s="1400">
        <v>129.32</v>
      </c>
      <c r="H298" s="1402">
        <v>0.20383000000000001</v>
      </c>
      <c r="I298" s="1402">
        <v>1.8644999999999998E-3</v>
      </c>
      <c r="J298" s="1403">
        <v>134.37</v>
      </c>
    </row>
    <row r="299" spans="2:10" x14ac:dyDescent="0.25">
      <c r="B299" s="1400" t="s">
        <v>1088</v>
      </c>
      <c r="C299" s="1401">
        <v>2040</v>
      </c>
      <c r="D299" s="1400">
        <v>1022000</v>
      </c>
      <c r="E299" s="1402">
        <v>1021000</v>
      </c>
      <c r="F299" s="1403">
        <v>15510</v>
      </c>
      <c r="G299" s="1400">
        <v>1.7054</v>
      </c>
      <c r="H299" s="1402">
        <v>0.14096210000000001</v>
      </c>
      <c r="I299" s="1402">
        <v>3.2928999999999996E-5</v>
      </c>
      <c r="J299" s="1403">
        <v>5.9637000000000002</v>
      </c>
    </row>
    <row r="300" spans="2:10" x14ac:dyDescent="0.25">
      <c r="B300" s="1400" t="s">
        <v>716</v>
      </c>
      <c r="C300" s="1401">
        <v>2040</v>
      </c>
      <c r="D300" s="1400">
        <v>1022000</v>
      </c>
      <c r="E300" s="1402">
        <v>1021000</v>
      </c>
      <c r="F300" s="1403">
        <v>15510</v>
      </c>
      <c r="G300" s="1400">
        <v>1.7054</v>
      </c>
      <c r="H300" s="1402">
        <v>0.14096210000000001</v>
      </c>
      <c r="I300" s="1402">
        <v>3.2928999999999996E-5</v>
      </c>
      <c r="J300" s="1403">
        <v>5.9637000000000002</v>
      </c>
    </row>
    <row r="301" spans="2:10" x14ac:dyDescent="0.25">
      <c r="B301" s="1400" t="s">
        <v>717</v>
      </c>
      <c r="C301" s="1401">
        <v>2040</v>
      </c>
      <c r="D301" s="1400">
        <v>1022000</v>
      </c>
      <c r="E301" s="1402">
        <v>1021000</v>
      </c>
      <c r="F301" s="1403">
        <v>15510</v>
      </c>
      <c r="G301" s="1400">
        <v>1.7054</v>
      </c>
      <c r="H301" s="1402">
        <v>0.14096210000000001</v>
      </c>
      <c r="I301" s="1402">
        <v>3.2928999999999996E-5</v>
      </c>
      <c r="J301" s="1403">
        <v>5.9637000000000002</v>
      </c>
    </row>
    <row r="302" spans="2:10" x14ac:dyDescent="0.25">
      <c r="B302" s="1400" t="s">
        <v>913</v>
      </c>
      <c r="C302" s="1401">
        <v>2040</v>
      </c>
      <c r="D302" s="1400">
        <v>1209000</v>
      </c>
      <c r="E302" s="1402">
        <v>1202000</v>
      </c>
      <c r="F302" s="1403">
        <v>1052000</v>
      </c>
      <c r="G302" s="1400">
        <v>18.032</v>
      </c>
      <c r="H302" s="1402">
        <v>0.16412599999999999</v>
      </c>
      <c r="I302" s="1402">
        <v>2.9167E-4</v>
      </c>
      <c r="J302" s="1403">
        <v>23.062000000000001</v>
      </c>
    </row>
    <row r="303" spans="2:10" x14ac:dyDescent="0.25">
      <c r="B303" s="1400" t="s">
        <v>911</v>
      </c>
      <c r="C303" s="1401">
        <v>2040</v>
      </c>
      <c r="D303" s="1400">
        <v>1586000</v>
      </c>
      <c r="E303" s="1402">
        <v>696600</v>
      </c>
      <c r="F303" s="1403">
        <v>286100</v>
      </c>
      <c r="G303" s="1400">
        <v>38.200000000000003</v>
      </c>
      <c r="H303" s="1402">
        <v>0.1118</v>
      </c>
      <c r="I303" s="1402">
        <v>2.5350000000000001E-2</v>
      </c>
      <c r="J303" s="1403">
        <v>45.3</v>
      </c>
    </row>
    <row r="304" spans="2:10" x14ac:dyDescent="0.25">
      <c r="B304" s="1400" t="s">
        <v>914</v>
      </c>
      <c r="C304" s="1401">
        <v>2040</v>
      </c>
      <c r="D304" s="1400">
        <v>1250000</v>
      </c>
      <c r="E304" s="1402">
        <v>1242000</v>
      </c>
      <c r="F304" s="1403">
        <v>1078000</v>
      </c>
      <c r="G304" s="1400">
        <v>23.914999999999999</v>
      </c>
      <c r="H304" s="1402">
        <v>0.16985499999999998</v>
      </c>
      <c r="I304" s="1402">
        <v>3.7957999999999997E-4</v>
      </c>
      <c r="J304" s="1403">
        <v>29.232999999999997</v>
      </c>
    </row>
    <row r="305" spans="2:10" x14ac:dyDescent="0.25">
      <c r="B305" s="1400" t="s">
        <v>1082</v>
      </c>
      <c r="C305" s="1401">
        <v>2040</v>
      </c>
      <c r="D305" s="1400">
        <v>1190000</v>
      </c>
      <c r="E305" s="1402">
        <v>51610</v>
      </c>
      <c r="F305" s="1403">
        <v>29220</v>
      </c>
      <c r="G305" s="1400">
        <v>3.7715999999999998</v>
      </c>
      <c r="H305" s="1402">
        <v>8.4332999999999995E-3</v>
      </c>
      <c r="I305" s="1402">
        <v>-3.8260220000000001E-3</v>
      </c>
      <c r="J305" s="1403">
        <v>3.02</v>
      </c>
    </row>
    <row r="306" spans="2:10" x14ac:dyDescent="0.25">
      <c r="B306" s="1400" t="s">
        <v>815</v>
      </c>
      <c r="C306" s="1401">
        <v>2040</v>
      </c>
      <c r="D306" s="1400">
        <v>1190000</v>
      </c>
      <c r="E306" s="1402">
        <v>51610</v>
      </c>
      <c r="F306" s="1403">
        <v>29220</v>
      </c>
      <c r="G306" s="1400">
        <v>3.7715999999999998</v>
      </c>
      <c r="H306" s="1402">
        <v>8.4332999999999995E-3</v>
      </c>
      <c r="I306" s="1402">
        <v>-3.8260220000000001E-3</v>
      </c>
      <c r="J306" s="1403">
        <v>3.02</v>
      </c>
    </row>
    <row r="307" spans="2:10" x14ac:dyDescent="0.25">
      <c r="B307" s="1400" t="s">
        <v>824</v>
      </c>
      <c r="C307" s="1401">
        <v>2040</v>
      </c>
      <c r="D307" s="1400">
        <v>1190000</v>
      </c>
      <c r="E307" s="1402">
        <v>51610</v>
      </c>
      <c r="F307" s="1403">
        <v>29220</v>
      </c>
      <c r="G307" s="1400">
        <v>3.7715999999999998</v>
      </c>
      <c r="H307" s="1402">
        <v>8.4332999999999995E-3</v>
      </c>
      <c r="I307" s="1402">
        <v>-3.8260220000000001E-3</v>
      </c>
      <c r="J307" s="1403">
        <v>3.02</v>
      </c>
    </row>
    <row r="308" spans="2:10" ht="13.8" thickBot="1" x14ac:dyDescent="0.3">
      <c r="B308" s="1404" t="s">
        <v>1089</v>
      </c>
      <c r="C308" s="1405">
        <v>2040</v>
      </c>
      <c r="D308" s="1404">
        <v>1384000</v>
      </c>
      <c r="E308" s="1406">
        <v>1383000</v>
      </c>
      <c r="F308" s="1407">
        <v>5034</v>
      </c>
      <c r="G308" s="1404">
        <v>78.571100000000001</v>
      </c>
      <c r="H308" s="1406">
        <v>0.27494000000000002</v>
      </c>
      <c r="I308" s="1406">
        <v>2.3304000000000003E-3</v>
      </c>
      <c r="J308" s="1407">
        <v>87.594300000000004</v>
      </c>
    </row>
    <row r="309" spans="2:10" x14ac:dyDescent="0.25">
      <c r="B309" s="1396" t="s">
        <v>1086</v>
      </c>
      <c r="C309" s="1397">
        <v>2045</v>
      </c>
      <c r="D309" s="1396">
        <v>1092000</v>
      </c>
      <c r="E309" s="1398">
        <v>1092000</v>
      </c>
      <c r="F309" s="1399">
        <v>3972</v>
      </c>
      <c r="G309" s="1396">
        <v>5.7410000000000005</v>
      </c>
      <c r="H309" s="1398">
        <v>0.18462200000000001</v>
      </c>
      <c r="I309" s="1398">
        <v>8.6110000000000006E-4</v>
      </c>
      <c r="J309" s="1399">
        <v>11.565900000000001</v>
      </c>
    </row>
    <row r="310" spans="2:10" x14ac:dyDescent="0.25">
      <c r="B310" s="1400" t="s">
        <v>283</v>
      </c>
      <c r="C310" s="1401">
        <v>2045</v>
      </c>
      <c r="D310" s="1400">
        <v>1092000</v>
      </c>
      <c r="E310" s="1402">
        <v>1092000</v>
      </c>
      <c r="F310" s="1403">
        <v>3972</v>
      </c>
      <c r="G310" s="1400">
        <v>5.7410000000000005</v>
      </c>
      <c r="H310" s="1402">
        <v>0.18462200000000001</v>
      </c>
      <c r="I310" s="1402">
        <v>8.6110000000000006E-4</v>
      </c>
      <c r="J310" s="1403">
        <v>11.565900000000001</v>
      </c>
    </row>
    <row r="311" spans="2:10" x14ac:dyDescent="0.25">
      <c r="B311" s="1400" t="s">
        <v>1087</v>
      </c>
      <c r="C311" s="1401">
        <v>2045</v>
      </c>
      <c r="D311" s="1400">
        <v>1092000</v>
      </c>
      <c r="E311" s="1402">
        <v>1092000</v>
      </c>
      <c r="F311" s="1403">
        <v>3972</v>
      </c>
      <c r="G311" s="1400">
        <v>5.7410000000000005</v>
      </c>
      <c r="H311" s="1402">
        <v>0.18462200000000001</v>
      </c>
      <c r="I311" s="1402">
        <v>8.6110000000000006E-4</v>
      </c>
      <c r="J311" s="1403">
        <v>11.565900000000001</v>
      </c>
    </row>
    <row r="312" spans="2:10" x14ac:dyDescent="0.25">
      <c r="B312" s="1400" t="s">
        <v>681</v>
      </c>
      <c r="C312" s="1401">
        <v>2045</v>
      </c>
      <c r="D312" s="1400">
        <v>1092000</v>
      </c>
      <c r="E312" s="1402">
        <v>1092000</v>
      </c>
      <c r="F312" s="1403">
        <v>3972</v>
      </c>
      <c r="G312" s="1400">
        <v>5.7410000000000005</v>
      </c>
      <c r="H312" s="1402">
        <v>0.18462200000000001</v>
      </c>
      <c r="I312" s="1402">
        <v>8.6110000000000006E-4</v>
      </c>
      <c r="J312" s="1403">
        <v>11.565900000000001</v>
      </c>
    </row>
    <row r="313" spans="2:10" x14ac:dyDescent="0.25">
      <c r="B313" s="1400" t="s">
        <v>682</v>
      </c>
      <c r="C313" s="1401">
        <v>2045</v>
      </c>
      <c r="D313" s="1400">
        <v>-1185000</v>
      </c>
      <c r="E313" s="1402">
        <v>0</v>
      </c>
      <c r="F313" s="1403">
        <v>0</v>
      </c>
      <c r="G313" s="1400">
        <v>-85.800000000000011</v>
      </c>
      <c r="H313" s="1402">
        <v>0.54700000000000004</v>
      </c>
      <c r="I313" s="1402">
        <v>-1.8286999999999999E-3</v>
      </c>
      <c r="J313" s="1403">
        <v>-70.08</v>
      </c>
    </row>
    <row r="314" spans="2:10" x14ac:dyDescent="0.25">
      <c r="B314" s="1400" t="s">
        <v>683</v>
      </c>
      <c r="C314" s="1401">
        <v>2045</v>
      </c>
      <c r="D314" s="1400">
        <v>1724000</v>
      </c>
      <c r="E314" s="1402">
        <v>1293000</v>
      </c>
      <c r="F314" s="1403">
        <v>15580</v>
      </c>
      <c r="G314" s="1400">
        <v>126.71000000000001</v>
      </c>
      <c r="H314" s="1402">
        <v>0.203795</v>
      </c>
      <c r="I314" s="1402">
        <v>1.8165E-3</v>
      </c>
      <c r="J314" s="1403">
        <v>131.63</v>
      </c>
    </row>
    <row r="315" spans="2:10" x14ac:dyDescent="0.25">
      <c r="B315" s="1400" t="s">
        <v>698</v>
      </c>
      <c r="C315" s="1401">
        <v>2045</v>
      </c>
      <c r="D315" s="1400">
        <v>1724000</v>
      </c>
      <c r="E315" s="1402">
        <v>1293000</v>
      </c>
      <c r="F315" s="1403">
        <v>15580</v>
      </c>
      <c r="G315" s="1400">
        <v>126.71000000000001</v>
      </c>
      <c r="H315" s="1402">
        <v>0.203795</v>
      </c>
      <c r="I315" s="1402">
        <v>1.8165E-3</v>
      </c>
      <c r="J315" s="1403">
        <v>131.63</v>
      </c>
    </row>
    <row r="316" spans="2:10" x14ac:dyDescent="0.25">
      <c r="B316" s="1400" t="s">
        <v>684</v>
      </c>
      <c r="C316" s="1401">
        <v>2045</v>
      </c>
      <c r="D316" s="1400">
        <v>1724000</v>
      </c>
      <c r="E316" s="1402">
        <v>1293000</v>
      </c>
      <c r="F316" s="1403">
        <v>15580</v>
      </c>
      <c r="G316" s="1400">
        <v>126.71000000000001</v>
      </c>
      <c r="H316" s="1402">
        <v>0.203795</v>
      </c>
      <c r="I316" s="1402">
        <v>1.8165E-3</v>
      </c>
      <c r="J316" s="1403">
        <v>131.63</v>
      </c>
    </row>
    <row r="317" spans="2:10" x14ac:dyDescent="0.25">
      <c r="B317" s="1400" t="s">
        <v>1088</v>
      </c>
      <c r="C317" s="1401">
        <v>2045</v>
      </c>
      <c r="D317" s="1400">
        <v>1022000</v>
      </c>
      <c r="E317" s="1402">
        <v>1021000</v>
      </c>
      <c r="F317" s="1403">
        <v>15510</v>
      </c>
      <c r="G317" s="1400">
        <v>1.6997</v>
      </c>
      <c r="H317" s="1402">
        <v>0.14096223999999999</v>
      </c>
      <c r="I317" s="1402">
        <v>3.2833999999999998E-5</v>
      </c>
      <c r="J317" s="1403">
        <v>5.9580000000000002</v>
      </c>
    </row>
    <row r="318" spans="2:10" x14ac:dyDescent="0.25">
      <c r="B318" s="1400" t="s">
        <v>716</v>
      </c>
      <c r="C318" s="1401">
        <v>2045</v>
      </c>
      <c r="D318" s="1400">
        <v>1022000</v>
      </c>
      <c r="E318" s="1402">
        <v>1021000</v>
      </c>
      <c r="F318" s="1403">
        <v>15510</v>
      </c>
      <c r="G318" s="1400">
        <v>1.6997</v>
      </c>
      <c r="H318" s="1402">
        <v>0.14096223999999999</v>
      </c>
      <c r="I318" s="1402">
        <v>3.2833999999999998E-5</v>
      </c>
      <c r="J318" s="1403">
        <v>5.9580000000000002</v>
      </c>
    </row>
    <row r="319" spans="2:10" x14ac:dyDescent="0.25">
      <c r="B319" s="1400" t="s">
        <v>717</v>
      </c>
      <c r="C319" s="1401">
        <v>2045</v>
      </c>
      <c r="D319" s="1400">
        <v>1022000</v>
      </c>
      <c r="E319" s="1402">
        <v>1021000</v>
      </c>
      <c r="F319" s="1403">
        <v>15510</v>
      </c>
      <c r="G319" s="1400">
        <v>1.6997</v>
      </c>
      <c r="H319" s="1402">
        <v>0.14096223999999999</v>
      </c>
      <c r="I319" s="1402">
        <v>3.2833999999999998E-5</v>
      </c>
      <c r="J319" s="1403">
        <v>5.9580000000000002</v>
      </c>
    </row>
    <row r="320" spans="2:10" x14ac:dyDescent="0.25">
      <c r="B320" s="1400" t="s">
        <v>913</v>
      </c>
      <c r="C320" s="1401">
        <v>2045</v>
      </c>
      <c r="D320" s="1400">
        <v>1209000</v>
      </c>
      <c r="E320" s="1402">
        <v>1202000</v>
      </c>
      <c r="F320" s="1403">
        <v>1052000</v>
      </c>
      <c r="G320" s="1400">
        <v>17.989000000000001</v>
      </c>
      <c r="H320" s="1402">
        <v>0.164127</v>
      </c>
      <c r="I320" s="1402">
        <v>2.9079000000000003E-4</v>
      </c>
      <c r="J320" s="1403">
        <v>23.018999999999998</v>
      </c>
    </row>
    <row r="321" spans="2:10" x14ac:dyDescent="0.25">
      <c r="B321" s="1400" t="s">
        <v>911</v>
      </c>
      <c r="C321" s="1401">
        <v>2045</v>
      </c>
      <c r="D321" s="1400">
        <v>1586000</v>
      </c>
      <c r="E321" s="1402">
        <v>696300</v>
      </c>
      <c r="F321" s="1403">
        <v>286000</v>
      </c>
      <c r="G321" s="1400">
        <v>38.110999999999997</v>
      </c>
      <c r="H321" s="1402">
        <v>0.1118</v>
      </c>
      <c r="I321" s="1402">
        <v>2.5350000000000001E-2</v>
      </c>
      <c r="J321" s="1403">
        <v>45.23</v>
      </c>
    </row>
    <row r="322" spans="2:10" x14ac:dyDescent="0.25">
      <c r="B322" s="1400" t="s">
        <v>914</v>
      </c>
      <c r="C322" s="1401">
        <v>2045</v>
      </c>
      <c r="D322" s="1400">
        <v>1249000</v>
      </c>
      <c r="E322" s="1402">
        <v>1242000</v>
      </c>
      <c r="F322" s="1403">
        <v>1078000</v>
      </c>
      <c r="G322" s="1400">
        <v>23.861000000000001</v>
      </c>
      <c r="H322" s="1402">
        <v>0.16985599999999998</v>
      </c>
      <c r="I322" s="1402">
        <v>3.7867E-4</v>
      </c>
      <c r="J322" s="1403">
        <v>29.189</v>
      </c>
    </row>
    <row r="323" spans="2:10" x14ac:dyDescent="0.25">
      <c r="B323" s="1400" t="s">
        <v>1082</v>
      </c>
      <c r="C323" s="1401">
        <v>2045</v>
      </c>
      <c r="D323" s="1400">
        <v>1190000</v>
      </c>
      <c r="E323" s="1402">
        <v>51590</v>
      </c>
      <c r="F323" s="1403">
        <v>29220</v>
      </c>
      <c r="G323" s="1400">
        <v>3.7631000000000001</v>
      </c>
      <c r="H323" s="1402">
        <v>8.4335E-3</v>
      </c>
      <c r="I323" s="1402">
        <v>-3.8260760000000003E-3</v>
      </c>
      <c r="J323" s="1403">
        <v>3.0114000000000001</v>
      </c>
    </row>
    <row r="324" spans="2:10" x14ac:dyDescent="0.25">
      <c r="B324" s="1400" t="s">
        <v>815</v>
      </c>
      <c r="C324" s="1401">
        <v>2045</v>
      </c>
      <c r="D324" s="1400">
        <v>1190000</v>
      </c>
      <c r="E324" s="1402">
        <v>51590</v>
      </c>
      <c r="F324" s="1403">
        <v>29220</v>
      </c>
      <c r="G324" s="1400">
        <v>3.7631000000000001</v>
      </c>
      <c r="H324" s="1402">
        <v>8.4335E-3</v>
      </c>
      <c r="I324" s="1402">
        <v>-3.8260760000000003E-3</v>
      </c>
      <c r="J324" s="1403">
        <v>3.0114000000000001</v>
      </c>
    </row>
    <row r="325" spans="2:10" x14ac:dyDescent="0.25">
      <c r="B325" s="1400" t="s">
        <v>824</v>
      </c>
      <c r="C325" s="1401">
        <v>2045</v>
      </c>
      <c r="D325" s="1400">
        <v>1190000</v>
      </c>
      <c r="E325" s="1402">
        <v>51590</v>
      </c>
      <c r="F325" s="1403">
        <v>29220</v>
      </c>
      <c r="G325" s="1400">
        <v>3.7631000000000001</v>
      </c>
      <c r="H325" s="1402">
        <v>8.4335E-3</v>
      </c>
      <c r="I325" s="1402">
        <v>-3.8260760000000003E-3</v>
      </c>
      <c r="J325" s="1403">
        <v>3.0114000000000001</v>
      </c>
    </row>
    <row r="326" spans="2:10" ht="13.8" thickBot="1" x14ac:dyDescent="0.3">
      <c r="B326" s="1404" t="s">
        <v>1089</v>
      </c>
      <c r="C326" s="1405">
        <v>2045</v>
      </c>
      <c r="D326" s="1404">
        <v>1384000</v>
      </c>
      <c r="E326" s="1406">
        <v>1383000</v>
      </c>
      <c r="F326" s="1407">
        <v>5034</v>
      </c>
      <c r="G326" s="1404">
        <v>78.571100000000001</v>
      </c>
      <c r="H326" s="1406">
        <v>0.27494000000000002</v>
      </c>
      <c r="I326" s="1406">
        <v>2.3304000000000003E-3</v>
      </c>
      <c r="J326" s="1407">
        <v>87.594300000000004</v>
      </c>
    </row>
    <row r="327" spans="2:10" x14ac:dyDescent="0.25">
      <c r="B327" s="1396" t="s">
        <v>1086</v>
      </c>
      <c r="C327" s="1397">
        <v>2050</v>
      </c>
      <c r="D327" s="1396">
        <v>1092000</v>
      </c>
      <c r="E327" s="1398">
        <v>1092000</v>
      </c>
      <c r="F327" s="1399">
        <v>3971</v>
      </c>
      <c r="G327" s="1396">
        <v>5.7390999999999996</v>
      </c>
      <c r="H327" s="1398">
        <v>0.18462200000000001</v>
      </c>
      <c r="I327" s="1398">
        <v>8.61E-4</v>
      </c>
      <c r="J327" s="1399">
        <v>11.5648</v>
      </c>
    </row>
    <row r="328" spans="2:10" x14ac:dyDescent="0.25">
      <c r="B328" s="1400" t="s">
        <v>283</v>
      </c>
      <c r="C328" s="1401">
        <v>2050</v>
      </c>
      <c r="D328" s="1400">
        <v>1092000</v>
      </c>
      <c r="E328" s="1402">
        <v>1092000</v>
      </c>
      <c r="F328" s="1403">
        <v>3971</v>
      </c>
      <c r="G328" s="1400">
        <v>5.7390999999999996</v>
      </c>
      <c r="H328" s="1402">
        <v>0.18462200000000001</v>
      </c>
      <c r="I328" s="1402">
        <v>8.61E-4</v>
      </c>
      <c r="J328" s="1403">
        <v>11.5648</v>
      </c>
    </row>
    <row r="329" spans="2:10" x14ac:dyDescent="0.25">
      <c r="B329" s="1400" t="s">
        <v>1087</v>
      </c>
      <c r="C329" s="1401">
        <v>2050</v>
      </c>
      <c r="D329" s="1400">
        <v>1092000</v>
      </c>
      <c r="E329" s="1402">
        <v>1092000</v>
      </c>
      <c r="F329" s="1403">
        <v>3971</v>
      </c>
      <c r="G329" s="1400">
        <v>5.7390999999999996</v>
      </c>
      <c r="H329" s="1402">
        <v>0.18462200000000001</v>
      </c>
      <c r="I329" s="1402">
        <v>8.61E-4</v>
      </c>
      <c r="J329" s="1403">
        <v>11.5648</v>
      </c>
    </row>
    <row r="330" spans="2:10" x14ac:dyDescent="0.25">
      <c r="B330" s="1400" t="s">
        <v>681</v>
      </c>
      <c r="C330" s="1401">
        <v>2050</v>
      </c>
      <c r="D330" s="1400">
        <v>1092000</v>
      </c>
      <c r="E330" s="1402">
        <v>1092000</v>
      </c>
      <c r="F330" s="1403">
        <v>3971</v>
      </c>
      <c r="G330" s="1400">
        <v>5.7390999999999996</v>
      </c>
      <c r="H330" s="1402">
        <v>0.18462200000000001</v>
      </c>
      <c r="I330" s="1402">
        <v>8.61E-4</v>
      </c>
      <c r="J330" s="1403">
        <v>11.5648</v>
      </c>
    </row>
    <row r="331" spans="2:10" x14ac:dyDescent="0.25">
      <c r="B331" s="1400" t="s">
        <v>682</v>
      </c>
      <c r="C331" s="1401">
        <v>2050</v>
      </c>
      <c r="D331" s="1400">
        <v>-1185000</v>
      </c>
      <c r="E331" s="1402">
        <v>0</v>
      </c>
      <c r="F331" s="1403">
        <v>0</v>
      </c>
      <c r="G331" s="1400">
        <v>-85.800000000000011</v>
      </c>
      <c r="H331" s="1402">
        <v>0.54700000000000004</v>
      </c>
      <c r="I331" s="1402">
        <v>-1.8286999999999999E-3</v>
      </c>
      <c r="J331" s="1403">
        <v>-70.08</v>
      </c>
    </row>
    <row r="332" spans="2:10" x14ac:dyDescent="0.25">
      <c r="B332" s="1400" t="s">
        <v>683</v>
      </c>
      <c r="C332" s="1401">
        <v>2050</v>
      </c>
      <c r="D332" s="1400">
        <v>1721000</v>
      </c>
      <c r="E332" s="1402">
        <v>1293000</v>
      </c>
      <c r="F332" s="1403">
        <v>15050</v>
      </c>
      <c r="G332" s="1400">
        <v>125.08</v>
      </c>
      <c r="H332" s="1402">
        <v>0.20477100000000001</v>
      </c>
      <c r="I332" s="1402">
        <v>1.7827000000000001E-3</v>
      </c>
      <c r="J332" s="1403">
        <v>129.82</v>
      </c>
    </row>
    <row r="333" spans="2:10" x14ac:dyDescent="0.25">
      <c r="B333" s="1400" t="s">
        <v>698</v>
      </c>
      <c r="C333" s="1401">
        <v>2050</v>
      </c>
      <c r="D333" s="1400">
        <v>1721000</v>
      </c>
      <c r="E333" s="1402">
        <v>1293000</v>
      </c>
      <c r="F333" s="1403">
        <v>15050</v>
      </c>
      <c r="G333" s="1400">
        <v>125.08</v>
      </c>
      <c r="H333" s="1402">
        <v>0.20477100000000001</v>
      </c>
      <c r="I333" s="1402">
        <v>1.7827000000000001E-3</v>
      </c>
      <c r="J333" s="1403">
        <v>129.82</v>
      </c>
    </row>
    <row r="334" spans="2:10" x14ac:dyDescent="0.25">
      <c r="B334" s="1400" t="s">
        <v>684</v>
      </c>
      <c r="C334" s="1401">
        <v>2050</v>
      </c>
      <c r="D334" s="1400">
        <v>1721000</v>
      </c>
      <c r="E334" s="1402">
        <v>1293000</v>
      </c>
      <c r="F334" s="1403">
        <v>15050</v>
      </c>
      <c r="G334" s="1400">
        <v>125.08</v>
      </c>
      <c r="H334" s="1402">
        <v>0.20477100000000001</v>
      </c>
      <c r="I334" s="1402">
        <v>1.7827000000000001E-3</v>
      </c>
      <c r="J334" s="1403">
        <v>129.82</v>
      </c>
    </row>
    <row r="335" spans="2:10" x14ac:dyDescent="0.25">
      <c r="B335" s="1400" t="s">
        <v>1088</v>
      </c>
      <c r="C335" s="1401">
        <v>2050</v>
      </c>
      <c r="D335" s="1400">
        <v>1022000</v>
      </c>
      <c r="E335" s="1402">
        <v>1021000</v>
      </c>
      <c r="F335" s="1403">
        <v>15510</v>
      </c>
      <c r="G335" s="1400">
        <v>1.6964999999999999</v>
      </c>
      <c r="H335" s="1402">
        <v>0.14096238999999999</v>
      </c>
      <c r="I335" s="1402">
        <v>3.2765999999999998E-5</v>
      </c>
      <c r="J335" s="1403">
        <v>5.9536999999999995</v>
      </c>
    </row>
    <row r="336" spans="2:10" x14ac:dyDescent="0.25">
      <c r="B336" s="1400" t="s">
        <v>716</v>
      </c>
      <c r="C336" s="1401">
        <v>2050</v>
      </c>
      <c r="D336" s="1400">
        <v>1022000</v>
      </c>
      <c r="E336" s="1402">
        <v>1021000</v>
      </c>
      <c r="F336" s="1403">
        <v>15510</v>
      </c>
      <c r="G336" s="1400">
        <v>1.6964999999999999</v>
      </c>
      <c r="H336" s="1402">
        <v>0.14096238999999999</v>
      </c>
      <c r="I336" s="1402">
        <v>3.2765999999999998E-5</v>
      </c>
      <c r="J336" s="1403">
        <v>5.9536999999999995</v>
      </c>
    </row>
    <row r="337" spans="2:10" x14ac:dyDescent="0.25">
      <c r="B337" s="1400" t="s">
        <v>717</v>
      </c>
      <c r="C337" s="1401">
        <v>2050</v>
      </c>
      <c r="D337" s="1400">
        <v>1022000</v>
      </c>
      <c r="E337" s="1402">
        <v>1021000</v>
      </c>
      <c r="F337" s="1403">
        <v>15510</v>
      </c>
      <c r="G337" s="1400">
        <v>1.6964999999999999</v>
      </c>
      <c r="H337" s="1402">
        <v>0.14096238999999999</v>
      </c>
      <c r="I337" s="1402">
        <v>3.2765999999999998E-5</v>
      </c>
      <c r="J337" s="1403">
        <v>5.9536999999999995</v>
      </c>
    </row>
    <row r="338" spans="2:10" x14ac:dyDescent="0.25">
      <c r="B338" s="1400" t="s">
        <v>913</v>
      </c>
      <c r="C338" s="1401">
        <v>2050</v>
      </c>
      <c r="D338" s="1400">
        <v>1209000</v>
      </c>
      <c r="E338" s="1402">
        <v>1202000</v>
      </c>
      <c r="F338" s="1403">
        <v>1052000</v>
      </c>
      <c r="G338" s="1400">
        <v>17.969000000000001</v>
      </c>
      <c r="H338" s="1402">
        <v>0.164128</v>
      </c>
      <c r="I338" s="1402">
        <v>2.9025999999999998E-4</v>
      </c>
      <c r="J338" s="1403">
        <v>22.988</v>
      </c>
    </row>
    <row r="339" spans="2:10" x14ac:dyDescent="0.25">
      <c r="B339" s="1400" t="s">
        <v>911</v>
      </c>
      <c r="C339" s="1401">
        <v>2050</v>
      </c>
      <c r="D339" s="1400">
        <v>1585000</v>
      </c>
      <c r="E339" s="1402">
        <v>696300</v>
      </c>
      <c r="F339" s="1403">
        <v>286000</v>
      </c>
      <c r="G339" s="1400">
        <v>38.049999999999997</v>
      </c>
      <c r="H339" s="1402">
        <v>0.1118</v>
      </c>
      <c r="I339" s="1402">
        <v>2.5350000000000001E-2</v>
      </c>
      <c r="J339" s="1403">
        <v>45.19</v>
      </c>
    </row>
    <row r="340" spans="2:10" x14ac:dyDescent="0.25">
      <c r="B340" s="1400" t="s">
        <v>914</v>
      </c>
      <c r="C340" s="1401">
        <v>2050</v>
      </c>
      <c r="D340" s="1400">
        <v>1249000</v>
      </c>
      <c r="E340" s="1402">
        <v>1242000</v>
      </c>
      <c r="F340" s="1403">
        <v>1078000</v>
      </c>
      <c r="G340" s="1400">
        <v>23.84</v>
      </c>
      <c r="H340" s="1402">
        <v>0.16985799999999998</v>
      </c>
      <c r="I340" s="1402">
        <v>3.7813000000000001E-4</v>
      </c>
      <c r="J340" s="1403">
        <v>29.157000000000004</v>
      </c>
    </row>
    <row r="341" spans="2:10" x14ac:dyDescent="0.25">
      <c r="B341" s="1400" t="s">
        <v>1082</v>
      </c>
      <c r="C341" s="1401">
        <v>2050</v>
      </c>
      <c r="D341" s="1400">
        <v>1190000</v>
      </c>
      <c r="E341" s="1402">
        <v>51590</v>
      </c>
      <c r="F341" s="1403">
        <v>29220</v>
      </c>
      <c r="G341" s="1400">
        <v>3.7582</v>
      </c>
      <c r="H341" s="1402">
        <v>8.4366999999999984E-3</v>
      </c>
      <c r="I341" s="1402">
        <v>-3.8261190000000002E-3</v>
      </c>
      <c r="J341" s="1403">
        <v>3.0054000000000003</v>
      </c>
    </row>
    <row r="342" spans="2:10" x14ac:dyDescent="0.25">
      <c r="B342" s="1400" t="s">
        <v>815</v>
      </c>
      <c r="C342" s="1401">
        <v>2050</v>
      </c>
      <c r="D342" s="1400">
        <v>1190000</v>
      </c>
      <c r="E342" s="1402">
        <v>51590</v>
      </c>
      <c r="F342" s="1403">
        <v>29220</v>
      </c>
      <c r="G342" s="1400">
        <v>3.7582</v>
      </c>
      <c r="H342" s="1402">
        <v>8.4366999999999984E-3</v>
      </c>
      <c r="I342" s="1402">
        <v>-3.8261190000000002E-3</v>
      </c>
      <c r="J342" s="1403">
        <v>3.0054000000000003</v>
      </c>
    </row>
    <row r="343" spans="2:10" x14ac:dyDescent="0.25">
      <c r="B343" s="1400" t="s">
        <v>824</v>
      </c>
      <c r="C343" s="1401">
        <v>2050</v>
      </c>
      <c r="D343" s="1400">
        <v>1190000</v>
      </c>
      <c r="E343" s="1402">
        <v>51590</v>
      </c>
      <c r="F343" s="1403">
        <v>29220</v>
      </c>
      <c r="G343" s="1400">
        <v>3.7582</v>
      </c>
      <c r="H343" s="1402">
        <v>8.4366999999999984E-3</v>
      </c>
      <c r="I343" s="1402">
        <v>-3.8261190000000002E-3</v>
      </c>
      <c r="J343" s="1403">
        <v>3.0054000000000003</v>
      </c>
    </row>
    <row r="344" spans="2:10" ht="13.8" thickBot="1" x14ac:dyDescent="0.3">
      <c r="B344" s="1404" t="s">
        <v>1089</v>
      </c>
      <c r="C344" s="1405">
        <v>2050</v>
      </c>
      <c r="D344" s="1404">
        <v>1384000</v>
      </c>
      <c r="E344" s="1406">
        <v>1383000</v>
      </c>
      <c r="F344" s="1407">
        <v>5034</v>
      </c>
      <c r="G344" s="1404">
        <v>78.571100000000001</v>
      </c>
      <c r="H344" s="1406">
        <v>0.27494000000000002</v>
      </c>
      <c r="I344" s="1406">
        <v>2.3304000000000003E-3</v>
      </c>
      <c r="J344" s="1407">
        <v>87.594300000000004</v>
      </c>
    </row>
    <row r="345" spans="2:10" x14ac:dyDescent="0.25">
      <c r="B345" s="1396" t="s">
        <v>1086</v>
      </c>
      <c r="C345" s="1397">
        <v>2055</v>
      </c>
      <c r="D345" s="1396">
        <v>1092000</v>
      </c>
      <c r="E345" s="1398">
        <v>1092000</v>
      </c>
      <c r="F345" s="1399">
        <v>3971</v>
      </c>
      <c r="G345" s="1396">
        <v>5.7390999999999996</v>
      </c>
      <c r="H345" s="1398">
        <v>0.18462200000000001</v>
      </c>
      <c r="I345" s="1398">
        <v>8.61E-4</v>
      </c>
      <c r="J345" s="1399">
        <v>11.5648</v>
      </c>
    </row>
    <row r="346" spans="2:10" x14ac:dyDescent="0.25">
      <c r="B346" s="1400" t="s">
        <v>283</v>
      </c>
      <c r="C346" s="1401">
        <v>2055</v>
      </c>
      <c r="D346" s="1400">
        <v>1092000</v>
      </c>
      <c r="E346" s="1402">
        <v>1092000</v>
      </c>
      <c r="F346" s="1403">
        <v>3971</v>
      </c>
      <c r="G346" s="1400">
        <v>5.7390999999999996</v>
      </c>
      <c r="H346" s="1402">
        <v>0.18462200000000001</v>
      </c>
      <c r="I346" s="1402">
        <v>8.61E-4</v>
      </c>
      <c r="J346" s="1403">
        <v>11.5648</v>
      </c>
    </row>
    <row r="347" spans="2:10" x14ac:dyDescent="0.25">
      <c r="B347" s="1400" t="s">
        <v>1087</v>
      </c>
      <c r="C347" s="1401">
        <v>2055</v>
      </c>
      <c r="D347" s="1400">
        <v>1092000</v>
      </c>
      <c r="E347" s="1402">
        <v>1092000</v>
      </c>
      <c r="F347" s="1403">
        <v>3971</v>
      </c>
      <c r="G347" s="1400">
        <v>5.7390999999999996</v>
      </c>
      <c r="H347" s="1402">
        <v>0.18462200000000001</v>
      </c>
      <c r="I347" s="1402">
        <v>8.61E-4</v>
      </c>
      <c r="J347" s="1403">
        <v>11.5648</v>
      </c>
    </row>
    <row r="348" spans="2:10" x14ac:dyDescent="0.25">
      <c r="B348" s="1400" t="s">
        <v>681</v>
      </c>
      <c r="C348" s="1401">
        <v>2055</v>
      </c>
      <c r="D348" s="1400">
        <v>1092000</v>
      </c>
      <c r="E348" s="1402">
        <v>1092000</v>
      </c>
      <c r="F348" s="1403">
        <v>3971</v>
      </c>
      <c r="G348" s="1400">
        <v>5.7390999999999996</v>
      </c>
      <c r="H348" s="1402">
        <v>0.18462200000000001</v>
      </c>
      <c r="I348" s="1402">
        <v>8.61E-4</v>
      </c>
      <c r="J348" s="1403">
        <v>11.5648</v>
      </c>
    </row>
    <row r="349" spans="2:10" x14ac:dyDescent="0.25">
      <c r="B349" s="1400" t="s">
        <v>682</v>
      </c>
      <c r="C349" s="1401">
        <v>2055</v>
      </c>
      <c r="D349" s="1400">
        <v>-1185000</v>
      </c>
      <c r="E349" s="1402">
        <v>0</v>
      </c>
      <c r="F349" s="1403">
        <v>0</v>
      </c>
      <c r="G349" s="1400">
        <v>-85.800000000000011</v>
      </c>
      <c r="H349" s="1402">
        <v>0.54700000000000004</v>
      </c>
      <c r="I349" s="1402">
        <v>-1.8286999999999999E-3</v>
      </c>
      <c r="J349" s="1403">
        <v>-70.08</v>
      </c>
    </row>
    <row r="350" spans="2:10" x14ac:dyDescent="0.25">
      <c r="B350" s="1400" t="s">
        <v>683</v>
      </c>
      <c r="C350" s="1401">
        <v>2055</v>
      </c>
      <c r="D350" s="1400">
        <v>1721000</v>
      </c>
      <c r="E350" s="1402">
        <v>1293000</v>
      </c>
      <c r="F350" s="1403">
        <v>15050</v>
      </c>
      <c r="G350" s="1400">
        <v>125.08</v>
      </c>
      <c r="H350" s="1402">
        <v>0.20477100000000001</v>
      </c>
      <c r="I350" s="1402">
        <v>1.7827000000000001E-3</v>
      </c>
      <c r="J350" s="1403">
        <v>129.82</v>
      </c>
    </row>
    <row r="351" spans="2:10" x14ac:dyDescent="0.25">
      <c r="B351" s="1400" t="s">
        <v>698</v>
      </c>
      <c r="C351" s="1401">
        <v>2055</v>
      </c>
      <c r="D351" s="1400">
        <v>1721000</v>
      </c>
      <c r="E351" s="1402">
        <v>1293000</v>
      </c>
      <c r="F351" s="1403">
        <v>15050</v>
      </c>
      <c r="G351" s="1400">
        <v>125.08</v>
      </c>
      <c r="H351" s="1402">
        <v>0.20477100000000001</v>
      </c>
      <c r="I351" s="1402">
        <v>1.7827000000000001E-3</v>
      </c>
      <c r="J351" s="1403">
        <v>129.82</v>
      </c>
    </row>
    <row r="352" spans="2:10" x14ac:dyDescent="0.25">
      <c r="B352" s="1400" t="s">
        <v>684</v>
      </c>
      <c r="C352" s="1401">
        <v>2055</v>
      </c>
      <c r="D352" s="1400">
        <v>1721000</v>
      </c>
      <c r="E352" s="1402">
        <v>1293000</v>
      </c>
      <c r="F352" s="1403">
        <v>15050</v>
      </c>
      <c r="G352" s="1400">
        <v>125.08</v>
      </c>
      <c r="H352" s="1402">
        <v>0.20477100000000001</v>
      </c>
      <c r="I352" s="1402">
        <v>1.7827000000000001E-3</v>
      </c>
      <c r="J352" s="1403">
        <v>129.82</v>
      </c>
    </row>
    <row r="353" spans="2:10" x14ac:dyDescent="0.25">
      <c r="B353" s="1400" t="s">
        <v>1088</v>
      </c>
      <c r="C353" s="1401">
        <v>2055</v>
      </c>
      <c r="D353" s="1400">
        <v>1022000</v>
      </c>
      <c r="E353" s="1402">
        <v>1021000</v>
      </c>
      <c r="F353" s="1403">
        <v>15510</v>
      </c>
      <c r="G353" s="1400">
        <v>1.6964999999999999</v>
      </c>
      <c r="H353" s="1402">
        <v>0.14096238999999999</v>
      </c>
      <c r="I353" s="1402">
        <v>3.2765999999999998E-5</v>
      </c>
      <c r="J353" s="1403">
        <v>5.9536999999999995</v>
      </c>
    </row>
    <row r="354" spans="2:10" x14ac:dyDescent="0.25">
      <c r="B354" s="1400" t="s">
        <v>716</v>
      </c>
      <c r="C354" s="1401">
        <v>2055</v>
      </c>
      <c r="D354" s="1400">
        <v>1022000</v>
      </c>
      <c r="E354" s="1402">
        <v>1021000</v>
      </c>
      <c r="F354" s="1403">
        <v>15510</v>
      </c>
      <c r="G354" s="1400">
        <v>1.6964999999999999</v>
      </c>
      <c r="H354" s="1402">
        <v>0.14096238999999999</v>
      </c>
      <c r="I354" s="1402">
        <v>3.2765999999999998E-5</v>
      </c>
      <c r="J354" s="1403">
        <v>5.9536999999999995</v>
      </c>
    </row>
    <row r="355" spans="2:10" x14ac:dyDescent="0.25">
      <c r="B355" s="1400" t="s">
        <v>717</v>
      </c>
      <c r="C355" s="1401">
        <v>2055</v>
      </c>
      <c r="D355" s="1400">
        <v>1022000</v>
      </c>
      <c r="E355" s="1402">
        <v>1021000</v>
      </c>
      <c r="F355" s="1403">
        <v>15510</v>
      </c>
      <c r="G355" s="1400">
        <v>1.6964999999999999</v>
      </c>
      <c r="H355" s="1402">
        <v>0.14096238999999999</v>
      </c>
      <c r="I355" s="1402">
        <v>3.2765999999999998E-5</v>
      </c>
      <c r="J355" s="1403">
        <v>5.9536999999999995</v>
      </c>
    </row>
    <row r="356" spans="2:10" x14ac:dyDescent="0.25">
      <c r="B356" s="1400" t="s">
        <v>913</v>
      </c>
      <c r="C356" s="1401">
        <v>2055</v>
      </c>
      <c r="D356" s="1400">
        <v>1209000</v>
      </c>
      <c r="E356" s="1402">
        <v>1202000</v>
      </c>
      <c r="F356" s="1403">
        <v>1052000</v>
      </c>
      <c r="G356" s="1400">
        <v>17.969000000000001</v>
      </c>
      <c r="H356" s="1402">
        <v>0.164128</v>
      </c>
      <c r="I356" s="1402">
        <v>2.9025999999999998E-4</v>
      </c>
      <c r="J356" s="1403">
        <v>22.988</v>
      </c>
    </row>
    <row r="357" spans="2:10" x14ac:dyDescent="0.25">
      <c r="B357" s="1400" t="s">
        <v>911</v>
      </c>
      <c r="C357" s="1401">
        <v>2055</v>
      </c>
      <c r="D357" s="1400">
        <v>1585000</v>
      </c>
      <c r="E357" s="1402">
        <v>696300</v>
      </c>
      <c r="F357" s="1403">
        <v>286000</v>
      </c>
      <c r="G357" s="1400">
        <v>38.049999999999997</v>
      </c>
      <c r="H357" s="1402">
        <v>0.1118</v>
      </c>
      <c r="I357" s="1402">
        <v>2.5350000000000001E-2</v>
      </c>
      <c r="J357" s="1403">
        <v>45.19</v>
      </c>
    </row>
    <row r="358" spans="2:10" x14ac:dyDescent="0.25">
      <c r="B358" s="1400" t="s">
        <v>914</v>
      </c>
      <c r="C358" s="1401">
        <v>2055</v>
      </c>
      <c r="D358" s="1400">
        <v>1249000</v>
      </c>
      <c r="E358" s="1402">
        <v>1242000</v>
      </c>
      <c r="F358" s="1403">
        <v>1078000</v>
      </c>
      <c r="G358" s="1400">
        <v>23.84</v>
      </c>
      <c r="H358" s="1402">
        <v>0.16985799999999998</v>
      </c>
      <c r="I358" s="1402">
        <v>3.7813000000000001E-4</v>
      </c>
      <c r="J358" s="1403">
        <v>29.157000000000004</v>
      </c>
    </row>
    <row r="359" spans="2:10" x14ac:dyDescent="0.25">
      <c r="B359" s="1400" t="s">
        <v>1082</v>
      </c>
      <c r="C359" s="1401">
        <v>2055</v>
      </c>
      <c r="D359" s="1400">
        <v>1190000</v>
      </c>
      <c r="E359" s="1402">
        <v>51590</v>
      </c>
      <c r="F359" s="1403">
        <v>29220</v>
      </c>
      <c r="G359" s="1400">
        <v>3.7582</v>
      </c>
      <c r="H359" s="1402">
        <v>8.4366999999999984E-3</v>
      </c>
      <c r="I359" s="1402">
        <v>-3.8261190000000002E-3</v>
      </c>
      <c r="J359" s="1403">
        <v>3.0054000000000003</v>
      </c>
    </row>
    <row r="360" spans="2:10" x14ac:dyDescent="0.25">
      <c r="B360" s="1400" t="s">
        <v>815</v>
      </c>
      <c r="C360" s="1401">
        <v>2055</v>
      </c>
      <c r="D360" s="1400">
        <v>1190000</v>
      </c>
      <c r="E360" s="1402">
        <v>51590</v>
      </c>
      <c r="F360" s="1403">
        <v>29220</v>
      </c>
      <c r="G360" s="1400">
        <v>3.7582</v>
      </c>
      <c r="H360" s="1402">
        <v>8.4366999999999984E-3</v>
      </c>
      <c r="I360" s="1402">
        <v>-3.8261190000000002E-3</v>
      </c>
      <c r="J360" s="1403">
        <v>3.0054000000000003</v>
      </c>
    </row>
    <row r="361" spans="2:10" x14ac:dyDescent="0.25">
      <c r="B361" s="1400" t="s">
        <v>824</v>
      </c>
      <c r="C361" s="1401">
        <v>2055</v>
      </c>
      <c r="D361" s="1400">
        <v>1190000</v>
      </c>
      <c r="E361" s="1402">
        <v>51590</v>
      </c>
      <c r="F361" s="1403">
        <v>29220</v>
      </c>
      <c r="G361" s="1400">
        <v>3.7582</v>
      </c>
      <c r="H361" s="1402">
        <v>8.4366999999999984E-3</v>
      </c>
      <c r="I361" s="1402">
        <v>-3.8261190000000002E-3</v>
      </c>
      <c r="J361" s="1403">
        <v>3.0054000000000003</v>
      </c>
    </row>
    <row r="362" spans="2:10" ht="13.8" thickBot="1" x14ac:dyDescent="0.3">
      <c r="B362" s="1404" t="s">
        <v>1089</v>
      </c>
      <c r="C362" s="1405">
        <v>2055</v>
      </c>
      <c r="D362" s="1404">
        <v>1384000</v>
      </c>
      <c r="E362" s="1406">
        <v>1383000</v>
      </c>
      <c r="F362" s="1407">
        <v>5034</v>
      </c>
      <c r="G362" s="1404">
        <v>78.571100000000001</v>
      </c>
      <c r="H362" s="1406">
        <v>0.27494000000000002</v>
      </c>
      <c r="I362" s="1406">
        <v>2.3304000000000003E-3</v>
      </c>
      <c r="J362" s="1407">
        <v>87.594300000000004</v>
      </c>
    </row>
    <row r="363" spans="2:10" x14ac:dyDescent="0.25">
      <c r="B363" s="1396" t="s">
        <v>1086</v>
      </c>
      <c r="C363" s="1397">
        <v>2060</v>
      </c>
      <c r="D363" s="1396">
        <v>1092000</v>
      </c>
      <c r="E363" s="1398">
        <v>1092000</v>
      </c>
      <c r="F363" s="1399">
        <v>3971</v>
      </c>
      <c r="G363" s="1396">
        <v>5.7390999999999996</v>
      </c>
      <c r="H363" s="1398">
        <v>0.18462200000000001</v>
      </c>
      <c r="I363" s="1398">
        <v>8.61E-4</v>
      </c>
      <c r="J363" s="1399">
        <v>11.5648</v>
      </c>
    </row>
    <row r="364" spans="2:10" x14ac:dyDescent="0.25">
      <c r="B364" s="1400" t="s">
        <v>283</v>
      </c>
      <c r="C364" s="1401">
        <v>2060</v>
      </c>
      <c r="D364" s="1400">
        <v>1092000</v>
      </c>
      <c r="E364" s="1402">
        <v>1092000</v>
      </c>
      <c r="F364" s="1403">
        <v>3971</v>
      </c>
      <c r="G364" s="1400">
        <v>5.7390999999999996</v>
      </c>
      <c r="H364" s="1402">
        <v>0.18462200000000001</v>
      </c>
      <c r="I364" s="1402">
        <v>8.61E-4</v>
      </c>
      <c r="J364" s="1403">
        <v>11.5648</v>
      </c>
    </row>
    <row r="365" spans="2:10" x14ac:dyDescent="0.25">
      <c r="B365" s="1400" t="s">
        <v>1087</v>
      </c>
      <c r="C365" s="1401">
        <v>2060</v>
      </c>
      <c r="D365" s="1400">
        <v>1092000</v>
      </c>
      <c r="E365" s="1402">
        <v>1092000</v>
      </c>
      <c r="F365" s="1403">
        <v>3971</v>
      </c>
      <c r="G365" s="1400">
        <v>5.7390999999999996</v>
      </c>
      <c r="H365" s="1402">
        <v>0.18462200000000001</v>
      </c>
      <c r="I365" s="1402">
        <v>8.61E-4</v>
      </c>
      <c r="J365" s="1403">
        <v>11.5648</v>
      </c>
    </row>
    <row r="366" spans="2:10" x14ac:dyDescent="0.25">
      <c r="B366" s="1400" t="s">
        <v>681</v>
      </c>
      <c r="C366" s="1401">
        <v>2060</v>
      </c>
      <c r="D366" s="1400">
        <v>1092000</v>
      </c>
      <c r="E366" s="1402">
        <v>1092000</v>
      </c>
      <c r="F366" s="1403">
        <v>3971</v>
      </c>
      <c r="G366" s="1400">
        <v>5.7390999999999996</v>
      </c>
      <c r="H366" s="1402">
        <v>0.18462200000000001</v>
      </c>
      <c r="I366" s="1402">
        <v>8.61E-4</v>
      </c>
      <c r="J366" s="1403">
        <v>11.5648</v>
      </c>
    </row>
    <row r="367" spans="2:10" x14ac:dyDescent="0.25">
      <c r="B367" s="1400" t="s">
        <v>682</v>
      </c>
      <c r="C367" s="1401">
        <v>2060</v>
      </c>
      <c r="D367" s="1400">
        <v>-1185000</v>
      </c>
      <c r="E367" s="1402">
        <v>0</v>
      </c>
      <c r="F367" s="1403">
        <v>0</v>
      </c>
      <c r="G367" s="1400">
        <v>-85.800000000000011</v>
      </c>
      <c r="H367" s="1402">
        <v>0.54700000000000004</v>
      </c>
      <c r="I367" s="1402">
        <v>-1.8286999999999999E-3</v>
      </c>
      <c r="J367" s="1403">
        <v>-70.08</v>
      </c>
    </row>
    <row r="368" spans="2:10" x14ac:dyDescent="0.25">
      <c r="B368" s="1400" t="s">
        <v>683</v>
      </c>
      <c r="C368" s="1401">
        <v>2060</v>
      </c>
      <c r="D368" s="1400">
        <v>1721000</v>
      </c>
      <c r="E368" s="1402">
        <v>1293000</v>
      </c>
      <c r="F368" s="1403">
        <v>15050</v>
      </c>
      <c r="G368" s="1400">
        <v>125.08</v>
      </c>
      <c r="H368" s="1402">
        <v>0.20477100000000001</v>
      </c>
      <c r="I368" s="1402">
        <v>1.7827000000000001E-3</v>
      </c>
      <c r="J368" s="1403">
        <v>129.82</v>
      </c>
    </row>
    <row r="369" spans="2:10" x14ac:dyDescent="0.25">
      <c r="B369" s="1400" t="s">
        <v>698</v>
      </c>
      <c r="C369" s="1401">
        <v>2060</v>
      </c>
      <c r="D369" s="1400">
        <v>1721000</v>
      </c>
      <c r="E369" s="1402">
        <v>1293000</v>
      </c>
      <c r="F369" s="1403">
        <v>15050</v>
      </c>
      <c r="G369" s="1400">
        <v>125.08</v>
      </c>
      <c r="H369" s="1402">
        <v>0.20477100000000001</v>
      </c>
      <c r="I369" s="1402">
        <v>1.7827000000000001E-3</v>
      </c>
      <c r="J369" s="1403">
        <v>129.82</v>
      </c>
    </row>
    <row r="370" spans="2:10" x14ac:dyDescent="0.25">
      <c r="B370" s="1400" t="s">
        <v>684</v>
      </c>
      <c r="C370" s="1401">
        <v>2060</v>
      </c>
      <c r="D370" s="1400">
        <v>1721000</v>
      </c>
      <c r="E370" s="1402">
        <v>1293000</v>
      </c>
      <c r="F370" s="1403">
        <v>15050</v>
      </c>
      <c r="G370" s="1400">
        <v>125.08</v>
      </c>
      <c r="H370" s="1402">
        <v>0.20477100000000001</v>
      </c>
      <c r="I370" s="1402">
        <v>1.7827000000000001E-3</v>
      </c>
      <c r="J370" s="1403">
        <v>129.82</v>
      </c>
    </row>
    <row r="371" spans="2:10" x14ac:dyDescent="0.25">
      <c r="B371" s="1400" t="s">
        <v>1088</v>
      </c>
      <c r="C371" s="1401">
        <v>2060</v>
      </c>
      <c r="D371" s="1400">
        <v>1022000</v>
      </c>
      <c r="E371" s="1402">
        <v>1021000</v>
      </c>
      <c r="F371" s="1403">
        <v>15510</v>
      </c>
      <c r="G371" s="1400">
        <v>1.6964999999999999</v>
      </c>
      <c r="H371" s="1402">
        <v>0.14096238999999999</v>
      </c>
      <c r="I371" s="1402">
        <v>3.2765999999999998E-5</v>
      </c>
      <c r="J371" s="1403">
        <v>5.9536999999999995</v>
      </c>
    </row>
    <row r="372" spans="2:10" x14ac:dyDescent="0.25">
      <c r="B372" s="1400" t="s">
        <v>716</v>
      </c>
      <c r="C372" s="1401">
        <v>2060</v>
      </c>
      <c r="D372" s="1400">
        <v>1022000</v>
      </c>
      <c r="E372" s="1402">
        <v>1021000</v>
      </c>
      <c r="F372" s="1403">
        <v>15510</v>
      </c>
      <c r="G372" s="1400">
        <v>1.6964999999999999</v>
      </c>
      <c r="H372" s="1402">
        <v>0.14096238999999999</v>
      </c>
      <c r="I372" s="1402">
        <v>3.2765999999999998E-5</v>
      </c>
      <c r="J372" s="1403">
        <v>5.9536999999999995</v>
      </c>
    </row>
    <row r="373" spans="2:10" x14ac:dyDescent="0.25">
      <c r="B373" s="1400" t="s">
        <v>717</v>
      </c>
      <c r="C373" s="1401">
        <v>2060</v>
      </c>
      <c r="D373" s="1400">
        <v>1022000</v>
      </c>
      <c r="E373" s="1402">
        <v>1021000</v>
      </c>
      <c r="F373" s="1403">
        <v>15510</v>
      </c>
      <c r="G373" s="1400">
        <v>1.6964999999999999</v>
      </c>
      <c r="H373" s="1402">
        <v>0.14096238999999999</v>
      </c>
      <c r="I373" s="1402">
        <v>3.2765999999999998E-5</v>
      </c>
      <c r="J373" s="1403">
        <v>5.9536999999999995</v>
      </c>
    </row>
    <row r="374" spans="2:10" x14ac:dyDescent="0.25">
      <c r="B374" s="1400" t="s">
        <v>913</v>
      </c>
      <c r="C374" s="1401">
        <v>2060</v>
      </c>
      <c r="D374" s="1400">
        <v>1209000</v>
      </c>
      <c r="E374" s="1402">
        <v>1202000</v>
      </c>
      <c r="F374" s="1403">
        <v>1052000</v>
      </c>
      <c r="G374" s="1400">
        <v>17.969000000000001</v>
      </c>
      <c r="H374" s="1402">
        <v>0.164128</v>
      </c>
      <c r="I374" s="1402">
        <v>2.9025999999999998E-4</v>
      </c>
      <c r="J374" s="1403">
        <v>22.988</v>
      </c>
    </row>
    <row r="375" spans="2:10" x14ac:dyDescent="0.25">
      <c r="B375" s="1400" t="s">
        <v>911</v>
      </c>
      <c r="C375" s="1401">
        <v>2060</v>
      </c>
      <c r="D375" s="1400">
        <v>1585000</v>
      </c>
      <c r="E375" s="1402">
        <v>696300</v>
      </c>
      <c r="F375" s="1403">
        <v>286000</v>
      </c>
      <c r="G375" s="1400">
        <v>38.049999999999997</v>
      </c>
      <c r="H375" s="1402">
        <v>0.1118</v>
      </c>
      <c r="I375" s="1402">
        <v>2.5350000000000001E-2</v>
      </c>
      <c r="J375" s="1403">
        <v>45.19</v>
      </c>
    </row>
    <row r="376" spans="2:10" x14ac:dyDescent="0.25">
      <c r="B376" s="1400" t="s">
        <v>914</v>
      </c>
      <c r="C376" s="1401">
        <v>2060</v>
      </c>
      <c r="D376" s="1400">
        <v>1249000</v>
      </c>
      <c r="E376" s="1402">
        <v>1242000</v>
      </c>
      <c r="F376" s="1403">
        <v>1078000</v>
      </c>
      <c r="G376" s="1400">
        <v>23.84</v>
      </c>
      <c r="H376" s="1402">
        <v>0.16985799999999998</v>
      </c>
      <c r="I376" s="1402">
        <v>3.7813000000000001E-4</v>
      </c>
      <c r="J376" s="1403">
        <v>29.157000000000004</v>
      </c>
    </row>
    <row r="377" spans="2:10" x14ac:dyDescent="0.25">
      <c r="B377" s="1400" t="s">
        <v>1082</v>
      </c>
      <c r="C377" s="1401">
        <v>2060</v>
      </c>
      <c r="D377" s="1400">
        <v>1190000</v>
      </c>
      <c r="E377" s="1402">
        <v>51590</v>
      </c>
      <c r="F377" s="1403">
        <v>29220</v>
      </c>
      <c r="G377" s="1400">
        <v>3.7582</v>
      </c>
      <c r="H377" s="1402">
        <v>8.4366999999999984E-3</v>
      </c>
      <c r="I377" s="1402">
        <v>-3.8261190000000002E-3</v>
      </c>
      <c r="J377" s="1403">
        <v>3.0054000000000003</v>
      </c>
    </row>
    <row r="378" spans="2:10" x14ac:dyDescent="0.25">
      <c r="B378" s="1400" t="s">
        <v>815</v>
      </c>
      <c r="C378" s="1401">
        <v>2060</v>
      </c>
      <c r="D378" s="1400">
        <v>1190000</v>
      </c>
      <c r="E378" s="1402">
        <v>51590</v>
      </c>
      <c r="F378" s="1403">
        <v>29220</v>
      </c>
      <c r="G378" s="1400">
        <v>3.7582</v>
      </c>
      <c r="H378" s="1402">
        <v>8.4366999999999984E-3</v>
      </c>
      <c r="I378" s="1402">
        <v>-3.8261190000000002E-3</v>
      </c>
      <c r="J378" s="1403">
        <v>3.0054000000000003</v>
      </c>
    </row>
    <row r="379" spans="2:10" x14ac:dyDescent="0.25">
      <c r="B379" s="1400" t="s">
        <v>824</v>
      </c>
      <c r="C379" s="1401">
        <v>2060</v>
      </c>
      <c r="D379" s="1400">
        <v>1190000</v>
      </c>
      <c r="E379" s="1402">
        <v>51590</v>
      </c>
      <c r="F379" s="1403">
        <v>29220</v>
      </c>
      <c r="G379" s="1400">
        <v>3.7582</v>
      </c>
      <c r="H379" s="1402">
        <v>8.4366999999999984E-3</v>
      </c>
      <c r="I379" s="1402">
        <v>-3.8261190000000002E-3</v>
      </c>
      <c r="J379" s="1403">
        <v>3.0054000000000003</v>
      </c>
    </row>
    <row r="380" spans="2:10" ht="13.8" thickBot="1" x14ac:dyDescent="0.3">
      <c r="B380" s="1404" t="s">
        <v>1089</v>
      </c>
      <c r="C380" s="1405">
        <v>2060</v>
      </c>
      <c r="D380" s="1404">
        <v>1384000</v>
      </c>
      <c r="E380" s="1406">
        <v>1383000</v>
      </c>
      <c r="F380" s="1407">
        <v>5034</v>
      </c>
      <c r="G380" s="1404">
        <v>78.571100000000001</v>
      </c>
      <c r="H380" s="1406">
        <v>0.27494000000000002</v>
      </c>
      <c r="I380" s="1406">
        <v>2.3304000000000003E-3</v>
      </c>
      <c r="J380" s="1407">
        <v>87.594300000000004</v>
      </c>
    </row>
    <row r="381" spans="2:10" x14ac:dyDescent="0.25">
      <c r="B381" s="1396" t="s">
        <v>1086</v>
      </c>
      <c r="C381" s="1397">
        <v>2065</v>
      </c>
      <c r="D381" s="1396">
        <v>1092000</v>
      </c>
      <c r="E381" s="1398">
        <v>1092000</v>
      </c>
      <c r="F381" s="1399">
        <v>3971</v>
      </c>
      <c r="G381" s="1396">
        <v>5.7390999999999996</v>
      </c>
      <c r="H381" s="1398">
        <v>0.18462200000000001</v>
      </c>
      <c r="I381" s="1398">
        <v>8.61E-4</v>
      </c>
      <c r="J381" s="1399">
        <v>11.5648</v>
      </c>
    </row>
    <row r="382" spans="2:10" x14ac:dyDescent="0.25">
      <c r="B382" s="1400" t="s">
        <v>283</v>
      </c>
      <c r="C382" s="1401">
        <v>2065</v>
      </c>
      <c r="D382" s="1400">
        <v>1092000</v>
      </c>
      <c r="E382" s="1402">
        <v>1092000</v>
      </c>
      <c r="F382" s="1403">
        <v>3971</v>
      </c>
      <c r="G382" s="1400">
        <v>5.7390999999999996</v>
      </c>
      <c r="H382" s="1402">
        <v>0.18462200000000001</v>
      </c>
      <c r="I382" s="1402">
        <v>8.61E-4</v>
      </c>
      <c r="J382" s="1403">
        <v>11.5648</v>
      </c>
    </row>
    <row r="383" spans="2:10" x14ac:dyDescent="0.25">
      <c r="B383" s="1400" t="s">
        <v>1087</v>
      </c>
      <c r="C383" s="1401">
        <v>2065</v>
      </c>
      <c r="D383" s="1400">
        <v>1092000</v>
      </c>
      <c r="E383" s="1402">
        <v>1092000</v>
      </c>
      <c r="F383" s="1403">
        <v>3971</v>
      </c>
      <c r="G383" s="1400">
        <v>5.7390999999999996</v>
      </c>
      <c r="H383" s="1402">
        <v>0.18462200000000001</v>
      </c>
      <c r="I383" s="1402">
        <v>8.61E-4</v>
      </c>
      <c r="J383" s="1403">
        <v>11.5648</v>
      </c>
    </row>
    <row r="384" spans="2:10" x14ac:dyDescent="0.25">
      <c r="B384" s="1400" t="s">
        <v>681</v>
      </c>
      <c r="C384" s="1401">
        <v>2065</v>
      </c>
      <c r="D384" s="1400">
        <v>1092000</v>
      </c>
      <c r="E384" s="1402">
        <v>1092000</v>
      </c>
      <c r="F384" s="1403">
        <v>3971</v>
      </c>
      <c r="G384" s="1400">
        <v>5.7390999999999996</v>
      </c>
      <c r="H384" s="1402">
        <v>0.18462200000000001</v>
      </c>
      <c r="I384" s="1402">
        <v>8.61E-4</v>
      </c>
      <c r="J384" s="1403">
        <v>11.5648</v>
      </c>
    </row>
    <row r="385" spans="2:10" x14ac:dyDescent="0.25">
      <c r="B385" s="1400" t="s">
        <v>682</v>
      </c>
      <c r="C385" s="1401">
        <v>2065</v>
      </c>
      <c r="D385" s="1400">
        <v>-1185000</v>
      </c>
      <c r="E385" s="1402">
        <v>0</v>
      </c>
      <c r="F385" s="1403">
        <v>0</v>
      </c>
      <c r="G385" s="1400">
        <v>-85.800000000000011</v>
      </c>
      <c r="H385" s="1402">
        <v>0.54700000000000004</v>
      </c>
      <c r="I385" s="1402">
        <v>-1.8286999999999999E-3</v>
      </c>
      <c r="J385" s="1403">
        <v>-70.08</v>
      </c>
    </row>
    <row r="386" spans="2:10" x14ac:dyDescent="0.25">
      <c r="B386" s="1400" t="s">
        <v>683</v>
      </c>
      <c r="C386" s="1401">
        <v>2065</v>
      </c>
      <c r="D386" s="1400">
        <v>1721000</v>
      </c>
      <c r="E386" s="1402">
        <v>1293000</v>
      </c>
      <c r="F386" s="1403">
        <v>15050</v>
      </c>
      <c r="G386" s="1400">
        <v>125.08</v>
      </c>
      <c r="H386" s="1402">
        <v>0.20477100000000001</v>
      </c>
      <c r="I386" s="1402">
        <v>1.7827000000000001E-3</v>
      </c>
      <c r="J386" s="1403">
        <v>129.82</v>
      </c>
    </row>
    <row r="387" spans="2:10" x14ac:dyDescent="0.25">
      <c r="B387" s="1400" t="s">
        <v>698</v>
      </c>
      <c r="C387" s="1401">
        <v>2065</v>
      </c>
      <c r="D387" s="1400">
        <v>1721000</v>
      </c>
      <c r="E387" s="1402">
        <v>1293000</v>
      </c>
      <c r="F387" s="1403">
        <v>15050</v>
      </c>
      <c r="G387" s="1400">
        <v>125.08</v>
      </c>
      <c r="H387" s="1402">
        <v>0.20477100000000001</v>
      </c>
      <c r="I387" s="1402">
        <v>1.7827000000000001E-3</v>
      </c>
      <c r="J387" s="1403">
        <v>129.82</v>
      </c>
    </row>
    <row r="388" spans="2:10" x14ac:dyDescent="0.25">
      <c r="B388" s="1400" t="s">
        <v>684</v>
      </c>
      <c r="C388" s="1401">
        <v>2065</v>
      </c>
      <c r="D388" s="1400">
        <v>1721000</v>
      </c>
      <c r="E388" s="1402">
        <v>1293000</v>
      </c>
      <c r="F388" s="1403">
        <v>15050</v>
      </c>
      <c r="G388" s="1400">
        <v>125.08</v>
      </c>
      <c r="H388" s="1402">
        <v>0.20477100000000001</v>
      </c>
      <c r="I388" s="1402">
        <v>1.7827000000000001E-3</v>
      </c>
      <c r="J388" s="1403">
        <v>129.82</v>
      </c>
    </row>
    <row r="389" spans="2:10" x14ac:dyDescent="0.25">
      <c r="B389" s="1400" t="s">
        <v>1088</v>
      </c>
      <c r="C389" s="1401">
        <v>2065</v>
      </c>
      <c r="D389" s="1400">
        <v>1022000</v>
      </c>
      <c r="E389" s="1402">
        <v>1021000</v>
      </c>
      <c r="F389" s="1403">
        <v>15510</v>
      </c>
      <c r="G389" s="1400">
        <v>1.6964999999999999</v>
      </c>
      <c r="H389" s="1402">
        <v>0.14096238999999999</v>
      </c>
      <c r="I389" s="1402">
        <v>3.2765999999999998E-5</v>
      </c>
      <c r="J389" s="1403">
        <v>5.9536999999999995</v>
      </c>
    </row>
    <row r="390" spans="2:10" x14ac:dyDescent="0.25">
      <c r="B390" s="1400" t="s">
        <v>716</v>
      </c>
      <c r="C390" s="1401">
        <v>2065</v>
      </c>
      <c r="D390" s="1400">
        <v>1022000</v>
      </c>
      <c r="E390" s="1402">
        <v>1021000</v>
      </c>
      <c r="F390" s="1403">
        <v>15510</v>
      </c>
      <c r="G390" s="1400">
        <v>1.6964999999999999</v>
      </c>
      <c r="H390" s="1402">
        <v>0.14096238999999999</v>
      </c>
      <c r="I390" s="1402">
        <v>3.2765999999999998E-5</v>
      </c>
      <c r="J390" s="1403">
        <v>5.9536999999999995</v>
      </c>
    </row>
    <row r="391" spans="2:10" x14ac:dyDescent="0.25">
      <c r="B391" s="1400" t="s">
        <v>717</v>
      </c>
      <c r="C391" s="1401">
        <v>2065</v>
      </c>
      <c r="D391" s="1400">
        <v>1022000</v>
      </c>
      <c r="E391" s="1402">
        <v>1021000</v>
      </c>
      <c r="F391" s="1403">
        <v>15510</v>
      </c>
      <c r="G391" s="1400">
        <v>1.6964999999999999</v>
      </c>
      <c r="H391" s="1402">
        <v>0.14096238999999999</v>
      </c>
      <c r="I391" s="1402">
        <v>3.2765999999999998E-5</v>
      </c>
      <c r="J391" s="1403">
        <v>5.9536999999999995</v>
      </c>
    </row>
    <row r="392" spans="2:10" x14ac:dyDescent="0.25">
      <c r="B392" s="1400" t="s">
        <v>913</v>
      </c>
      <c r="C392" s="1401">
        <v>2065</v>
      </c>
      <c r="D392" s="1400">
        <v>1209000</v>
      </c>
      <c r="E392" s="1402">
        <v>1202000</v>
      </c>
      <c r="F392" s="1403">
        <v>1052000</v>
      </c>
      <c r="G392" s="1400">
        <v>17.969000000000001</v>
      </c>
      <c r="H392" s="1402">
        <v>0.164128</v>
      </c>
      <c r="I392" s="1402">
        <v>2.9025999999999998E-4</v>
      </c>
      <c r="J392" s="1403">
        <v>22.988</v>
      </c>
    </row>
    <row r="393" spans="2:10" x14ac:dyDescent="0.25">
      <c r="B393" s="1400" t="s">
        <v>911</v>
      </c>
      <c r="C393" s="1401">
        <v>2065</v>
      </c>
      <c r="D393" s="1400">
        <v>1585000</v>
      </c>
      <c r="E393" s="1402">
        <v>696300</v>
      </c>
      <c r="F393" s="1403">
        <v>286000</v>
      </c>
      <c r="G393" s="1400">
        <v>38.049999999999997</v>
      </c>
      <c r="H393" s="1402">
        <v>0.1118</v>
      </c>
      <c r="I393" s="1402">
        <v>2.5350000000000001E-2</v>
      </c>
      <c r="J393" s="1403">
        <v>45.19</v>
      </c>
    </row>
    <row r="394" spans="2:10" x14ac:dyDescent="0.25">
      <c r="B394" s="1400" t="s">
        <v>914</v>
      </c>
      <c r="C394" s="1401">
        <v>2065</v>
      </c>
      <c r="D394" s="1400">
        <v>1249000</v>
      </c>
      <c r="E394" s="1402">
        <v>1242000</v>
      </c>
      <c r="F394" s="1403">
        <v>1078000</v>
      </c>
      <c r="G394" s="1400">
        <v>23.84</v>
      </c>
      <c r="H394" s="1402">
        <v>0.16985799999999998</v>
      </c>
      <c r="I394" s="1402">
        <v>3.7813000000000001E-4</v>
      </c>
      <c r="J394" s="1403">
        <v>29.157000000000004</v>
      </c>
    </row>
    <row r="395" spans="2:10" x14ac:dyDescent="0.25">
      <c r="B395" s="1400" t="s">
        <v>1082</v>
      </c>
      <c r="C395" s="1401">
        <v>2065</v>
      </c>
      <c r="D395" s="1400">
        <v>1190000</v>
      </c>
      <c r="E395" s="1402">
        <v>51590</v>
      </c>
      <c r="F395" s="1403">
        <v>29220</v>
      </c>
      <c r="G395" s="1400">
        <v>3.7582</v>
      </c>
      <c r="H395" s="1402">
        <v>8.4366999999999984E-3</v>
      </c>
      <c r="I395" s="1402">
        <v>-3.8261190000000002E-3</v>
      </c>
      <c r="J395" s="1403">
        <v>3.0054000000000003</v>
      </c>
    </row>
    <row r="396" spans="2:10" x14ac:dyDescent="0.25">
      <c r="B396" s="1400" t="s">
        <v>815</v>
      </c>
      <c r="C396" s="1401">
        <v>2065</v>
      </c>
      <c r="D396" s="1400">
        <v>1190000</v>
      </c>
      <c r="E396" s="1402">
        <v>51590</v>
      </c>
      <c r="F396" s="1403">
        <v>29220</v>
      </c>
      <c r="G396" s="1400">
        <v>3.7582</v>
      </c>
      <c r="H396" s="1402">
        <v>8.4366999999999984E-3</v>
      </c>
      <c r="I396" s="1402">
        <v>-3.8261190000000002E-3</v>
      </c>
      <c r="J396" s="1403">
        <v>3.0054000000000003</v>
      </c>
    </row>
    <row r="397" spans="2:10" x14ac:dyDescent="0.25">
      <c r="B397" s="1400" t="s">
        <v>824</v>
      </c>
      <c r="C397" s="1401">
        <v>2065</v>
      </c>
      <c r="D397" s="1400">
        <v>1190000</v>
      </c>
      <c r="E397" s="1402">
        <v>51590</v>
      </c>
      <c r="F397" s="1403">
        <v>29220</v>
      </c>
      <c r="G397" s="1400">
        <v>3.7582</v>
      </c>
      <c r="H397" s="1402">
        <v>8.4366999999999984E-3</v>
      </c>
      <c r="I397" s="1402">
        <v>-3.8261190000000002E-3</v>
      </c>
      <c r="J397" s="1403">
        <v>3.0054000000000003</v>
      </c>
    </row>
    <row r="398" spans="2:10" ht="13.8" thickBot="1" x14ac:dyDescent="0.3">
      <c r="B398" s="1404" t="s">
        <v>1089</v>
      </c>
      <c r="C398" s="1405">
        <v>2065</v>
      </c>
      <c r="D398" s="1404">
        <v>1384000</v>
      </c>
      <c r="E398" s="1406">
        <v>1383000</v>
      </c>
      <c r="F398" s="1407">
        <v>5034</v>
      </c>
      <c r="G398" s="1404">
        <v>78.571100000000001</v>
      </c>
      <c r="H398" s="1406">
        <v>0.27494000000000002</v>
      </c>
      <c r="I398" s="1406">
        <v>2.3304000000000003E-3</v>
      </c>
      <c r="J398" s="1407">
        <v>87.594300000000004</v>
      </c>
    </row>
    <row r="399" spans="2:10" x14ac:dyDescent="0.25">
      <c r="B399" s="1396" t="s">
        <v>1086</v>
      </c>
      <c r="C399" s="1397">
        <v>2070</v>
      </c>
      <c r="D399" s="1396">
        <v>1092000</v>
      </c>
      <c r="E399" s="1398">
        <v>1092000</v>
      </c>
      <c r="F399" s="1399">
        <v>3971</v>
      </c>
      <c r="G399" s="1396">
        <v>5.7390999999999996</v>
      </c>
      <c r="H399" s="1398">
        <v>0.18462200000000001</v>
      </c>
      <c r="I399" s="1398">
        <v>8.61E-4</v>
      </c>
      <c r="J399" s="1399">
        <v>11.5648</v>
      </c>
    </row>
    <row r="400" spans="2:10" x14ac:dyDescent="0.25">
      <c r="B400" s="1400" t="s">
        <v>283</v>
      </c>
      <c r="C400" s="1401">
        <v>2070</v>
      </c>
      <c r="D400" s="1400">
        <v>1092000</v>
      </c>
      <c r="E400" s="1402">
        <v>1092000</v>
      </c>
      <c r="F400" s="1403">
        <v>3971</v>
      </c>
      <c r="G400" s="1400">
        <v>5.7390999999999996</v>
      </c>
      <c r="H400" s="1402">
        <v>0.18462200000000001</v>
      </c>
      <c r="I400" s="1402">
        <v>8.61E-4</v>
      </c>
      <c r="J400" s="1403">
        <v>11.5648</v>
      </c>
    </row>
    <row r="401" spans="2:10" x14ac:dyDescent="0.25">
      <c r="B401" s="1400" t="s">
        <v>1087</v>
      </c>
      <c r="C401" s="1401">
        <v>2070</v>
      </c>
      <c r="D401" s="1400">
        <v>1092000</v>
      </c>
      <c r="E401" s="1402">
        <v>1092000</v>
      </c>
      <c r="F401" s="1403">
        <v>3971</v>
      </c>
      <c r="G401" s="1400">
        <v>5.7390999999999996</v>
      </c>
      <c r="H401" s="1402">
        <v>0.18462200000000001</v>
      </c>
      <c r="I401" s="1402">
        <v>8.61E-4</v>
      </c>
      <c r="J401" s="1403">
        <v>11.5648</v>
      </c>
    </row>
    <row r="402" spans="2:10" x14ac:dyDescent="0.25">
      <c r="B402" s="1400" t="s">
        <v>681</v>
      </c>
      <c r="C402" s="1401">
        <v>2070</v>
      </c>
      <c r="D402" s="1400">
        <v>1092000</v>
      </c>
      <c r="E402" s="1402">
        <v>1092000</v>
      </c>
      <c r="F402" s="1403">
        <v>3971</v>
      </c>
      <c r="G402" s="1400">
        <v>5.7390999999999996</v>
      </c>
      <c r="H402" s="1402">
        <v>0.18462200000000001</v>
      </c>
      <c r="I402" s="1402">
        <v>8.61E-4</v>
      </c>
      <c r="J402" s="1403">
        <v>11.5648</v>
      </c>
    </row>
    <row r="403" spans="2:10" x14ac:dyDescent="0.25">
      <c r="B403" s="1400" t="s">
        <v>682</v>
      </c>
      <c r="C403" s="1401">
        <v>2070</v>
      </c>
      <c r="D403" s="1400">
        <v>-1185000</v>
      </c>
      <c r="E403" s="1402">
        <v>0</v>
      </c>
      <c r="F403" s="1403">
        <v>0</v>
      </c>
      <c r="G403" s="1400">
        <v>-85.800000000000011</v>
      </c>
      <c r="H403" s="1402">
        <v>0.54700000000000004</v>
      </c>
      <c r="I403" s="1402">
        <v>-1.8286999999999999E-3</v>
      </c>
      <c r="J403" s="1403">
        <v>-70.08</v>
      </c>
    </row>
    <row r="404" spans="2:10" x14ac:dyDescent="0.25">
      <c r="B404" s="1400" t="s">
        <v>683</v>
      </c>
      <c r="C404" s="1401">
        <v>2070</v>
      </c>
      <c r="D404" s="1400">
        <v>1721000</v>
      </c>
      <c r="E404" s="1402">
        <v>1293000</v>
      </c>
      <c r="F404" s="1403">
        <v>15050</v>
      </c>
      <c r="G404" s="1400">
        <v>125.08</v>
      </c>
      <c r="H404" s="1402">
        <v>0.20477100000000001</v>
      </c>
      <c r="I404" s="1402">
        <v>1.7827000000000001E-3</v>
      </c>
      <c r="J404" s="1403">
        <v>129.82</v>
      </c>
    </row>
    <row r="405" spans="2:10" x14ac:dyDescent="0.25">
      <c r="B405" s="1400" t="s">
        <v>698</v>
      </c>
      <c r="C405" s="1401">
        <v>2070</v>
      </c>
      <c r="D405" s="1400">
        <v>1721000</v>
      </c>
      <c r="E405" s="1402">
        <v>1293000</v>
      </c>
      <c r="F405" s="1403">
        <v>15050</v>
      </c>
      <c r="G405" s="1400">
        <v>125.08</v>
      </c>
      <c r="H405" s="1402">
        <v>0.20477100000000001</v>
      </c>
      <c r="I405" s="1402">
        <v>1.7827000000000001E-3</v>
      </c>
      <c r="J405" s="1403">
        <v>129.82</v>
      </c>
    </row>
    <row r="406" spans="2:10" x14ac:dyDescent="0.25">
      <c r="B406" s="1400" t="s">
        <v>684</v>
      </c>
      <c r="C406" s="1401">
        <v>2070</v>
      </c>
      <c r="D406" s="1400">
        <v>1721000</v>
      </c>
      <c r="E406" s="1402">
        <v>1293000</v>
      </c>
      <c r="F406" s="1403">
        <v>15050</v>
      </c>
      <c r="G406" s="1400">
        <v>125.08</v>
      </c>
      <c r="H406" s="1402">
        <v>0.20477100000000001</v>
      </c>
      <c r="I406" s="1402">
        <v>1.7827000000000001E-3</v>
      </c>
      <c r="J406" s="1403">
        <v>129.82</v>
      </c>
    </row>
    <row r="407" spans="2:10" x14ac:dyDescent="0.25">
      <c r="B407" s="1400" t="s">
        <v>1088</v>
      </c>
      <c r="C407" s="1401">
        <v>2070</v>
      </c>
      <c r="D407" s="1400">
        <v>1022000</v>
      </c>
      <c r="E407" s="1402">
        <v>1021000</v>
      </c>
      <c r="F407" s="1403">
        <v>15510</v>
      </c>
      <c r="G407" s="1400">
        <v>1.6964999999999999</v>
      </c>
      <c r="H407" s="1402">
        <v>0.14096238999999999</v>
      </c>
      <c r="I407" s="1402">
        <v>3.2765999999999998E-5</v>
      </c>
      <c r="J407" s="1403">
        <v>5.9536999999999995</v>
      </c>
    </row>
    <row r="408" spans="2:10" x14ac:dyDescent="0.25">
      <c r="B408" s="1400" t="s">
        <v>716</v>
      </c>
      <c r="C408" s="1401">
        <v>2070</v>
      </c>
      <c r="D408" s="1400">
        <v>1022000</v>
      </c>
      <c r="E408" s="1402">
        <v>1021000</v>
      </c>
      <c r="F408" s="1403">
        <v>15510</v>
      </c>
      <c r="G408" s="1400">
        <v>1.6964999999999999</v>
      </c>
      <c r="H408" s="1402">
        <v>0.14096238999999999</v>
      </c>
      <c r="I408" s="1402">
        <v>3.2765999999999998E-5</v>
      </c>
      <c r="J408" s="1403">
        <v>5.9536999999999995</v>
      </c>
    </row>
    <row r="409" spans="2:10" x14ac:dyDescent="0.25">
      <c r="B409" s="1400" t="s">
        <v>717</v>
      </c>
      <c r="C409" s="1401">
        <v>2070</v>
      </c>
      <c r="D409" s="1400">
        <v>1022000</v>
      </c>
      <c r="E409" s="1402">
        <v>1021000</v>
      </c>
      <c r="F409" s="1403">
        <v>15510</v>
      </c>
      <c r="G409" s="1400">
        <v>1.6964999999999999</v>
      </c>
      <c r="H409" s="1402">
        <v>0.14096238999999999</v>
      </c>
      <c r="I409" s="1402">
        <v>3.2765999999999998E-5</v>
      </c>
      <c r="J409" s="1403">
        <v>5.9536999999999995</v>
      </c>
    </row>
    <row r="410" spans="2:10" x14ac:dyDescent="0.25">
      <c r="B410" s="1400" t="s">
        <v>913</v>
      </c>
      <c r="C410" s="1401">
        <v>2070</v>
      </c>
      <c r="D410" s="1400">
        <v>1209000</v>
      </c>
      <c r="E410" s="1402">
        <v>1202000</v>
      </c>
      <c r="F410" s="1403">
        <v>1052000</v>
      </c>
      <c r="G410" s="1400">
        <v>17.969000000000001</v>
      </c>
      <c r="H410" s="1402">
        <v>0.164128</v>
      </c>
      <c r="I410" s="1402">
        <v>2.9025999999999998E-4</v>
      </c>
      <c r="J410" s="1403">
        <v>22.988</v>
      </c>
    </row>
    <row r="411" spans="2:10" x14ac:dyDescent="0.25">
      <c r="B411" s="1400" t="s">
        <v>911</v>
      </c>
      <c r="C411" s="1401">
        <v>2070</v>
      </c>
      <c r="D411" s="1400">
        <v>1585000</v>
      </c>
      <c r="E411" s="1402">
        <v>696300</v>
      </c>
      <c r="F411" s="1403">
        <v>286000</v>
      </c>
      <c r="G411" s="1400">
        <v>38.049999999999997</v>
      </c>
      <c r="H411" s="1402">
        <v>0.1118</v>
      </c>
      <c r="I411" s="1402">
        <v>2.5350000000000001E-2</v>
      </c>
      <c r="J411" s="1403">
        <v>45.19</v>
      </c>
    </row>
    <row r="412" spans="2:10" x14ac:dyDescent="0.25">
      <c r="B412" s="1400" t="s">
        <v>914</v>
      </c>
      <c r="C412" s="1401">
        <v>2070</v>
      </c>
      <c r="D412" s="1400">
        <v>1249000</v>
      </c>
      <c r="E412" s="1402">
        <v>1242000</v>
      </c>
      <c r="F412" s="1403">
        <v>1078000</v>
      </c>
      <c r="G412" s="1400">
        <v>23.84</v>
      </c>
      <c r="H412" s="1402">
        <v>0.16985799999999998</v>
      </c>
      <c r="I412" s="1402">
        <v>3.7813000000000001E-4</v>
      </c>
      <c r="J412" s="1403">
        <v>29.157000000000004</v>
      </c>
    </row>
    <row r="413" spans="2:10" x14ac:dyDescent="0.25">
      <c r="B413" s="1400" t="s">
        <v>1082</v>
      </c>
      <c r="C413" s="1401">
        <v>2070</v>
      </c>
      <c r="D413" s="1400">
        <v>1190000</v>
      </c>
      <c r="E413" s="1402">
        <v>51590</v>
      </c>
      <c r="F413" s="1403">
        <v>29220</v>
      </c>
      <c r="G413" s="1400">
        <v>3.7582</v>
      </c>
      <c r="H413" s="1402">
        <v>8.4366999999999984E-3</v>
      </c>
      <c r="I413" s="1402">
        <v>-3.8261190000000002E-3</v>
      </c>
      <c r="J413" s="1403">
        <v>3.0054000000000003</v>
      </c>
    </row>
    <row r="414" spans="2:10" x14ac:dyDescent="0.25">
      <c r="B414" s="1400" t="s">
        <v>815</v>
      </c>
      <c r="C414" s="1401">
        <v>2070</v>
      </c>
      <c r="D414" s="1400">
        <v>1190000</v>
      </c>
      <c r="E414" s="1402">
        <v>51590</v>
      </c>
      <c r="F414" s="1403">
        <v>29220</v>
      </c>
      <c r="G414" s="1400">
        <v>3.7582</v>
      </c>
      <c r="H414" s="1402">
        <v>8.4366999999999984E-3</v>
      </c>
      <c r="I414" s="1402">
        <v>-3.8261190000000002E-3</v>
      </c>
      <c r="J414" s="1403">
        <v>3.0054000000000003</v>
      </c>
    </row>
    <row r="415" spans="2:10" x14ac:dyDescent="0.25">
      <c r="B415" s="1400" t="s">
        <v>824</v>
      </c>
      <c r="C415" s="1401">
        <v>2070</v>
      </c>
      <c r="D415" s="1400">
        <v>1190000</v>
      </c>
      <c r="E415" s="1402">
        <v>51590</v>
      </c>
      <c r="F415" s="1403">
        <v>29220</v>
      </c>
      <c r="G415" s="1400">
        <v>3.7582</v>
      </c>
      <c r="H415" s="1402">
        <v>8.4366999999999984E-3</v>
      </c>
      <c r="I415" s="1402">
        <v>-3.8261190000000002E-3</v>
      </c>
      <c r="J415" s="1403">
        <v>3.0054000000000003</v>
      </c>
    </row>
    <row r="416" spans="2:10" ht="13.8" thickBot="1" x14ac:dyDescent="0.3">
      <c r="B416" s="1404" t="s">
        <v>1089</v>
      </c>
      <c r="C416" s="1405">
        <v>2070</v>
      </c>
      <c r="D416" s="1404">
        <v>1384000</v>
      </c>
      <c r="E416" s="1406">
        <v>1383000</v>
      </c>
      <c r="F416" s="1407">
        <v>5034</v>
      </c>
      <c r="G416" s="1404">
        <v>78.571100000000001</v>
      </c>
      <c r="H416" s="1406">
        <v>0.27494000000000002</v>
      </c>
      <c r="I416" s="1406">
        <v>2.3304000000000003E-3</v>
      </c>
      <c r="J416" s="1407">
        <v>87.594300000000004</v>
      </c>
    </row>
    <row r="417" spans="2:10" x14ac:dyDescent="0.25">
      <c r="B417" s="1396" t="s">
        <v>1086</v>
      </c>
      <c r="C417" s="1397">
        <v>2075</v>
      </c>
      <c r="D417" s="1396">
        <v>1092000</v>
      </c>
      <c r="E417" s="1398">
        <v>1092000</v>
      </c>
      <c r="F417" s="1399">
        <v>3971</v>
      </c>
      <c r="G417" s="1396">
        <v>5.7390999999999996</v>
      </c>
      <c r="H417" s="1398">
        <v>0.18462200000000001</v>
      </c>
      <c r="I417" s="1398">
        <v>8.61E-4</v>
      </c>
      <c r="J417" s="1399">
        <v>11.5648</v>
      </c>
    </row>
    <row r="418" spans="2:10" x14ac:dyDescent="0.25">
      <c r="B418" s="1400" t="s">
        <v>283</v>
      </c>
      <c r="C418" s="1401">
        <v>2075</v>
      </c>
      <c r="D418" s="1400">
        <v>1092000</v>
      </c>
      <c r="E418" s="1402">
        <v>1092000</v>
      </c>
      <c r="F418" s="1403">
        <v>3971</v>
      </c>
      <c r="G418" s="1400">
        <v>5.7390999999999996</v>
      </c>
      <c r="H418" s="1402">
        <v>0.18462200000000001</v>
      </c>
      <c r="I418" s="1402">
        <v>8.61E-4</v>
      </c>
      <c r="J418" s="1403">
        <v>11.5648</v>
      </c>
    </row>
    <row r="419" spans="2:10" x14ac:dyDescent="0.25">
      <c r="B419" s="1400" t="s">
        <v>1087</v>
      </c>
      <c r="C419" s="1401">
        <v>2075</v>
      </c>
      <c r="D419" s="1400">
        <v>1092000</v>
      </c>
      <c r="E419" s="1402">
        <v>1092000</v>
      </c>
      <c r="F419" s="1403">
        <v>3971</v>
      </c>
      <c r="G419" s="1400">
        <v>5.7390999999999996</v>
      </c>
      <c r="H419" s="1402">
        <v>0.18462200000000001</v>
      </c>
      <c r="I419" s="1402">
        <v>8.61E-4</v>
      </c>
      <c r="J419" s="1403">
        <v>11.5648</v>
      </c>
    </row>
    <row r="420" spans="2:10" x14ac:dyDescent="0.25">
      <c r="B420" s="1400" t="s">
        <v>681</v>
      </c>
      <c r="C420" s="1401">
        <v>2075</v>
      </c>
      <c r="D420" s="1400">
        <v>1092000</v>
      </c>
      <c r="E420" s="1402">
        <v>1092000</v>
      </c>
      <c r="F420" s="1403">
        <v>3971</v>
      </c>
      <c r="G420" s="1400">
        <v>5.7390999999999996</v>
      </c>
      <c r="H420" s="1402">
        <v>0.18462200000000001</v>
      </c>
      <c r="I420" s="1402">
        <v>8.61E-4</v>
      </c>
      <c r="J420" s="1403">
        <v>11.5648</v>
      </c>
    </row>
    <row r="421" spans="2:10" x14ac:dyDescent="0.25">
      <c r="B421" s="1400" t="s">
        <v>682</v>
      </c>
      <c r="C421" s="1401">
        <v>2075</v>
      </c>
      <c r="D421" s="1400">
        <v>-1185000</v>
      </c>
      <c r="E421" s="1402">
        <v>0</v>
      </c>
      <c r="F421" s="1403">
        <v>0</v>
      </c>
      <c r="G421" s="1400">
        <v>-85.800000000000011</v>
      </c>
      <c r="H421" s="1402">
        <v>0.54700000000000004</v>
      </c>
      <c r="I421" s="1402">
        <v>-1.8286999999999999E-3</v>
      </c>
      <c r="J421" s="1403">
        <v>-70.08</v>
      </c>
    </row>
    <row r="422" spans="2:10" x14ac:dyDescent="0.25">
      <c r="B422" s="1400" t="s">
        <v>683</v>
      </c>
      <c r="C422" s="1401">
        <v>2075</v>
      </c>
      <c r="D422" s="1400">
        <v>1721000</v>
      </c>
      <c r="E422" s="1402">
        <v>1293000</v>
      </c>
      <c r="F422" s="1403">
        <v>15050</v>
      </c>
      <c r="G422" s="1400">
        <v>125.08</v>
      </c>
      <c r="H422" s="1402">
        <v>0.20477100000000001</v>
      </c>
      <c r="I422" s="1402">
        <v>1.7827000000000001E-3</v>
      </c>
      <c r="J422" s="1403">
        <v>129.82</v>
      </c>
    </row>
    <row r="423" spans="2:10" x14ac:dyDescent="0.25">
      <c r="B423" s="1400" t="s">
        <v>698</v>
      </c>
      <c r="C423" s="1401">
        <v>2075</v>
      </c>
      <c r="D423" s="1400">
        <v>1721000</v>
      </c>
      <c r="E423" s="1402">
        <v>1293000</v>
      </c>
      <c r="F423" s="1403">
        <v>15050</v>
      </c>
      <c r="G423" s="1400">
        <v>125.08</v>
      </c>
      <c r="H423" s="1402">
        <v>0.20477100000000001</v>
      </c>
      <c r="I423" s="1402">
        <v>1.7827000000000001E-3</v>
      </c>
      <c r="J423" s="1403">
        <v>129.82</v>
      </c>
    </row>
    <row r="424" spans="2:10" x14ac:dyDescent="0.25">
      <c r="B424" s="1400" t="s">
        <v>684</v>
      </c>
      <c r="C424" s="1401">
        <v>2075</v>
      </c>
      <c r="D424" s="1400">
        <v>1721000</v>
      </c>
      <c r="E424" s="1402">
        <v>1293000</v>
      </c>
      <c r="F424" s="1403">
        <v>15050</v>
      </c>
      <c r="G424" s="1400">
        <v>125.08</v>
      </c>
      <c r="H424" s="1402">
        <v>0.20477100000000001</v>
      </c>
      <c r="I424" s="1402">
        <v>1.7827000000000001E-3</v>
      </c>
      <c r="J424" s="1403">
        <v>129.82</v>
      </c>
    </row>
    <row r="425" spans="2:10" x14ac:dyDescent="0.25">
      <c r="B425" s="1400" t="s">
        <v>1088</v>
      </c>
      <c r="C425" s="1401">
        <v>2075</v>
      </c>
      <c r="D425" s="1400">
        <v>1022000</v>
      </c>
      <c r="E425" s="1402">
        <v>1021000</v>
      </c>
      <c r="F425" s="1403">
        <v>15510</v>
      </c>
      <c r="G425" s="1400">
        <v>1.6964999999999999</v>
      </c>
      <c r="H425" s="1402">
        <v>0.14096238999999999</v>
      </c>
      <c r="I425" s="1402">
        <v>3.2765999999999998E-5</v>
      </c>
      <c r="J425" s="1403">
        <v>5.9536999999999995</v>
      </c>
    </row>
    <row r="426" spans="2:10" x14ac:dyDescent="0.25">
      <c r="B426" s="1400" t="s">
        <v>716</v>
      </c>
      <c r="C426" s="1401">
        <v>2075</v>
      </c>
      <c r="D426" s="1400">
        <v>1022000</v>
      </c>
      <c r="E426" s="1402">
        <v>1021000</v>
      </c>
      <c r="F426" s="1403">
        <v>15510</v>
      </c>
      <c r="G426" s="1400">
        <v>1.6964999999999999</v>
      </c>
      <c r="H426" s="1402">
        <v>0.14096238999999999</v>
      </c>
      <c r="I426" s="1402">
        <v>3.2765999999999998E-5</v>
      </c>
      <c r="J426" s="1403">
        <v>5.9536999999999995</v>
      </c>
    </row>
    <row r="427" spans="2:10" x14ac:dyDescent="0.25">
      <c r="B427" s="1400" t="s">
        <v>717</v>
      </c>
      <c r="C427" s="1401">
        <v>2075</v>
      </c>
      <c r="D427" s="1400">
        <v>1022000</v>
      </c>
      <c r="E427" s="1402">
        <v>1021000</v>
      </c>
      <c r="F427" s="1403">
        <v>15510</v>
      </c>
      <c r="G427" s="1400">
        <v>1.6964999999999999</v>
      </c>
      <c r="H427" s="1402">
        <v>0.14096238999999999</v>
      </c>
      <c r="I427" s="1402">
        <v>3.2765999999999998E-5</v>
      </c>
      <c r="J427" s="1403">
        <v>5.9536999999999995</v>
      </c>
    </row>
    <row r="428" spans="2:10" x14ac:dyDescent="0.25">
      <c r="B428" s="1400" t="s">
        <v>913</v>
      </c>
      <c r="C428" s="1401">
        <v>2075</v>
      </c>
      <c r="D428" s="1400">
        <v>1209000</v>
      </c>
      <c r="E428" s="1402">
        <v>1202000</v>
      </c>
      <c r="F428" s="1403">
        <v>1052000</v>
      </c>
      <c r="G428" s="1400">
        <v>17.969000000000001</v>
      </c>
      <c r="H428" s="1402">
        <v>0.164128</v>
      </c>
      <c r="I428" s="1402">
        <v>2.9025999999999998E-4</v>
      </c>
      <c r="J428" s="1403">
        <v>22.988</v>
      </c>
    </row>
    <row r="429" spans="2:10" x14ac:dyDescent="0.25">
      <c r="B429" s="1400" t="s">
        <v>911</v>
      </c>
      <c r="C429" s="1401">
        <v>2075</v>
      </c>
      <c r="D429" s="1400">
        <v>1585000</v>
      </c>
      <c r="E429" s="1402">
        <v>696300</v>
      </c>
      <c r="F429" s="1403">
        <v>286000</v>
      </c>
      <c r="G429" s="1400">
        <v>38.049999999999997</v>
      </c>
      <c r="H429" s="1402">
        <v>0.1118</v>
      </c>
      <c r="I429" s="1402">
        <v>2.5350000000000001E-2</v>
      </c>
      <c r="J429" s="1403">
        <v>45.19</v>
      </c>
    </row>
    <row r="430" spans="2:10" x14ac:dyDescent="0.25">
      <c r="B430" s="1400" t="s">
        <v>914</v>
      </c>
      <c r="C430" s="1401">
        <v>2075</v>
      </c>
      <c r="D430" s="1400">
        <v>1249000</v>
      </c>
      <c r="E430" s="1402">
        <v>1242000</v>
      </c>
      <c r="F430" s="1403">
        <v>1078000</v>
      </c>
      <c r="G430" s="1400">
        <v>23.84</v>
      </c>
      <c r="H430" s="1402">
        <v>0.16985799999999998</v>
      </c>
      <c r="I430" s="1402">
        <v>3.7813000000000001E-4</v>
      </c>
      <c r="J430" s="1403">
        <v>29.157000000000004</v>
      </c>
    </row>
    <row r="431" spans="2:10" x14ac:dyDescent="0.25">
      <c r="B431" s="1400" t="s">
        <v>1082</v>
      </c>
      <c r="C431" s="1401">
        <v>2075</v>
      </c>
      <c r="D431" s="1400">
        <v>1190000</v>
      </c>
      <c r="E431" s="1402">
        <v>51590</v>
      </c>
      <c r="F431" s="1403">
        <v>29220</v>
      </c>
      <c r="G431" s="1400">
        <v>3.7582</v>
      </c>
      <c r="H431" s="1402">
        <v>8.4366999999999984E-3</v>
      </c>
      <c r="I431" s="1402">
        <v>-3.8261190000000002E-3</v>
      </c>
      <c r="J431" s="1403">
        <v>3.0054000000000003</v>
      </c>
    </row>
    <row r="432" spans="2:10" x14ac:dyDescent="0.25">
      <c r="B432" s="1400" t="s">
        <v>815</v>
      </c>
      <c r="C432" s="1401">
        <v>2075</v>
      </c>
      <c r="D432" s="1400">
        <v>1190000</v>
      </c>
      <c r="E432" s="1402">
        <v>51590</v>
      </c>
      <c r="F432" s="1403">
        <v>29220</v>
      </c>
      <c r="G432" s="1400">
        <v>3.7582</v>
      </c>
      <c r="H432" s="1402">
        <v>8.4366999999999984E-3</v>
      </c>
      <c r="I432" s="1402">
        <v>-3.8261190000000002E-3</v>
      </c>
      <c r="J432" s="1403">
        <v>3.0054000000000003</v>
      </c>
    </row>
    <row r="433" spans="2:10" x14ac:dyDescent="0.25">
      <c r="B433" s="1400" t="s">
        <v>824</v>
      </c>
      <c r="C433" s="1401">
        <v>2075</v>
      </c>
      <c r="D433" s="1400">
        <v>1190000</v>
      </c>
      <c r="E433" s="1402">
        <v>51590</v>
      </c>
      <c r="F433" s="1403">
        <v>29220</v>
      </c>
      <c r="G433" s="1400">
        <v>3.7582</v>
      </c>
      <c r="H433" s="1402">
        <v>8.4366999999999984E-3</v>
      </c>
      <c r="I433" s="1402">
        <v>-3.8261190000000002E-3</v>
      </c>
      <c r="J433" s="1403">
        <v>3.0054000000000003</v>
      </c>
    </row>
    <row r="434" spans="2:10" ht="13.8" thickBot="1" x14ac:dyDescent="0.3">
      <c r="B434" s="1404" t="s">
        <v>1089</v>
      </c>
      <c r="C434" s="1405">
        <v>2075</v>
      </c>
      <c r="D434" s="1404">
        <v>1384000</v>
      </c>
      <c r="E434" s="1406">
        <v>1383000</v>
      </c>
      <c r="F434" s="1407">
        <v>5034</v>
      </c>
      <c r="G434" s="1404">
        <v>78.571100000000001</v>
      </c>
      <c r="H434" s="1406">
        <v>0.27494000000000002</v>
      </c>
      <c r="I434" s="1406">
        <v>2.3304000000000003E-3</v>
      </c>
      <c r="J434" s="1407">
        <v>87.594300000000004</v>
      </c>
    </row>
    <row r="435" spans="2:10" x14ac:dyDescent="0.25">
      <c r="B435" s="1396" t="s">
        <v>1086</v>
      </c>
      <c r="C435" s="1397">
        <v>2080</v>
      </c>
      <c r="D435" s="1396">
        <v>1092000</v>
      </c>
      <c r="E435" s="1398">
        <v>1092000</v>
      </c>
      <c r="F435" s="1399">
        <v>3971</v>
      </c>
      <c r="G435" s="1396">
        <v>5.7390999999999996</v>
      </c>
      <c r="H435" s="1398">
        <v>0.18462200000000001</v>
      </c>
      <c r="I435" s="1398">
        <v>8.61E-4</v>
      </c>
      <c r="J435" s="1399">
        <v>11.5648</v>
      </c>
    </row>
    <row r="436" spans="2:10" x14ac:dyDescent="0.25">
      <c r="B436" s="1400" t="s">
        <v>283</v>
      </c>
      <c r="C436" s="1401">
        <v>2080</v>
      </c>
      <c r="D436" s="1400">
        <v>1092000</v>
      </c>
      <c r="E436" s="1402">
        <v>1092000</v>
      </c>
      <c r="F436" s="1403">
        <v>3971</v>
      </c>
      <c r="G436" s="1400">
        <v>5.7390999999999996</v>
      </c>
      <c r="H436" s="1402">
        <v>0.18462200000000001</v>
      </c>
      <c r="I436" s="1402">
        <v>8.61E-4</v>
      </c>
      <c r="J436" s="1403">
        <v>11.5648</v>
      </c>
    </row>
    <row r="437" spans="2:10" x14ac:dyDescent="0.25">
      <c r="B437" s="1400" t="s">
        <v>1087</v>
      </c>
      <c r="C437" s="1401">
        <v>2080</v>
      </c>
      <c r="D437" s="1400">
        <v>1092000</v>
      </c>
      <c r="E437" s="1402">
        <v>1092000</v>
      </c>
      <c r="F437" s="1403">
        <v>3971</v>
      </c>
      <c r="G437" s="1400">
        <v>5.7390999999999996</v>
      </c>
      <c r="H437" s="1402">
        <v>0.18462200000000001</v>
      </c>
      <c r="I437" s="1402">
        <v>8.61E-4</v>
      </c>
      <c r="J437" s="1403">
        <v>11.5648</v>
      </c>
    </row>
    <row r="438" spans="2:10" x14ac:dyDescent="0.25">
      <c r="B438" s="1400" t="s">
        <v>681</v>
      </c>
      <c r="C438" s="1401">
        <v>2080</v>
      </c>
      <c r="D438" s="1400">
        <v>1092000</v>
      </c>
      <c r="E438" s="1402">
        <v>1092000</v>
      </c>
      <c r="F438" s="1403">
        <v>3971</v>
      </c>
      <c r="G438" s="1400">
        <v>5.7390999999999996</v>
      </c>
      <c r="H438" s="1402">
        <v>0.18462200000000001</v>
      </c>
      <c r="I438" s="1402">
        <v>8.61E-4</v>
      </c>
      <c r="J438" s="1403">
        <v>11.5648</v>
      </c>
    </row>
    <row r="439" spans="2:10" x14ac:dyDescent="0.25">
      <c r="B439" s="1400" t="s">
        <v>682</v>
      </c>
      <c r="C439" s="1401">
        <v>2080</v>
      </c>
      <c r="D439" s="1400">
        <v>-1185000</v>
      </c>
      <c r="E439" s="1402">
        <v>0</v>
      </c>
      <c r="F439" s="1403">
        <v>0</v>
      </c>
      <c r="G439" s="1400">
        <v>-85.800000000000011</v>
      </c>
      <c r="H439" s="1402">
        <v>0.54700000000000004</v>
      </c>
      <c r="I439" s="1402">
        <v>-1.8286999999999999E-3</v>
      </c>
      <c r="J439" s="1403">
        <v>-70.08</v>
      </c>
    </row>
    <row r="440" spans="2:10" x14ac:dyDescent="0.25">
      <c r="B440" s="1400" t="s">
        <v>683</v>
      </c>
      <c r="C440" s="1401">
        <v>2080</v>
      </c>
      <c r="D440" s="1400">
        <v>1721000</v>
      </c>
      <c r="E440" s="1402">
        <v>1293000</v>
      </c>
      <c r="F440" s="1403">
        <v>15050</v>
      </c>
      <c r="G440" s="1400">
        <v>125.08</v>
      </c>
      <c r="H440" s="1402">
        <v>0.20477100000000001</v>
      </c>
      <c r="I440" s="1402">
        <v>1.7827000000000001E-3</v>
      </c>
      <c r="J440" s="1403">
        <v>129.82</v>
      </c>
    </row>
    <row r="441" spans="2:10" x14ac:dyDescent="0.25">
      <c r="B441" s="1400" t="s">
        <v>698</v>
      </c>
      <c r="C441" s="1401">
        <v>2080</v>
      </c>
      <c r="D441" s="1400">
        <v>1721000</v>
      </c>
      <c r="E441" s="1402">
        <v>1293000</v>
      </c>
      <c r="F441" s="1403">
        <v>15050</v>
      </c>
      <c r="G441" s="1400">
        <v>125.08</v>
      </c>
      <c r="H441" s="1402">
        <v>0.20477100000000001</v>
      </c>
      <c r="I441" s="1402">
        <v>1.7827000000000001E-3</v>
      </c>
      <c r="J441" s="1403">
        <v>129.82</v>
      </c>
    </row>
    <row r="442" spans="2:10" x14ac:dyDescent="0.25">
      <c r="B442" s="1400" t="s">
        <v>684</v>
      </c>
      <c r="C442" s="1401">
        <v>2080</v>
      </c>
      <c r="D442" s="1400">
        <v>1721000</v>
      </c>
      <c r="E442" s="1402">
        <v>1293000</v>
      </c>
      <c r="F442" s="1403">
        <v>15050</v>
      </c>
      <c r="G442" s="1400">
        <v>125.08</v>
      </c>
      <c r="H442" s="1402">
        <v>0.20477100000000001</v>
      </c>
      <c r="I442" s="1402">
        <v>1.7827000000000001E-3</v>
      </c>
      <c r="J442" s="1403">
        <v>129.82</v>
      </c>
    </row>
    <row r="443" spans="2:10" x14ac:dyDescent="0.25">
      <c r="B443" s="1400" t="s">
        <v>1088</v>
      </c>
      <c r="C443" s="1401">
        <v>2080</v>
      </c>
      <c r="D443" s="1400">
        <v>1022000</v>
      </c>
      <c r="E443" s="1402">
        <v>1021000</v>
      </c>
      <c r="F443" s="1403">
        <v>15510</v>
      </c>
      <c r="G443" s="1400">
        <v>1.6964999999999999</v>
      </c>
      <c r="H443" s="1402">
        <v>0.14096238999999999</v>
      </c>
      <c r="I443" s="1402">
        <v>3.2765999999999998E-5</v>
      </c>
      <c r="J443" s="1403">
        <v>5.9536999999999995</v>
      </c>
    </row>
    <row r="444" spans="2:10" x14ac:dyDescent="0.25">
      <c r="B444" s="1400" t="s">
        <v>716</v>
      </c>
      <c r="C444" s="1401">
        <v>2080</v>
      </c>
      <c r="D444" s="1400">
        <v>1022000</v>
      </c>
      <c r="E444" s="1402">
        <v>1021000</v>
      </c>
      <c r="F444" s="1403">
        <v>15510</v>
      </c>
      <c r="G444" s="1400">
        <v>1.6964999999999999</v>
      </c>
      <c r="H444" s="1402">
        <v>0.14096238999999999</v>
      </c>
      <c r="I444" s="1402">
        <v>3.2765999999999998E-5</v>
      </c>
      <c r="J444" s="1403">
        <v>5.9536999999999995</v>
      </c>
    </row>
    <row r="445" spans="2:10" x14ac:dyDescent="0.25">
      <c r="B445" s="1400" t="s">
        <v>717</v>
      </c>
      <c r="C445" s="1401">
        <v>2080</v>
      </c>
      <c r="D445" s="1400">
        <v>1022000</v>
      </c>
      <c r="E445" s="1402">
        <v>1021000</v>
      </c>
      <c r="F445" s="1403">
        <v>15510</v>
      </c>
      <c r="G445" s="1400">
        <v>1.6964999999999999</v>
      </c>
      <c r="H445" s="1402">
        <v>0.14096238999999999</v>
      </c>
      <c r="I445" s="1402">
        <v>3.2765999999999998E-5</v>
      </c>
      <c r="J445" s="1403">
        <v>5.9536999999999995</v>
      </c>
    </row>
    <row r="446" spans="2:10" x14ac:dyDescent="0.25">
      <c r="B446" s="1400" t="s">
        <v>913</v>
      </c>
      <c r="C446" s="1401">
        <v>2080</v>
      </c>
      <c r="D446" s="1400">
        <v>1209000</v>
      </c>
      <c r="E446" s="1402">
        <v>1202000</v>
      </c>
      <c r="F446" s="1403">
        <v>1052000</v>
      </c>
      <c r="G446" s="1400">
        <v>17.969000000000001</v>
      </c>
      <c r="H446" s="1402">
        <v>0.164128</v>
      </c>
      <c r="I446" s="1402">
        <v>2.9025999999999998E-4</v>
      </c>
      <c r="J446" s="1403">
        <v>22.988</v>
      </c>
    </row>
    <row r="447" spans="2:10" x14ac:dyDescent="0.25">
      <c r="B447" s="1400" t="s">
        <v>911</v>
      </c>
      <c r="C447" s="1401">
        <v>2080</v>
      </c>
      <c r="D447" s="1400">
        <v>1585000</v>
      </c>
      <c r="E447" s="1402">
        <v>696300</v>
      </c>
      <c r="F447" s="1403">
        <v>286000</v>
      </c>
      <c r="G447" s="1400">
        <v>38.049999999999997</v>
      </c>
      <c r="H447" s="1402">
        <v>0.1118</v>
      </c>
      <c r="I447" s="1402">
        <v>2.5350000000000001E-2</v>
      </c>
      <c r="J447" s="1403">
        <v>45.19</v>
      </c>
    </row>
    <row r="448" spans="2:10" x14ac:dyDescent="0.25">
      <c r="B448" s="1400" t="s">
        <v>914</v>
      </c>
      <c r="C448" s="1401">
        <v>2080</v>
      </c>
      <c r="D448" s="1400">
        <v>1249000</v>
      </c>
      <c r="E448" s="1402">
        <v>1242000</v>
      </c>
      <c r="F448" s="1403">
        <v>1078000</v>
      </c>
      <c r="G448" s="1400">
        <v>23.84</v>
      </c>
      <c r="H448" s="1402">
        <v>0.16985799999999998</v>
      </c>
      <c r="I448" s="1402">
        <v>3.7813000000000001E-4</v>
      </c>
      <c r="J448" s="1403">
        <v>29.157000000000004</v>
      </c>
    </row>
    <row r="449" spans="2:10" x14ac:dyDescent="0.25">
      <c r="B449" s="1400" t="s">
        <v>1082</v>
      </c>
      <c r="C449" s="1401">
        <v>2080</v>
      </c>
      <c r="D449" s="1400">
        <v>1190000</v>
      </c>
      <c r="E449" s="1402">
        <v>51590</v>
      </c>
      <c r="F449" s="1403">
        <v>29220</v>
      </c>
      <c r="G449" s="1400">
        <v>3.7582</v>
      </c>
      <c r="H449" s="1402">
        <v>8.4366999999999984E-3</v>
      </c>
      <c r="I449" s="1402">
        <v>-3.8261190000000002E-3</v>
      </c>
      <c r="J449" s="1403">
        <v>3.0054000000000003</v>
      </c>
    </row>
    <row r="450" spans="2:10" x14ac:dyDescent="0.25">
      <c r="B450" s="1400" t="s">
        <v>815</v>
      </c>
      <c r="C450" s="1401">
        <v>2080</v>
      </c>
      <c r="D450" s="1400">
        <v>1190000</v>
      </c>
      <c r="E450" s="1402">
        <v>51590</v>
      </c>
      <c r="F450" s="1403">
        <v>29220</v>
      </c>
      <c r="G450" s="1400">
        <v>3.7582</v>
      </c>
      <c r="H450" s="1402">
        <v>8.4366999999999984E-3</v>
      </c>
      <c r="I450" s="1402">
        <v>-3.8261190000000002E-3</v>
      </c>
      <c r="J450" s="1403">
        <v>3.0054000000000003</v>
      </c>
    </row>
    <row r="451" spans="2:10" x14ac:dyDescent="0.25">
      <c r="B451" s="1400" t="s">
        <v>824</v>
      </c>
      <c r="C451" s="1401">
        <v>2080</v>
      </c>
      <c r="D451" s="1400">
        <v>1190000</v>
      </c>
      <c r="E451" s="1402">
        <v>51590</v>
      </c>
      <c r="F451" s="1403">
        <v>29220</v>
      </c>
      <c r="G451" s="1400">
        <v>3.7582</v>
      </c>
      <c r="H451" s="1402">
        <v>8.4366999999999984E-3</v>
      </c>
      <c r="I451" s="1402">
        <v>-3.8261190000000002E-3</v>
      </c>
      <c r="J451" s="1403">
        <v>3.0054000000000003</v>
      </c>
    </row>
    <row r="452" spans="2:10" ht="13.8" thickBot="1" x14ac:dyDescent="0.3">
      <c r="B452" s="1404" t="s">
        <v>1089</v>
      </c>
      <c r="C452" s="1405">
        <v>2080</v>
      </c>
      <c r="D452" s="1404">
        <v>1384000</v>
      </c>
      <c r="E452" s="1406">
        <v>1383000</v>
      </c>
      <c r="F452" s="1407">
        <v>5034</v>
      </c>
      <c r="G452" s="1404">
        <v>78.571100000000001</v>
      </c>
      <c r="H452" s="1406">
        <v>0.27494000000000002</v>
      </c>
      <c r="I452" s="1406">
        <v>2.3304000000000003E-3</v>
      </c>
      <c r="J452" s="1407">
        <v>87.594300000000004</v>
      </c>
    </row>
    <row r="453" spans="2:10" x14ac:dyDescent="0.25">
      <c r="B453" s="1396" t="s">
        <v>1086</v>
      </c>
      <c r="C453" s="1397">
        <v>2085</v>
      </c>
      <c r="D453" s="1396">
        <v>1092000</v>
      </c>
      <c r="E453" s="1398">
        <v>1092000</v>
      </c>
      <c r="F453" s="1399">
        <v>3971</v>
      </c>
      <c r="G453" s="1396">
        <v>5.7390999999999996</v>
      </c>
      <c r="H453" s="1398">
        <v>0.18462200000000001</v>
      </c>
      <c r="I453" s="1398">
        <v>8.61E-4</v>
      </c>
      <c r="J453" s="1399">
        <v>11.5648</v>
      </c>
    </row>
    <row r="454" spans="2:10" x14ac:dyDescent="0.25">
      <c r="B454" s="1400" t="s">
        <v>283</v>
      </c>
      <c r="C454" s="1401">
        <v>2085</v>
      </c>
      <c r="D454" s="1400">
        <v>1092000</v>
      </c>
      <c r="E454" s="1402">
        <v>1092000</v>
      </c>
      <c r="F454" s="1403">
        <v>3971</v>
      </c>
      <c r="G454" s="1400">
        <v>5.7390999999999996</v>
      </c>
      <c r="H454" s="1402">
        <v>0.18462200000000001</v>
      </c>
      <c r="I454" s="1402">
        <v>8.61E-4</v>
      </c>
      <c r="J454" s="1403">
        <v>11.5648</v>
      </c>
    </row>
    <row r="455" spans="2:10" x14ac:dyDescent="0.25">
      <c r="B455" s="1400" t="s">
        <v>1087</v>
      </c>
      <c r="C455" s="1401">
        <v>2085</v>
      </c>
      <c r="D455" s="1400">
        <v>1092000</v>
      </c>
      <c r="E455" s="1402">
        <v>1092000</v>
      </c>
      <c r="F455" s="1403">
        <v>3971</v>
      </c>
      <c r="G455" s="1400">
        <v>5.7390999999999996</v>
      </c>
      <c r="H455" s="1402">
        <v>0.18462200000000001</v>
      </c>
      <c r="I455" s="1402">
        <v>8.61E-4</v>
      </c>
      <c r="J455" s="1403">
        <v>11.5648</v>
      </c>
    </row>
    <row r="456" spans="2:10" x14ac:dyDescent="0.25">
      <c r="B456" s="1400" t="s">
        <v>681</v>
      </c>
      <c r="C456" s="1401">
        <v>2085</v>
      </c>
      <c r="D456" s="1400">
        <v>1092000</v>
      </c>
      <c r="E456" s="1402">
        <v>1092000</v>
      </c>
      <c r="F456" s="1403">
        <v>3971</v>
      </c>
      <c r="G456" s="1400">
        <v>5.7390999999999996</v>
      </c>
      <c r="H456" s="1402">
        <v>0.18462200000000001</v>
      </c>
      <c r="I456" s="1402">
        <v>8.61E-4</v>
      </c>
      <c r="J456" s="1403">
        <v>11.5648</v>
      </c>
    </row>
    <row r="457" spans="2:10" x14ac:dyDescent="0.25">
      <c r="B457" s="1400" t="s">
        <v>682</v>
      </c>
      <c r="C457" s="1401">
        <v>2085</v>
      </c>
      <c r="D457" s="1400">
        <v>-1185000</v>
      </c>
      <c r="E457" s="1402">
        <v>0</v>
      </c>
      <c r="F457" s="1403">
        <v>0</v>
      </c>
      <c r="G457" s="1400">
        <v>-85.800000000000011</v>
      </c>
      <c r="H457" s="1402">
        <v>0.54700000000000004</v>
      </c>
      <c r="I457" s="1402">
        <v>-1.8286999999999999E-3</v>
      </c>
      <c r="J457" s="1403">
        <v>-70.08</v>
      </c>
    </row>
    <row r="458" spans="2:10" x14ac:dyDescent="0.25">
      <c r="B458" s="1400" t="s">
        <v>683</v>
      </c>
      <c r="C458" s="1401">
        <v>2085</v>
      </c>
      <c r="D458" s="1400">
        <v>1721000</v>
      </c>
      <c r="E458" s="1402">
        <v>1293000</v>
      </c>
      <c r="F458" s="1403">
        <v>15050</v>
      </c>
      <c r="G458" s="1400">
        <v>125.08</v>
      </c>
      <c r="H458" s="1402">
        <v>0.20477100000000001</v>
      </c>
      <c r="I458" s="1402">
        <v>1.7827000000000001E-3</v>
      </c>
      <c r="J458" s="1403">
        <v>129.82</v>
      </c>
    </row>
    <row r="459" spans="2:10" x14ac:dyDescent="0.25">
      <c r="B459" s="1400" t="s">
        <v>698</v>
      </c>
      <c r="C459" s="1401">
        <v>2085</v>
      </c>
      <c r="D459" s="1400">
        <v>1721000</v>
      </c>
      <c r="E459" s="1402">
        <v>1293000</v>
      </c>
      <c r="F459" s="1403">
        <v>15050</v>
      </c>
      <c r="G459" s="1400">
        <v>125.08</v>
      </c>
      <c r="H459" s="1402">
        <v>0.20477100000000001</v>
      </c>
      <c r="I459" s="1402">
        <v>1.7827000000000001E-3</v>
      </c>
      <c r="J459" s="1403">
        <v>129.82</v>
      </c>
    </row>
    <row r="460" spans="2:10" x14ac:dyDescent="0.25">
      <c r="B460" s="1400" t="s">
        <v>684</v>
      </c>
      <c r="C460" s="1401">
        <v>2085</v>
      </c>
      <c r="D460" s="1400">
        <v>1721000</v>
      </c>
      <c r="E460" s="1402">
        <v>1293000</v>
      </c>
      <c r="F460" s="1403">
        <v>15050</v>
      </c>
      <c r="G460" s="1400">
        <v>125.08</v>
      </c>
      <c r="H460" s="1402">
        <v>0.20477100000000001</v>
      </c>
      <c r="I460" s="1402">
        <v>1.7827000000000001E-3</v>
      </c>
      <c r="J460" s="1403">
        <v>129.82</v>
      </c>
    </row>
    <row r="461" spans="2:10" x14ac:dyDescent="0.25">
      <c r="B461" s="1400" t="s">
        <v>1088</v>
      </c>
      <c r="C461" s="1401">
        <v>2085</v>
      </c>
      <c r="D461" s="1400">
        <v>1022000</v>
      </c>
      <c r="E461" s="1402">
        <v>1021000</v>
      </c>
      <c r="F461" s="1403">
        <v>15510</v>
      </c>
      <c r="G461" s="1400">
        <v>1.6964999999999999</v>
      </c>
      <c r="H461" s="1402">
        <v>0.14096238999999999</v>
      </c>
      <c r="I461" s="1402">
        <v>3.2765999999999998E-5</v>
      </c>
      <c r="J461" s="1403">
        <v>5.9536999999999995</v>
      </c>
    </row>
    <row r="462" spans="2:10" x14ac:dyDescent="0.25">
      <c r="B462" s="1400" t="s">
        <v>716</v>
      </c>
      <c r="C462" s="1401">
        <v>2085</v>
      </c>
      <c r="D462" s="1400">
        <v>1022000</v>
      </c>
      <c r="E462" s="1402">
        <v>1021000</v>
      </c>
      <c r="F462" s="1403">
        <v>15510</v>
      </c>
      <c r="G462" s="1400">
        <v>1.6964999999999999</v>
      </c>
      <c r="H462" s="1402">
        <v>0.14096238999999999</v>
      </c>
      <c r="I462" s="1402">
        <v>3.2765999999999998E-5</v>
      </c>
      <c r="J462" s="1403">
        <v>5.9536999999999995</v>
      </c>
    </row>
    <row r="463" spans="2:10" x14ac:dyDescent="0.25">
      <c r="B463" s="1400" t="s">
        <v>717</v>
      </c>
      <c r="C463" s="1401">
        <v>2085</v>
      </c>
      <c r="D463" s="1400">
        <v>1022000</v>
      </c>
      <c r="E463" s="1402">
        <v>1021000</v>
      </c>
      <c r="F463" s="1403">
        <v>15510</v>
      </c>
      <c r="G463" s="1400">
        <v>1.6964999999999999</v>
      </c>
      <c r="H463" s="1402">
        <v>0.14096238999999999</v>
      </c>
      <c r="I463" s="1402">
        <v>3.2765999999999998E-5</v>
      </c>
      <c r="J463" s="1403">
        <v>5.9536999999999995</v>
      </c>
    </row>
    <row r="464" spans="2:10" x14ac:dyDescent="0.25">
      <c r="B464" s="1400" t="s">
        <v>913</v>
      </c>
      <c r="C464" s="1401">
        <v>2085</v>
      </c>
      <c r="D464" s="1400">
        <v>1209000</v>
      </c>
      <c r="E464" s="1402">
        <v>1202000</v>
      </c>
      <c r="F464" s="1403">
        <v>1052000</v>
      </c>
      <c r="G464" s="1400">
        <v>17.969000000000001</v>
      </c>
      <c r="H464" s="1402">
        <v>0.164128</v>
      </c>
      <c r="I464" s="1402">
        <v>2.9025999999999998E-4</v>
      </c>
      <c r="J464" s="1403">
        <v>22.988</v>
      </c>
    </row>
    <row r="465" spans="2:10" x14ac:dyDescent="0.25">
      <c r="B465" s="1400" t="s">
        <v>911</v>
      </c>
      <c r="C465" s="1401">
        <v>2085</v>
      </c>
      <c r="D465" s="1400">
        <v>1585000</v>
      </c>
      <c r="E465" s="1402">
        <v>696300</v>
      </c>
      <c r="F465" s="1403">
        <v>286000</v>
      </c>
      <c r="G465" s="1400">
        <v>38.049999999999997</v>
      </c>
      <c r="H465" s="1402">
        <v>0.1118</v>
      </c>
      <c r="I465" s="1402">
        <v>2.5350000000000001E-2</v>
      </c>
      <c r="J465" s="1403">
        <v>45.19</v>
      </c>
    </row>
    <row r="466" spans="2:10" x14ac:dyDescent="0.25">
      <c r="B466" s="1400" t="s">
        <v>914</v>
      </c>
      <c r="C466" s="1401">
        <v>2085</v>
      </c>
      <c r="D466" s="1400">
        <v>1249000</v>
      </c>
      <c r="E466" s="1402">
        <v>1242000</v>
      </c>
      <c r="F466" s="1403">
        <v>1078000</v>
      </c>
      <c r="G466" s="1400">
        <v>23.84</v>
      </c>
      <c r="H466" s="1402">
        <v>0.16985799999999998</v>
      </c>
      <c r="I466" s="1402">
        <v>3.7813000000000001E-4</v>
      </c>
      <c r="J466" s="1403">
        <v>29.157000000000004</v>
      </c>
    </row>
    <row r="467" spans="2:10" x14ac:dyDescent="0.25">
      <c r="B467" s="1400" t="s">
        <v>1082</v>
      </c>
      <c r="C467" s="1401">
        <v>2085</v>
      </c>
      <c r="D467" s="1400">
        <v>1190000</v>
      </c>
      <c r="E467" s="1402">
        <v>51590</v>
      </c>
      <c r="F467" s="1403">
        <v>29220</v>
      </c>
      <c r="G467" s="1400">
        <v>3.7582</v>
      </c>
      <c r="H467" s="1402">
        <v>8.4366999999999984E-3</v>
      </c>
      <c r="I467" s="1402">
        <v>-3.8261190000000002E-3</v>
      </c>
      <c r="J467" s="1403">
        <v>3.0054000000000003</v>
      </c>
    </row>
    <row r="468" spans="2:10" x14ac:dyDescent="0.25">
      <c r="B468" s="1400" t="s">
        <v>815</v>
      </c>
      <c r="C468" s="1401">
        <v>2085</v>
      </c>
      <c r="D468" s="1400">
        <v>1190000</v>
      </c>
      <c r="E468" s="1402">
        <v>51590</v>
      </c>
      <c r="F468" s="1403">
        <v>29220</v>
      </c>
      <c r="G468" s="1400">
        <v>3.7582</v>
      </c>
      <c r="H468" s="1402">
        <v>8.4366999999999984E-3</v>
      </c>
      <c r="I468" s="1402">
        <v>-3.8261190000000002E-3</v>
      </c>
      <c r="J468" s="1403">
        <v>3.0054000000000003</v>
      </c>
    </row>
    <row r="469" spans="2:10" x14ac:dyDescent="0.25">
      <c r="B469" s="1400" t="s">
        <v>824</v>
      </c>
      <c r="C469" s="1401">
        <v>2085</v>
      </c>
      <c r="D469" s="1400">
        <v>1190000</v>
      </c>
      <c r="E469" s="1402">
        <v>51590</v>
      </c>
      <c r="F469" s="1403">
        <v>29220</v>
      </c>
      <c r="G469" s="1400">
        <v>3.7582</v>
      </c>
      <c r="H469" s="1402">
        <v>8.4366999999999984E-3</v>
      </c>
      <c r="I469" s="1402">
        <v>-3.8261190000000002E-3</v>
      </c>
      <c r="J469" s="1403">
        <v>3.0054000000000003</v>
      </c>
    </row>
    <row r="470" spans="2:10" ht="13.8" thickBot="1" x14ac:dyDescent="0.3">
      <c r="B470" s="1404" t="s">
        <v>1089</v>
      </c>
      <c r="C470" s="1405">
        <v>2085</v>
      </c>
      <c r="D470" s="1404">
        <v>1384000</v>
      </c>
      <c r="E470" s="1406">
        <v>1383000</v>
      </c>
      <c r="F470" s="1407">
        <v>5034</v>
      </c>
      <c r="G470" s="1404">
        <v>78.571100000000001</v>
      </c>
      <c r="H470" s="1406">
        <v>0.27494000000000002</v>
      </c>
      <c r="I470" s="1406">
        <v>2.3304000000000003E-3</v>
      </c>
      <c r="J470" s="1407">
        <v>87.594300000000004</v>
      </c>
    </row>
    <row r="471" spans="2:10" x14ac:dyDescent="0.25">
      <c r="B471" s="1396" t="s">
        <v>1086</v>
      </c>
      <c r="C471" s="1397">
        <v>2090</v>
      </c>
      <c r="D471" s="1396">
        <v>1092000</v>
      </c>
      <c r="E471" s="1398">
        <v>1092000</v>
      </c>
      <c r="F471" s="1399">
        <v>3971</v>
      </c>
      <c r="G471" s="1396">
        <v>5.7390999999999996</v>
      </c>
      <c r="H471" s="1398">
        <v>0.18462200000000001</v>
      </c>
      <c r="I471" s="1398">
        <v>8.61E-4</v>
      </c>
      <c r="J471" s="1399">
        <v>11.5648</v>
      </c>
    </row>
    <row r="472" spans="2:10" x14ac:dyDescent="0.25">
      <c r="B472" s="1400" t="s">
        <v>283</v>
      </c>
      <c r="C472" s="1401">
        <v>2090</v>
      </c>
      <c r="D472" s="1400">
        <v>1092000</v>
      </c>
      <c r="E472" s="1402">
        <v>1092000</v>
      </c>
      <c r="F472" s="1403">
        <v>3971</v>
      </c>
      <c r="G472" s="1400">
        <v>5.7390999999999996</v>
      </c>
      <c r="H472" s="1402">
        <v>0.18462200000000001</v>
      </c>
      <c r="I472" s="1402">
        <v>8.61E-4</v>
      </c>
      <c r="J472" s="1403">
        <v>11.5648</v>
      </c>
    </row>
    <row r="473" spans="2:10" x14ac:dyDescent="0.25">
      <c r="B473" s="1400" t="s">
        <v>1087</v>
      </c>
      <c r="C473" s="1401">
        <v>2090</v>
      </c>
      <c r="D473" s="1400">
        <v>1092000</v>
      </c>
      <c r="E473" s="1402">
        <v>1092000</v>
      </c>
      <c r="F473" s="1403">
        <v>3971</v>
      </c>
      <c r="G473" s="1400">
        <v>5.7390999999999996</v>
      </c>
      <c r="H473" s="1402">
        <v>0.18462200000000001</v>
      </c>
      <c r="I473" s="1402">
        <v>8.61E-4</v>
      </c>
      <c r="J473" s="1403">
        <v>11.5648</v>
      </c>
    </row>
    <row r="474" spans="2:10" x14ac:dyDescent="0.25">
      <c r="B474" s="1400" t="s">
        <v>681</v>
      </c>
      <c r="C474" s="1401">
        <v>2090</v>
      </c>
      <c r="D474" s="1400">
        <v>1092000</v>
      </c>
      <c r="E474" s="1402">
        <v>1092000</v>
      </c>
      <c r="F474" s="1403">
        <v>3971</v>
      </c>
      <c r="G474" s="1400">
        <v>5.7390999999999996</v>
      </c>
      <c r="H474" s="1402">
        <v>0.18462200000000001</v>
      </c>
      <c r="I474" s="1402">
        <v>8.61E-4</v>
      </c>
      <c r="J474" s="1403">
        <v>11.5648</v>
      </c>
    </row>
    <row r="475" spans="2:10" x14ac:dyDescent="0.25">
      <c r="B475" s="1400" t="s">
        <v>682</v>
      </c>
      <c r="C475" s="1401">
        <v>2090</v>
      </c>
      <c r="D475" s="1400">
        <v>-1185000</v>
      </c>
      <c r="E475" s="1402">
        <v>0</v>
      </c>
      <c r="F475" s="1403">
        <v>0</v>
      </c>
      <c r="G475" s="1400">
        <v>-85.800000000000011</v>
      </c>
      <c r="H475" s="1402">
        <v>0.54700000000000004</v>
      </c>
      <c r="I475" s="1402">
        <v>-1.8286999999999999E-3</v>
      </c>
      <c r="J475" s="1403">
        <v>-70.08</v>
      </c>
    </row>
    <row r="476" spans="2:10" x14ac:dyDescent="0.25">
      <c r="B476" s="1400" t="s">
        <v>683</v>
      </c>
      <c r="C476" s="1401">
        <v>2090</v>
      </c>
      <c r="D476" s="1400">
        <v>1721000</v>
      </c>
      <c r="E476" s="1402">
        <v>1293000</v>
      </c>
      <c r="F476" s="1403">
        <v>15050</v>
      </c>
      <c r="G476" s="1400">
        <v>125.08</v>
      </c>
      <c r="H476" s="1402">
        <v>0.20477100000000001</v>
      </c>
      <c r="I476" s="1402">
        <v>1.7827000000000001E-3</v>
      </c>
      <c r="J476" s="1403">
        <v>129.82</v>
      </c>
    </row>
    <row r="477" spans="2:10" x14ac:dyDescent="0.25">
      <c r="B477" s="1400" t="s">
        <v>698</v>
      </c>
      <c r="C477" s="1401">
        <v>2090</v>
      </c>
      <c r="D477" s="1400">
        <v>1721000</v>
      </c>
      <c r="E477" s="1402">
        <v>1293000</v>
      </c>
      <c r="F477" s="1403">
        <v>15050</v>
      </c>
      <c r="G477" s="1400">
        <v>125.08</v>
      </c>
      <c r="H477" s="1402">
        <v>0.20477100000000001</v>
      </c>
      <c r="I477" s="1402">
        <v>1.7827000000000001E-3</v>
      </c>
      <c r="J477" s="1403">
        <v>129.82</v>
      </c>
    </row>
    <row r="478" spans="2:10" x14ac:dyDescent="0.25">
      <c r="B478" s="1400" t="s">
        <v>684</v>
      </c>
      <c r="C478" s="1401">
        <v>2090</v>
      </c>
      <c r="D478" s="1400">
        <v>1721000</v>
      </c>
      <c r="E478" s="1402">
        <v>1293000</v>
      </c>
      <c r="F478" s="1403">
        <v>15050</v>
      </c>
      <c r="G478" s="1400">
        <v>125.08</v>
      </c>
      <c r="H478" s="1402">
        <v>0.20477100000000001</v>
      </c>
      <c r="I478" s="1402">
        <v>1.7827000000000001E-3</v>
      </c>
      <c r="J478" s="1403">
        <v>129.82</v>
      </c>
    </row>
    <row r="479" spans="2:10" x14ac:dyDescent="0.25">
      <c r="B479" s="1400" t="s">
        <v>1088</v>
      </c>
      <c r="C479" s="1401">
        <v>2090</v>
      </c>
      <c r="D479" s="1400">
        <v>1022000</v>
      </c>
      <c r="E479" s="1402">
        <v>1021000</v>
      </c>
      <c r="F479" s="1403">
        <v>15510</v>
      </c>
      <c r="G479" s="1400">
        <v>1.6964999999999999</v>
      </c>
      <c r="H479" s="1402">
        <v>0.14096238999999999</v>
      </c>
      <c r="I479" s="1402">
        <v>3.2765999999999998E-5</v>
      </c>
      <c r="J479" s="1403">
        <v>5.9536999999999995</v>
      </c>
    </row>
    <row r="480" spans="2:10" x14ac:dyDescent="0.25">
      <c r="B480" s="1400" t="s">
        <v>716</v>
      </c>
      <c r="C480" s="1401">
        <v>2090</v>
      </c>
      <c r="D480" s="1400">
        <v>1022000</v>
      </c>
      <c r="E480" s="1402">
        <v>1021000</v>
      </c>
      <c r="F480" s="1403">
        <v>15510</v>
      </c>
      <c r="G480" s="1400">
        <v>1.6964999999999999</v>
      </c>
      <c r="H480" s="1402">
        <v>0.14096238999999999</v>
      </c>
      <c r="I480" s="1402">
        <v>3.2765999999999998E-5</v>
      </c>
      <c r="J480" s="1403">
        <v>5.9536999999999995</v>
      </c>
    </row>
    <row r="481" spans="2:10" x14ac:dyDescent="0.25">
      <c r="B481" s="1400" t="s">
        <v>717</v>
      </c>
      <c r="C481" s="1401">
        <v>2090</v>
      </c>
      <c r="D481" s="1400">
        <v>1022000</v>
      </c>
      <c r="E481" s="1402">
        <v>1021000</v>
      </c>
      <c r="F481" s="1403">
        <v>15510</v>
      </c>
      <c r="G481" s="1400">
        <v>1.6964999999999999</v>
      </c>
      <c r="H481" s="1402">
        <v>0.14096238999999999</v>
      </c>
      <c r="I481" s="1402">
        <v>3.2765999999999998E-5</v>
      </c>
      <c r="J481" s="1403">
        <v>5.9536999999999995</v>
      </c>
    </row>
    <row r="482" spans="2:10" x14ac:dyDescent="0.25">
      <c r="B482" s="1400" t="s">
        <v>913</v>
      </c>
      <c r="C482" s="1401">
        <v>2090</v>
      </c>
      <c r="D482" s="1400">
        <v>1209000</v>
      </c>
      <c r="E482" s="1402">
        <v>1202000</v>
      </c>
      <c r="F482" s="1403">
        <v>1052000</v>
      </c>
      <c r="G482" s="1400">
        <v>17.969000000000001</v>
      </c>
      <c r="H482" s="1402">
        <v>0.164128</v>
      </c>
      <c r="I482" s="1402">
        <v>2.9025999999999998E-4</v>
      </c>
      <c r="J482" s="1403">
        <v>22.988</v>
      </c>
    </row>
    <row r="483" spans="2:10" x14ac:dyDescent="0.25">
      <c r="B483" s="1400" t="s">
        <v>911</v>
      </c>
      <c r="C483" s="1401">
        <v>2090</v>
      </c>
      <c r="D483" s="1400">
        <v>1585000</v>
      </c>
      <c r="E483" s="1402">
        <v>696300</v>
      </c>
      <c r="F483" s="1403">
        <v>286000</v>
      </c>
      <c r="G483" s="1400">
        <v>38.049999999999997</v>
      </c>
      <c r="H483" s="1402">
        <v>0.1118</v>
      </c>
      <c r="I483" s="1402">
        <v>2.5350000000000001E-2</v>
      </c>
      <c r="J483" s="1403">
        <v>45.19</v>
      </c>
    </row>
    <row r="484" spans="2:10" x14ac:dyDescent="0.25">
      <c r="B484" s="1400" t="s">
        <v>914</v>
      </c>
      <c r="C484" s="1401">
        <v>2090</v>
      </c>
      <c r="D484" s="1400">
        <v>1249000</v>
      </c>
      <c r="E484" s="1402">
        <v>1242000</v>
      </c>
      <c r="F484" s="1403">
        <v>1078000</v>
      </c>
      <c r="G484" s="1400">
        <v>23.84</v>
      </c>
      <c r="H484" s="1402">
        <v>0.16985799999999998</v>
      </c>
      <c r="I484" s="1402">
        <v>3.7813000000000001E-4</v>
      </c>
      <c r="J484" s="1403">
        <v>29.157000000000004</v>
      </c>
    </row>
    <row r="485" spans="2:10" x14ac:dyDescent="0.25">
      <c r="B485" s="1400" t="s">
        <v>1082</v>
      </c>
      <c r="C485" s="1401">
        <v>2090</v>
      </c>
      <c r="D485" s="1400">
        <v>1190000</v>
      </c>
      <c r="E485" s="1402">
        <v>51590</v>
      </c>
      <c r="F485" s="1403">
        <v>29220</v>
      </c>
      <c r="G485" s="1400">
        <v>3.7582</v>
      </c>
      <c r="H485" s="1402">
        <v>8.4366999999999984E-3</v>
      </c>
      <c r="I485" s="1402">
        <v>-3.8261190000000002E-3</v>
      </c>
      <c r="J485" s="1403">
        <v>3.0054000000000003</v>
      </c>
    </row>
    <row r="486" spans="2:10" x14ac:dyDescent="0.25">
      <c r="B486" s="1400" t="s">
        <v>815</v>
      </c>
      <c r="C486" s="1401">
        <v>2090</v>
      </c>
      <c r="D486" s="1400">
        <v>1190000</v>
      </c>
      <c r="E486" s="1402">
        <v>51590</v>
      </c>
      <c r="F486" s="1403">
        <v>29220</v>
      </c>
      <c r="G486" s="1400">
        <v>3.7582</v>
      </c>
      <c r="H486" s="1402">
        <v>8.4366999999999984E-3</v>
      </c>
      <c r="I486" s="1402">
        <v>-3.8261190000000002E-3</v>
      </c>
      <c r="J486" s="1403">
        <v>3.0054000000000003</v>
      </c>
    </row>
    <row r="487" spans="2:10" x14ac:dyDescent="0.25">
      <c r="B487" s="1400" t="s">
        <v>824</v>
      </c>
      <c r="C487" s="1401">
        <v>2090</v>
      </c>
      <c r="D487" s="1400">
        <v>1190000</v>
      </c>
      <c r="E487" s="1402">
        <v>51590</v>
      </c>
      <c r="F487" s="1403">
        <v>29220</v>
      </c>
      <c r="G487" s="1400">
        <v>3.7582</v>
      </c>
      <c r="H487" s="1402">
        <v>8.4366999999999984E-3</v>
      </c>
      <c r="I487" s="1402">
        <v>-3.8261190000000002E-3</v>
      </c>
      <c r="J487" s="1403">
        <v>3.0054000000000003</v>
      </c>
    </row>
    <row r="488" spans="2:10" ht="13.8" thickBot="1" x14ac:dyDescent="0.3">
      <c r="B488" s="1404" t="s">
        <v>1089</v>
      </c>
      <c r="C488" s="1405">
        <v>2090</v>
      </c>
      <c r="D488" s="1404">
        <v>1384000</v>
      </c>
      <c r="E488" s="1406">
        <v>1383000</v>
      </c>
      <c r="F488" s="1407">
        <v>5034</v>
      </c>
      <c r="G488" s="1404">
        <v>78.571100000000001</v>
      </c>
      <c r="H488" s="1406">
        <v>0.27494000000000002</v>
      </c>
      <c r="I488" s="1406">
        <v>2.3304000000000003E-3</v>
      </c>
      <c r="J488" s="1407">
        <v>87.594300000000004</v>
      </c>
    </row>
    <row r="489" spans="2:10" x14ac:dyDescent="0.25">
      <c r="B489" s="1396" t="s">
        <v>1086</v>
      </c>
      <c r="C489" s="1397">
        <v>2095</v>
      </c>
      <c r="D489" s="1396">
        <v>1092000</v>
      </c>
      <c r="E489" s="1398">
        <v>1092000</v>
      </c>
      <c r="F489" s="1399">
        <v>3971</v>
      </c>
      <c r="G489" s="1396">
        <v>5.7390999999999996</v>
      </c>
      <c r="H489" s="1398">
        <v>0.18462200000000001</v>
      </c>
      <c r="I489" s="1398">
        <v>8.61E-4</v>
      </c>
      <c r="J489" s="1399">
        <v>11.5648</v>
      </c>
    </row>
    <row r="490" spans="2:10" x14ac:dyDescent="0.25">
      <c r="B490" s="1400" t="s">
        <v>283</v>
      </c>
      <c r="C490" s="1401">
        <v>2095</v>
      </c>
      <c r="D490" s="1400">
        <v>1092000</v>
      </c>
      <c r="E490" s="1402">
        <v>1092000</v>
      </c>
      <c r="F490" s="1403">
        <v>3971</v>
      </c>
      <c r="G490" s="1400">
        <v>5.7390999999999996</v>
      </c>
      <c r="H490" s="1402">
        <v>0.18462200000000001</v>
      </c>
      <c r="I490" s="1402">
        <v>8.61E-4</v>
      </c>
      <c r="J490" s="1403">
        <v>11.5648</v>
      </c>
    </row>
    <row r="491" spans="2:10" x14ac:dyDescent="0.25">
      <c r="B491" s="1400" t="s">
        <v>1087</v>
      </c>
      <c r="C491" s="1401">
        <v>2095</v>
      </c>
      <c r="D491" s="1400">
        <v>1092000</v>
      </c>
      <c r="E491" s="1402">
        <v>1092000</v>
      </c>
      <c r="F491" s="1403">
        <v>3971</v>
      </c>
      <c r="G491" s="1400">
        <v>5.7390999999999996</v>
      </c>
      <c r="H491" s="1402">
        <v>0.18462200000000001</v>
      </c>
      <c r="I491" s="1402">
        <v>8.61E-4</v>
      </c>
      <c r="J491" s="1403">
        <v>11.5648</v>
      </c>
    </row>
    <row r="492" spans="2:10" x14ac:dyDescent="0.25">
      <c r="B492" s="1400" t="s">
        <v>681</v>
      </c>
      <c r="C492" s="1401">
        <v>2095</v>
      </c>
      <c r="D492" s="1400">
        <v>1092000</v>
      </c>
      <c r="E492" s="1402">
        <v>1092000</v>
      </c>
      <c r="F492" s="1403">
        <v>3971</v>
      </c>
      <c r="G492" s="1400">
        <v>5.7390999999999996</v>
      </c>
      <c r="H492" s="1402">
        <v>0.18462200000000001</v>
      </c>
      <c r="I492" s="1402">
        <v>8.61E-4</v>
      </c>
      <c r="J492" s="1403">
        <v>11.5648</v>
      </c>
    </row>
    <row r="493" spans="2:10" x14ac:dyDescent="0.25">
      <c r="B493" s="1400" t="s">
        <v>682</v>
      </c>
      <c r="C493" s="1401">
        <v>2095</v>
      </c>
      <c r="D493" s="1400">
        <v>-1185000</v>
      </c>
      <c r="E493" s="1402">
        <v>0</v>
      </c>
      <c r="F493" s="1403">
        <v>0</v>
      </c>
      <c r="G493" s="1400">
        <v>-85.800000000000011</v>
      </c>
      <c r="H493" s="1402">
        <v>0.54700000000000004</v>
      </c>
      <c r="I493" s="1402">
        <v>-1.8286999999999999E-3</v>
      </c>
      <c r="J493" s="1403">
        <v>-70.08</v>
      </c>
    </row>
    <row r="494" spans="2:10" x14ac:dyDescent="0.25">
      <c r="B494" s="1400" t="s">
        <v>683</v>
      </c>
      <c r="C494" s="1401">
        <v>2095</v>
      </c>
      <c r="D494" s="1400">
        <v>1721000</v>
      </c>
      <c r="E494" s="1402">
        <v>1293000</v>
      </c>
      <c r="F494" s="1403">
        <v>15050</v>
      </c>
      <c r="G494" s="1400">
        <v>125.08</v>
      </c>
      <c r="H494" s="1402">
        <v>0.20477100000000001</v>
      </c>
      <c r="I494" s="1402">
        <v>1.7827000000000001E-3</v>
      </c>
      <c r="J494" s="1403">
        <v>129.82</v>
      </c>
    </row>
    <row r="495" spans="2:10" x14ac:dyDescent="0.25">
      <c r="B495" s="1400" t="s">
        <v>698</v>
      </c>
      <c r="C495" s="1401">
        <v>2095</v>
      </c>
      <c r="D495" s="1400">
        <v>1721000</v>
      </c>
      <c r="E495" s="1402">
        <v>1293000</v>
      </c>
      <c r="F495" s="1403">
        <v>15050</v>
      </c>
      <c r="G495" s="1400">
        <v>125.08</v>
      </c>
      <c r="H495" s="1402">
        <v>0.20477100000000001</v>
      </c>
      <c r="I495" s="1402">
        <v>1.7827000000000001E-3</v>
      </c>
      <c r="J495" s="1403">
        <v>129.82</v>
      </c>
    </row>
    <row r="496" spans="2:10" x14ac:dyDescent="0.25">
      <c r="B496" s="1400" t="s">
        <v>684</v>
      </c>
      <c r="C496" s="1401">
        <v>2095</v>
      </c>
      <c r="D496" s="1400">
        <v>1721000</v>
      </c>
      <c r="E496" s="1402">
        <v>1293000</v>
      </c>
      <c r="F496" s="1403">
        <v>15050</v>
      </c>
      <c r="G496" s="1400">
        <v>125.08</v>
      </c>
      <c r="H496" s="1402">
        <v>0.20477100000000001</v>
      </c>
      <c r="I496" s="1402">
        <v>1.7827000000000001E-3</v>
      </c>
      <c r="J496" s="1403">
        <v>129.82</v>
      </c>
    </row>
    <row r="497" spans="2:10" x14ac:dyDescent="0.25">
      <c r="B497" s="1400" t="s">
        <v>1088</v>
      </c>
      <c r="C497" s="1401">
        <v>2095</v>
      </c>
      <c r="D497" s="1400">
        <v>1022000</v>
      </c>
      <c r="E497" s="1402">
        <v>1021000</v>
      </c>
      <c r="F497" s="1403">
        <v>15510</v>
      </c>
      <c r="G497" s="1400">
        <v>1.6964999999999999</v>
      </c>
      <c r="H497" s="1402">
        <v>0.14096238999999999</v>
      </c>
      <c r="I497" s="1402">
        <v>3.2765999999999998E-5</v>
      </c>
      <c r="J497" s="1403">
        <v>5.9536999999999995</v>
      </c>
    </row>
    <row r="498" spans="2:10" x14ac:dyDescent="0.25">
      <c r="B498" s="1400" t="s">
        <v>716</v>
      </c>
      <c r="C498" s="1401">
        <v>2095</v>
      </c>
      <c r="D498" s="1400">
        <v>1022000</v>
      </c>
      <c r="E498" s="1402">
        <v>1021000</v>
      </c>
      <c r="F498" s="1403">
        <v>15510</v>
      </c>
      <c r="G498" s="1400">
        <v>1.6964999999999999</v>
      </c>
      <c r="H498" s="1402">
        <v>0.14096238999999999</v>
      </c>
      <c r="I498" s="1402">
        <v>3.2765999999999998E-5</v>
      </c>
      <c r="J498" s="1403">
        <v>5.9536999999999995</v>
      </c>
    </row>
    <row r="499" spans="2:10" x14ac:dyDescent="0.25">
      <c r="B499" s="1400" t="s">
        <v>717</v>
      </c>
      <c r="C499" s="1401">
        <v>2095</v>
      </c>
      <c r="D499" s="1400">
        <v>1022000</v>
      </c>
      <c r="E499" s="1402">
        <v>1021000</v>
      </c>
      <c r="F499" s="1403">
        <v>15510</v>
      </c>
      <c r="G499" s="1400">
        <v>1.6964999999999999</v>
      </c>
      <c r="H499" s="1402">
        <v>0.14096238999999999</v>
      </c>
      <c r="I499" s="1402">
        <v>3.2765999999999998E-5</v>
      </c>
      <c r="J499" s="1403">
        <v>5.9536999999999995</v>
      </c>
    </row>
    <row r="500" spans="2:10" x14ac:dyDescent="0.25">
      <c r="B500" s="1400" t="s">
        <v>913</v>
      </c>
      <c r="C500" s="1401">
        <v>2095</v>
      </c>
      <c r="D500" s="1400">
        <v>1209000</v>
      </c>
      <c r="E500" s="1402">
        <v>1202000</v>
      </c>
      <c r="F500" s="1403">
        <v>1052000</v>
      </c>
      <c r="G500" s="1400">
        <v>17.969000000000001</v>
      </c>
      <c r="H500" s="1402">
        <v>0.164128</v>
      </c>
      <c r="I500" s="1402">
        <v>2.9025999999999998E-4</v>
      </c>
      <c r="J500" s="1403">
        <v>22.988</v>
      </c>
    </row>
    <row r="501" spans="2:10" x14ac:dyDescent="0.25">
      <c r="B501" s="1400" t="s">
        <v>911</v>
      </c>
      <c r="C501" s="1401">
        <v>2095</v>
      </c>
      <c r="D501" s="1400">
        <v>1585000</v>
      </c>
      <c r="E501" s="1402">
        <v>696300</v>
      </c>
      <c r="F501" s="1403">
        <v>286000</v>
      </c>
      <c r="G501" s="1400">
        <v>38.049999999999997</v>
      </c>
      <c r="H501" s="1402">
        <v>0.1118</v>
      </c>
      <c r="I501" s="1402">
        <v>2.5350000000000001E-2</v>
      </c>
      <c r="J501" s="1403">
        <v>45.19</v>
      </c>
    </row>
    <row r="502" spans="2:10" x14ac:dyDescent="0.25">
      <c r="B502" s="1400" t="s">
        <v>914</v>
      </c>
      <c r="C502" s="1401">
        <v>2095</v>
      </c>
      <c r="D502" s="1400">
        <v>1249000</v>
      </c>
      <c r="E502" s="1402">
        <v>1242000</v>
      </c>
      <c r="F502" s="1403">
        <v>1078000</v>
      </c>
      <c r="G502" s="1400">
        <v>23.84</v>
      </c>
      <c r="H502" s="1402">
        <v>0.16985799999999998</v>
      </c>
      <c r="I502" s="1402">
        <v>3.7813000000000001E-4</v>
      </c>
      <c r="J502" s="1403">
        <v>29.157000000000004</v>
      </c>
    </row>
    <row r="503" spans="2:10" x14ac:dyDescent="0.25">
      <c r="B503" s="1400" t="s">
        <v>1082</v>
      </c>
      <c r="C503" s="1401">
        <v>2095</v>
      </c>
      <c r="D503" s="1400">
        <v>1190000</v>
      </c>
      <c r="E503" s="1402">
        <v>51590</v>
      </c>
      <c r="F503" s="1403">
        <v>29220</v>
      </c>
      <c r="G503" s="1400">
        <v>3.7582</v>
      </c>
      <c r="H503" s="1402">
        <v>8.4366999999999984E-3</v>
      </c>
      <c r="I503" s="1402">
        <v>-3.8261190000000002E-3</v>
      </c>
      <c r="J503" s="1403">
        <v>3.0054000000000003</v>
      </c>
    </row>
    <row r="504" spans="2:10" x14ac:dyDescent="0.25">
      <c r="B504" s="1400" t="s">
        <v>815</v>
      </c>
      <c r="C504" s="1401">
        <v>2095</v>
      </c>
      <c r="D504" s="1400">
        <v>1190000</v>
      </c>
      <c r="E504" s="1402">
        <v>51590</v>
      </c>
      <c r="F504" s="1403">
        <v>29220</v>
      </c>
      <c r="G504" s="1400">
        <v>3.7582</v>
      </c>
      <c r="H504" s="1402">
        <v>8.4366999999999984E-3</v>
      </c>
      <c r="I504" s="1402">
        <v>-3.8261190000000002E-3</v>
      </c>
      <c r="J504" s="1403">
        <v>3.0054000000000003</v>
      </c>
    </row>
    <row r="505" spans="2:10" x14ac:dyDescent="0.25">
      <c r="B505" s="1400" t="s">
        <v>824</v>
      </c>
      <c r="C505" s="1401">
        <v>2095</v>
      </c>
      <c r="D505" s="1400">
        <v>1190000</v>
      </c>
      <c r="E505" s="1402">
        <v>51590</v>
      </c>
      <c r="F505" s="1403">
        <v>29220</v>
      </c>
      <c r="G505" s="1400">
        <v>3.7582</v>
      </c>
      <c r="H505" s="1402">
        <v>8.4366999999999984E-3</v>
      </c>
      <c r="I505" s="1402">
        <v>-3.8261190000000002E-3</v>
      </c>
      <c r="J505" s="1403">
        <v>3.0054000000000003</v>
      </c>
    </row>
    <row r="506" spans="2:10" ht="13.8" thickBot="1" x14ac:dyDescent="0.3">
      <c r="B506" s="1404" t="s">
        <v>1089</v>
      </c>
      <c r="C506" s="1405">
        <v>2095</v>
      </c>
      <c r="D506" s="1404">
        <v>1384000</v>
      </c>
      <c r="E506" s="1406">
        <v>1383000</v>
      </c>
      <c r="F506" s="1407">
        <v>5034</v>
      </c>
      <c r="G506" s="1404">
        <v>78.571100000000001</v>
      </c>
      <c r="H506" s="1406">
        <v>0.27494000000000002</v>
      </c>
      <c r="I506" s="1406">
        <v>2.3304000000000003E-3</v>
      </c>
      <c r="J506" s="1407">
        <v>87.594300000000004</v>
      </c>
    </row>
    <row r="507" spans="2:10" x14ac:dyDescent="0.25">
      <c r="B507" s="1396" t="s">
        <v>1086</v>
      </c>
      <c r="C507" s="1397">
        <v>2100</v>
      </c>
      <c r="D507" s="1396">
        <v>1092000</v>
      </c>
      <c r="E507" s="1398">
        <v>1092000</v>
      </c>
      <c r="F507" s="1399">
        <v>3971</v>
      </c>
      <c r="G507" s="1396">
        <v>5.7390999999999996</v>
      </c>
      <c r="H507" s="1398">
        <v>0.18462200000000001</v>
      </c>
      <c r="I507" s="1398">
        <v>8.61E-4</v>
      </c>
      <c r="J507" s="1399">
        <v>11.5648</v>
      </c>
    </row>
    <row r="508" spans="2:10" x14ac:dyDescent="0.25">
      <c r="B508" s="1400" t="s">
        <v>283</v>
      </c>
      <c r="C508" s="1401">
        <v>2100</v>
      </c>
      <c r="D508" s="1400">
        <v>1092000</v>
      </c>
      <c r="E508" s="1402">
        <v>1092000</v>
      </c>
      <c r="F508" s="1403">
        <v>3971</v>
      </c>
      <c r="G508" s="1400">
        <v>5.7390999999999996</v>
      </c>
      <c r="H508" s="1402">
        <v>0.18462200000000001</v>
      </c>
      <c r="I508" s="1402">
        <v>8.61E-4</v>
      </c>
      <c r="J508" s="1403">
        <v>11.5648</v>
      </c>
    </row>
    <row r="509" spans="2:10" x14ac:dyDescent="0.25">
      <c r="B509" s="1400" t="s">
        <v>1087</v>
      </c>
      <c r="C509" s="1401">
        <v>2100</v>
      </c>
      <c r="D509" s="1400">
        <v>1092000</v>
      </c>
      <c r="E509" s="1402">
        <v>1092000</v>
      </c>
      <c r="F509" s="1403">
        <v>3971</v>
      </c>
      <c r="G509" s="1400">
        <v>5.7390999999999996</v>
      </c>
      <c r="H509" s="1402">
        <v>0.18462200000000001</v>
      </c>
      <c r="I509" s="1402">
        <v>8.61E-4</v>
      </c>
      <c r="J509" s="1403">
        <v>11.5648</v>
      </c>
    </row>
    <row r="510" spans="2:10" x14ac:dyDescent="0.25">
      <c r="B510" s="1400" t="s">
        <v>681</v>
      </c>
      <c r="C510" s="1401">
        <v>2100</v>
      </c>
      <c r="D510" s="1400">
        <v>1092000</v>
      </c>
      <c r="E510" s="1402">
        <v>1092000</v>
      </c>
      <c r="F510" s="1403">
        <v>3971</v>
      </c>
      <c r="G510" s="1400">
        <v>5.7390999999999996</v>
      </c>
      <c r="H510" s="1402">
        <v>0.18462200000000001</v>
      </c>
      <c r="I510" s="1402">
        <v>8.61E-4</v>
      </c>
      <c r="J510" s="1403">
        <v>11.5648</v>
      </c>
    </row>
    <row r="511" spans="2:10" x14ac:dyDescent="0.25">
      <c r="B511" s="1400" t="s">
        <v>682</v>
      </c>
      <c r="C511" s="1401">
        <v>2100</v>
      </c>
      <c r="D511" s="1400">
        <v>-1185000</v>
      </c>
      <c r="E511" s="1402">
        <v>0</v>
      </c>
      <c r="F511" s="1403">
        <v>0</v>
      </c>
      <c r="G511" s="1400">
        <v>-85.800000000000011</v>
      </c>
      <c r="H511" s="1402">
        <v>0.54700000000000004</v>
      </c>
      <c r="I511" s="1402">
        <v>-1.8286999999999999E-3</v>
      </c>
      <c r="J511" s="1403">
        <v>-70.08</v>
      </c>
    </row>
    <row r="512" spans="2:10" x14ac:dyDescent="0.25">
      <c r="B512" s="1400" t="s">
        <v>683</v>
      </c>
      <c r="C512" s="1401">
        <v>2100</v>
      </c>
      <c r="D512" s="1400">
        <v>1721000</v>
      </c>
      <c r="E512" s="1402">
        <v>1293000</v>
      </c>
      <c r="F512" s="1403">
        <v>15050</v>
      </c>
      <c r="G512" s="1400">
        <v>125.08</v>
      </c>
      <c r="H512" s="1402">
        <v>0.20477100000000001</v>
      </c>
      <c r="I512" s="1402">
        <v>1.7827000000000001E-3</v>
      </c>
      <c r="J512" s="1403">
        <v>129.82</v>
      </c>
    </row>
    <row r="513" spans="2:10" x14ac:dyDescent="0.25">
      <c r="B513" s="1400" t="s">
        <v>698</v>
      </c>
      <c r="C513" s="1401">
        <v>2100</v>
      </c>
      <c r="D513" s="1400">
        <v>1721000</v>
      </c>
      <c r="E513" s="1402">
        <v>1293000</v>
      </c>
      <c r="F513" s="1403">
        <v>15050</v>
      </c>
      <c r="G513" s="1400">
        <v>125.08</v>
      </c>
      <c r="H513" s="1402">
        <v>0.20477100000000001</v>
      </c>
      <c r="I513" s="1402">
        <v>1.7827000000000001E-3</v>
      </c>
      <c r="J513" s="1403">
        <v>129.82</v>
      </c>
    </row>
    <row r="514" spans="2:10" x14ac:dyDescent="0.25">
      <c r="B514" s="1400" t="s">
        <v>684</v>
      </c>
      <c r="C514" s="1401">
        <v>2100</v>
      </c>
      <c r="D514" s="1400">
        <v>1721000</v>
      </c>
      <c r="E514" s="1402">
        <v>1293000</v>
      </c>
      <c r="F514" s="1403">
        <v>15050</v>
      </c>
      <c r="G514" s="1400">
        <v>125.08</v>
      </c>
      <c r="H514" s="1402">
        <v>0.20477100000000001</v>
      </c>
      <c r="I514" s="1402">
        <v>1.7827000000000001E-3</v>
      </c>
      <c r="J514" s="1403">
        <v>129.82</v>
      </c>
    </row>
    <row r="515" spans="2:10" x14ac:dyDescent="0.25">
      <c r="B515" s="1400" t="s">
        <v>1088</v>
      </c>
      <c r="C515" s="1401">
        <v>2100</v>
      </c>
      <c r="D515" s="1400">
        <v>1022000</v>
      </c>
      <c r="E515" s="1402">
        <v>1021000</v>
      </c>
      <c r="F515" s="1403">
        <v>15510</v>
      </c>
      <c r="G515" s="1400">
        <v>1.6964999999999999</v>
      </c>
      <c r="H515" s="1402">
        <v>0.14096238999999999</v>
      </c>
      <c r="I515" s="1402">
        <v>3.2765999999999998E-5</v>
      </c>
      <c r="J515" s="1403">
        <v>5.9536999999999995</v>
      </c>
    </row>
    <row r="516" spans="2:10" x14ac:dyDescent="0.25">
      <c r="B516" s="1400" t="s">
        <v>716</v>
      </c>
      <c r="C516" s="1401">
        <v>2100</v>
      </c>
      <c r="D516" s="1400">
        <v>1022000</v>
      </c>
      <c r="E516" s="1402">
        <v>1021000</v>
      </c>
      <c r="F516" s="1403">
        <v>15510</v>
      </c>
      <c r="G516" s="1400">
        <v>1.6964999999999999</v>
      </c>
      <c r="H516" s="1402">
        <v>0.14096238999999999</v>
      </c>
      <c r="I516" s="1402">
        <v>3.2765999999999998E-5</v>
      </c>
      <c r="J516" s="1403">
        <v>5.9536999999999995</v>
      </c>
    </row>
    <row r="517" spans="2:10" x14ac:dyDescent="0.25">
      <c r="B517" s="1400" t="s">
        <v>717</v>
      </c>
      <c r="C517" s="1401">
        <v>2100</v>
      </c>
      <c r="D517" s="1400">
        <v>1022000</v>
      </c>
      <c r="E517" s="1402">
        <v>1021000</v>
      </c>
      <c r="F517" s="1403">
        <v>15510</v>
      </c>
      <c r="G517" s="1400">
        <v>1.6964999999999999</v>
      </c>
      <c r="H517" s="1402">
        <v>0.14096238999999999</v>
      </c>
      <c r="I517" s="1402">
        <v>3.2765999999999998E-5</v>
      </c>
      <c r="J517" s="1403">
        <v>5.9536999999999995</v>
      </c>
    </row>
    <row r="518" spans="2:10" x14ac:dyDescent="0.25">
      <c r="B518" s="1400" t="s">
        <v>913</v>
      </c>
      <c r="C518" s="1401">
        <v>2100</v>
      </c>
      <c r="D518" s="1400">
        <v>1209000</v>
      </c>
      <c r="E518" s="1402">
        <v>1202000</v>
      </c>
      <c r="F518" s="1403">
        <v>1052000</v>
      </c>
      <c r="G518" s="1400">
        <v>17.969000000000001</v>
      </c>
      <c r="H518" s="1402">
        <v>0.164128</v>
      </c>
      <c r="I518" s="1402">
        <v>2.9025999999999998E-4</v>
      </c>
      <c r="J518" s="1403">
        <v>22.988</v>
      </c>
    </row>
    <row r="519" spans="2:10" x14ac:dyDescent="0.25">
      <c r="B519" s="1400" t="s">
        <v>911</v>
      </c>
      <c r="C519" s="1401">
        <v>2100</v>
      </c>
      <c r="D519" s="1400">
        <v>1585000</v>
      </c>
      <c r="E519" s="1402">
        <v>696300</v>
      </c>
      <c r="F519" s="1403">
        <v>286000</v>
      </c>
      <c r="G519" s="1400">
        <v>38.049999999999997</v>
      </c>
      <c r="H519" s="1402">
        <v>0.1118</v>
      </c>
      <c r="I519" s="1402">
        <v>2.5350000000000001E-2</v>
      </c>
      <c r="J519" s="1403">
        <v>45.19</v>
      </c>
    </row>
    <row r="520" spans="2:10" x14ac:dyDescent="0.25">
      <c r="B520" s="1400" t="s">
        <v>914</v>
      </c>
      <c r="C520" s="1401">
        <v>2100</v>
      </c>
      <c r="D520" s="1400">
        <v>1249000</v>
      </c>
      <c r="E520" s="1402">
        <v>1242000</v>
      </c>
      <c r="F520" s="1403">
        <v>1078000</v>
      </c>
      <c r="G520" s="1400">
        <v>23.84</v>
      </c>
      <c r="H520" s="1402">
        <v>0.16985799999999998</v>
      </c>
      <c r="I520" s="1402">
        <v>3.7813000000000001E-4</v>
      </c>
      <c r="J520" s="1403">
        <v>29.157000000000004</v>
      </c>
    </row>
    <row r="521" spans="2:10" x14ac:dyDescent="0.25">
      <c r="B521" s="1400" t="s">
        <v>1082</v>
      </c>
      <c r="C521" s="1401">
        <v>2100</v>
      </c>
      <c r="D521" s="1400">
        <v>1190000</v>
      </c>
      <c r="E521" s="1402">
        <v>51590</v>
      </c>
      <c r="F521" s="1403">
        <v>29220</v>
      </c>
      <c r="G521" s="1400">
        <v>3.7582</v>
      </c>
      <c r="H521" s="1402">
        <v>8.4366999999999984E-3</v>
      </c>
      <c r="I521" s="1402">
        <v>-3.8261190000000002E-3</v>
      </c>
      <c r="J521" s="1403">
        <v>3.0054000000000003</v>
      </c>
    </row>
    <row r="522" spans="2:10" x14ac:dyDescent="0.25">
      <c r="B522" s="1400" t="s">
        <v>815</v>
      </c>
      <c r="C522" s="1401">
        <v>2100</v>
      </c>
      <c r="D522" s="1400">
        <v>1190000</v>
      </c>
      <c r="E522" s="1402">
        <v>51590</v>
      </c>
      <c r="F522" s="1403">
        <v>29220</v>
      </c>
      <c r="G522" s="1400">
        <v>3.7582</v>
      </c>
      <c r="H522" s="1402">
        <v>8.4366999999999984E-3</v>
      </c>
      <c r="I522" s="1402">
        <v>-3.8261190000000002E-3</v>
      </c>
      <c r="J522" s="1403">
        <v>3.0054000000000003</v>
      </c>
    </row>
    <row r="523" spans="2:10" x14ac:dyDescent="0.25">
      <c r="B523" s="1400" t="s">
        <v>824</v>
      </c>
      <c r="C523" s="1401">
        <v>2100</v>
      </c>
      <c r="D523" s="1400">
        <v>1190000</v>
      </c>
      <c r="E523" s="1402">
        <v>51590</v>
      </c>
      <c r="F523" s="1403">
        <v>29220</v>
      </c>
      <c r="G523" s="1400">
        <v>3.7582</v>
      </c>
      <c r="H523" s="1402">
        <v>8.4366999999999984E-3</v>
      </c>
      <c r="I523" s="1402">
        <v>-3.8261190000000002E-3</v>
      </c>
      <c r="J523" s="1403">
        <v>3.0054000000000003</v>
      </c>
    </row>
    <row r="524" spans="2:10" ht="13.8" thickBot="1" x14ac:dyDescent="0.3">
      <c r="B524" s="1404" t="s">
        <v>1089</v>
      </c>
      <c r="C524" s="1405">
        <v>2100</v>
      </c>
      <c r="D524" s="1404">
        <v>1384000</v>
      </c>
      <c r="E524" s="1406">
        <v>1383000</v>
      </c>
      <c r="F524" s="1407">
        <v>5034</v>
      </c>
      <c r="G524" s="1404">
        <v>78.571100000000001</v>
      </c>
      <c r="H524" s="1406">
        <v>0.27494000000000002</v>
      </c>
      <c r="I524" s="1406">
        <v>2.3304000000000003E-3</v>
      </c>
      <c r="J524" s="1407">
        <v>87.594300000000004</v>
      </c>
    </row>
  </sheetData>
  <mergeCells count="23">
    <mergeCell ref="K92:L92"/>
    <mergeCell ref="A91:B91"/>
    <mergeCell ref="A58:K58"/>
    <mergeCell ref="A53:K53"/>
    <mergeCell ref="C134:E134"/>
    <mergeCell ref="F134:H134"/>
    <mergeCell ref="A54:K54"/>
    <mergeCell ref="G91:H91"/>
    <mergeCell ref="D92:E92"/>
    <mergeCell ref="A55:K55"/>
    <mergeCell ref="A61:K61"/>
    <mergeCell ref="A62:K62"/>
    <mergeCell ref="K91:L91"/>
    <mergeCell ref="A52:K52"/>
    <mergeCell ref="A51:K51"/>
    <mergeCell ref="D91:E91"/>
    <mergeCell ref="A59:K59"/>
    <mergeCell ref="A2:K2"/>
    <mergeCell ref="A3:K3"/>
    <mergeCell ref="C4:E4"/>
    <mergeCell ref="G4:I4"/>
    <mergeCell ref="A56:K56"/>
    <mergeCell ref="A57:K57"/>
  </mergeCells>
  <phoneticPr fontId="4" type="noConversion"/>
  <dataValidations disablePrompts="1" count="2">
    <dataValidation type="list" allowBlank="1" showInputMessage="1" showErrorMessage="1" sqref="J71:J88" xr:uid="{00000000-0002-0000-0E00-000000000000}">
      <formula1>Feed_Type_List</formula1>
    </dataValidation>
    <dataValidation type="list" allowBlank="1" showInputMessage="1" showErrorMessage="1" sqref="L71:L88" xr:uid="{00000000-0002-0000-0E00-000001000000}">
      <formula1>"Metric,English"</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mdReturn_Click">
                <anchor moveWithCells="1" sizeWithCells="1">
                  <from>
                    <xdr:col>11</xdr:col>
                    <xdr:colOff>251460</xdr:colOff>
                    <xdr:row>1</xdr:row>
                    <xdr:rowOff>22860</xdr:rowOff>
                  </from>
                  <to>
                    <xdr:col>13</xdr:col>
                    <xdr:colOff>38100</xdr:colOff>
                    <xdr:row>4</xdr:row>
                    <xdr:rowOff>99060</xdr:rowOff>
                  </to>
                </anchor>
              </controlPr>
            </control>
          </mc:Choice>
        </mc:AlternateContent>
        <mc:AlternateContent xmlns:mc="http://schemas.openxmlformats.org/markup-compatibility/2006">
          <mc:Choice Requires="x14">
            <control shapeId="10247" r:id="rId5" name="Button 7">
              <controlPr defaultSize="0" print="0" autoFill="0" autoPict="0" macro="[0]!ShowMakeTables">
                <anchor moveWithCells="1" sizeWithCells="1">
                  <from>
                    <xdr:col>3</xdr:col>
                    <xdr:colOff>99060</xdr:colOff>
                    <xdr:row>68</xdr:row>
                    <xdr:rowOff>60960</xdr:rowOff>
                  </from>
                  <to>
                    <xdr:col>4</xdr:col>
                    <xdr:colOff>76200</xdr:colOff>
                    <xdr:row>68</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indexed="18"/>
    <pageSetUpPr fitToPage="1"/>
  </sheetPr>
  <dimension ref="A1:L58"/>
  <sheetViews>
    <sheetView workbookViewId="0"/>
  </sheetViews>
  <sheetFormatPr defaultColWidth="9.109375" defaultRowHeight="13.2" x14ac:dyDescent="0.25"/>
  <cols>
    <col min="1" max="1" width="19" style="38" customWidth="1"/>
    <col min="2" max="2" width="16" style="38" customWidth="1"/>
    <col min="3" max="3" width="17.109375" style="38" customWidth="1"/>
    <col min="4" max="4" width="17.88671875" style="38" customWidth="1"/>
    <col min="5" max="5" width="14.109375" style="38" customWidth="1"/>
    <col min="6" max="6" width="20.88671875" style="38" customWidth="1"/>
    <col min="7" max="7" width="22.44140625" style="38" customWidth="1"/>
    <col min="8" max="16384" width="9.109375" style="38"/>
  </cols>
  <sheetData>
    <row r="1" spans="1:12" ht="30.75" customHeight="1" x14ac:dyDescent="0.3">
      <c r="A1" s="37" t="s">
        <v>32</v>
      </c>
    </row>
    <row r="2" spans="1:12" ht="15" customHeight="1" x14ac:dyDescent="0.25">
      <c r="A2"/>
      <c r="B2"/>
      <c r="C2"/>
      <c r="D2"/>
      <c r="E2"/>
      <c r="G2" s="39"/>
      <c r="K2" s="40"/>
      <c r="L2" s="41"/>
    </row>
    <row r="3" spans="1:12" ht="15" customHeight="1" x14ac:dyDescent="0.25">
      <c r="A3"/>
      <c r="B3"/>
      <c r="C3"/>
      <c r="D3"/>
      <c r="E3"/>
      <c r="F3" s="44"/>
      <c r="G3" s="44"/>
      <c r="H3" s="39"/>
      <c r="K3" s="40"/>
      <c r="L3" s="41"/>
    </row>
    <row r="4" spans="1:12" ht="15" customHeight="1" x14ac:dyDescent="0.25">
      <c r="A4"/>
      <c r="B4"/>
      <c r="C4"/>
      <c r="D4"/>
      <c r="E4"/>
      <c r="F4" s="44"/>
      <c r="G4" s="44"/>
      <c r="H4" s="39"/>
      <c r="K4" s="40"/>
      <c r="L4" s="41"/>
    </row>
    <row r="5" spans="1:12" ht="15" customHeight="1" x14ac:dyDescent="0.25">
      <c r="A5"/>
      <c r="B5"/>
      <c r="C5"/>
      <c r="D5"/>
      <c r="E5"/>
      <c r="G5" s="39"/>
      <c r="K5" s="45"/>
      <c r="L5" s="41"/>
    </row>
    <row r="6" spans="1:12" ht="15" customHeight="1" x14ac:dyDescent="0.25">
      <c r="A6"/>
      <c r="B6"/>
      <c r="C6"/>
      <c r="D6"/>
      <c r="E6"/>
      <c r="G6" s="39"/>
      <c r="K6" s="45"/>
      <c r="L6" s="41"/>
    </row>
    <row r="7" spans="1:12" ht="15" customHeight="1" x14ac:dyDescent="0.25">
      <c r="A7"/>
      <c r="B7"/>
      <c r="C7"/>
      <c r="D7"/>
      <c r="E7"/>
      <c r="G7" s="39"/>
      <c r="K7" s="45"/>
      <c r="L7" s="41"/>
    </row>
    <row r="8" spans="1:12" x14ac:dyDescent="0.25">
      <c r="A8"/>
      <c r="B8"/>
      <c r="C8"/>
      <c r="D8"/>
      <c r="E8"/>
    </row>
    <row r="9" spans="1:12" x14ac:dyDescent="0.25">
      <c r="A9"/>
      <c r="B9"/>
      <c r="C9"/>
      <c r="D9"/>
      <c r="E9"/>
    </row>
    <row r="10" spans="1:12" ht="13.8" thickBot="1" x14ac:dyDescent="0.3"/>
    <row r="11" spans="1:12" s="53" customFormat="1" ht="24.75" customHeight="1" thickTop="1" thickBot="1" x14ac:dyDescent="0.35">
      <c r="A11" s="49" t="s">
        <v>39</v>
      </c>
      <c r="B11" s="50"/>
      <c r="C11" s="51"/>
      <c r="D11" s="51"/>
      <c r="E11" s="51"/>
      <c r="F11" s="51"/>
      <c r="G11" s="52"/>
    </row>
    <row r="12" spans="1:12" s="53" customFormat="1" ht="24.75" customHeight="1" thickTop="1" thickBot="1" x14ac:dyDescent="0.35">
      <c r="A12" s="1475"/>
      <c r="B12" s="1763"/>
      <c r="C12" s="1764"/>
      <c r="D12" s="1764"/>
      <c r="E12" s="1764"/>
      <c r="F12" s="1764"/>
      <c r="G12" s="1764"/>
    </row>
    <row r="13" spans="1:12" s="53" customFormat="1" ht="21" customHeight="1" thickTop="1" x14ac:dyDescent="0.25">
      <c r="A13" s="54" t="s">
        <v>40</v>
      </c>
      <c r="B13" s="55" t="s">
        <v>41</v>
      </c>
      <c r="C13" s="56" t="s">
        <v>42</v>
      </c>
      <c r="D13" s="56" t="s">
        <v>43</v>
      </c>
      <c r="E13" s="56" t="s">
        <v>44</v>
      </c>
      <c r="F13" s="56" t="s">
        <v>45</v>
      </c>
      <c r="G13" s="57" t="s">
        <v>46</v>
      </c>
    </row>
    <row r="14" spans="1:12" s="53" customFormat="1" ht="15" customHeight="1" x14ac:dyDescent="0.25">
      <c r="A14" s="1077">
        <f>'Cash Flow Analysis'!B65</f>
        <v>1</v>
      </c>
      <c r="B14" s="1478">
        <f>IF(B13="","",IF('Cash Flow Analysis'!$B$31=0,"N/A",IF(A14=1,1,IF(A13=debt_period,"",B13+1))))</f>
        <v>1</v>
      </c>
      <c r="C14" s="1080">
        <f ca="1">IF(OR(A14="",B14="",B14="N/A"),"",IF(B14=1,-'Cash Flow Analysis'!G65,IF(B14="N/A",0,G13)))</f>
        <v>982892426.33857512</v>
      </c>
      <c r="D14" s="1080">
        <f ca="1">IF(debt_period=0,
E14+F14,
IF(OR(A14="",B14="",B14="N/A"),"",IF(B14=1,((debt_interest*(1+debt_interest)^debt_period)/((1+debt_interest)^debt_period-1))*(-'Cash Flow Analysis'!G65),IF(G13=0,"",D13))))</f>
        <v>36367019.774527282</v>
      </c>
      <c r="E14" s="1080">
        <f t="shared" ref="E14:E57" ca="1" si="0">IF(OR(A14="",B14="",B14="N/A"),"",C14*debt_interest)</f>
        <v>36367019.774527282</v>
      </c>
      <c r="F14" s="1080">
        <f>IF(debt_period=0,
IF(B14=(anal_period+construct),0,0),
IF(OR(A14="",B14="",B14="N/A"),"",D14-E14))</f>
        <v>0</v>
      </c>
      <c r="G14" s="1479">
        <f t="shared" ref="G14:G57" ca="1" si="1">IF(OR(A14="",B14="",B14="N/A"),"",C14-F14)</f>
        <v>982892426.33857512</v>
      </c>
    </row>
    <row r="15" spans="1:12" s="53" customFormat="1" ht="15" customHeight="1" x14ac:dyDescent="0.25">
      <c r="A15" s="1077">
        <f>'Cash Flow Analysis'!B66</f>
        <v>2</v>
      </c>
      <c r="B15" s="1478">
        <f>IF(B14="","",IF('Cash Flow Analysis'!$B$31=0,"N/A",IF(A15=1,1,IF(A14=debt_period,"",B14+1))))</f>
        <v>2</v>
      </c>
      <c r="C15" s="1080">
        <f ca="1">IF(OR(A15="",B15="",B15="N/A"),"",IF(B15=1,-'Cash Flow Analysis'!G66,IF(B15="N/A",0,G14)))</f>
        <v>982892426.33857512</v>
      </c>
      <c r="D15" s="1080">
        <f ca="1">IF(debt_period=0,
E15+F15,
IF(OR(A15="",B15="",B15="N/A"),"",IF(B15=1,((debt_interest*(1+debt_interest)^debt_period)/((1+debt_interest)^debt_period-1))*(-'Cash Flow Analysis'!G66),IF(G14=0,"",D14))))</f>
        <v>36367019.774527282</v>
      </c>
      <c r="E15" s="1080">
        <f t="shared" ca="1" si="0"/>
        <v>36367019.774527282</v>
      </c>
      <c r="F15" s="1080">
        <f>IF(debt_period=0,
IF(B15=(anal_period+construct),C14,0),
IF(OR(A15="",B15="",B15="N/A"),"",D15-E15))</f>
        <v>0</v>
      </c>
      <c r="G15" s="1479">
        <f t="shared" ca="1" si="1"/>
        <v>982892426.33857512</v>
      </c>
    </row>
    <row r="16" spans="1:12" s="53" customFormat="1" ht="15" customHeight="1" x14ac:dyDescent="0.25">
      <c r="A16" s="1077">
        <f>'Cash Flow Analysis'!B67</f>
        <v>3</v>
      </c>
      <c r="B16" s="1478">
        <f>IF(B15="","",IF('Cash Flow Analysis'!$B$31=0,"N/A",IF(A16=1,1,IF(A15=debt_period,"",B15+1))))</f>
        <v>3</v>
      </c>
      <c r="C16" s="1080">
        <f ca="1">IF(OR(A16="",B16="",B16="N/A"),"",IF(B16=1,-'Cash Flow Analysis'!G67,IF(B16="N/A",0,G15)))</f>
        <v>982892426.33857512</v>
      </c>
      <c r="D16" s="1080">
        <f ca="1">IF(debt_period=0,
E16+F16,
IF(OR(A16="",B16="",B16="N/A"),"",IF(B16=1,((debt_interest*(1+debt_interest)^debt_period)/((1+debt_interest)^debt_period-1))*(-'Cash Flow Analysis'!G67),IF(G15=0,"",D15))))</f>
        <v>36367019.774527282</v>
      </c>
      <c r="E16" s="1080">
        <f t="shared" ca="1" si="0"/>
        <v>36367019.774527282</v>
      </c>
      <c r="F16" s="1080">
        <f t="shared" ref="F16:F57" si="2">IF(debt_period=0,
IF(B16=(anal_period+construct),C16,0),
IF(OR(A16="",B16="",B16="N/A"),"",D16-E16))</f>
        <v>0</v>
      </c>
      <c r="G16" s="1479">
        <f t="shared" ca="1" si="1"/>
        <v>982892426.33857512</v>
      </c>
    </row>
    <row r="17" spans="1:7" s="53" customFormat="1" ht="15" customHeight="1" x14ac:dyDescent="0.25">
      <c r="A17" s="1077">
        <f>'Cash Flow Analysis'!B68</f>
        <v>4</v>
      </c>
      <c r="B17" s="1478">
        <f>IF(B16="","",IF('Cash Flow Analysis'!$B$31=0,"N/A",IF(A17=1,1,IF(A16=debt_period,"",B16+1))))</f>
        <v>4</v>
      </c>
      <c r="C17" s="1080">
        <f ca="1">IF(OR(A17="",B17="",B17="N/A"),"",IF(B17=1,-'Cash Flow Analysis'!G68,IF(B17="N/A",0,G16)))</f>
        <v>982892426.33857512</v>
      </c>
      <c r="D17" s="1080">
        <f ca="1">IF(debt_period=0,
E17+F17,
IF(OR(A17="",B17="",B17="N/A"),"",IF(B17=1,((debt_interest*(1+debt_interest)^debt_period)/((1+debt_interest)^debt_period-1))*(-'Cash Flow Analysis'!G68),IF(G16=0,"",D16))))</f>
        <v>36367019.774527282</v>
      </c>
      <c r="E17" s="1080">
        <f t="shared" ca="1" si="0"/>
        <v>36367019.774527282</v>
      </c>
      <c r="F17" s="1080">
        <f t="shared" si="2"/>
        <v>0</v>
      </c>
      <c r="G17" s="1479">
        <f t="shared" ca="1" si="1"/>
        <v>982892426.33857512</v>
      </c>
    </row>
    <row r="18" spans="1:7" s="53" customFormat="1" ht="15" customHeight="1" x14ac:dyDescent="0.25">
      <c r="A18" s="1077">
        <f>'Cash Flow Analysis'!B69</f>
        <v>5</v>
      </c>
      <c r="B18" s="1478">
        <f>IF(B17="","",IF('Cash Flow Analysis'!$B$31=0,"N/A",IF(A18=1,1,IF(A17=debt_period,"",B17+1))))</f>
        <v>5</v>
      </c>
      <c r="C18" s="1080">
        <f ca="1">IF(OR(A18="",B18="",B18="N/A"),"",IF(B18=1,-'Cash Flow Analysis'!G69,IF(B18="N/A",0,G17)))</f>
        <v>982892426.33857512</v>
      </c>
      <c r="D18" s="1080">
        <f ca="1">IF(debt_period=0,
E18+F18,
IF(OR(A18="",B18="",B18="N/A"),"",IF(B18=1,((debt_interest*(1+debt_interest)^debt_period)/((1+debt_interest)^debt_period-1))*(-'Cash Flow Analysis'!G69),IF(G17=0,"",D17))))</f>
        <v>36367019.774527282</v>
      </c>
      <c r="E18" s="1080">
        <f t="shared" ca="1" si="0"/>
        <v>36367019.774527282</v>
      </c>
      <c r="F18" s="1080">
        <f t="shared" si="2"/>
        <v>0</v>
      </c>
      <c r="G18" s="1479">
        <f t="shared" ca="1" si="1"/>
        <v>982892426.33857512</v>
      </c>
    </row>
    <row r="19" spans="1:7" s="53" customFormat="1" ht="15" customHeight="1" x14ac:dyDescent="0.25">
      <c r="A19" s="1077">
        <f>'Cash Flow Analysis'!B70</f>
        <v>6</v>
      </c>
      <c r="B19" s="1478">
        <f>IF(B18="","",IF('Cash Flow Analysis'!$B$31=0,"N/A",IF(A19=1,1,IF(A18=debt_period,"",B18+1))))</f>
        <v>6</v>
      </c>
      <c r="C19" s="1080">
        <f ca="1">IF(OR(A19="",B19="",B19="N/A"),"",IF(B19=1,-'Cash Flow Analysis'!G70,IF(B19="N/A",0,G18)))</f>
        <v>982892426.33857512</v>
      </c>
      <c r="D19" s="1080">
        <f ca="1">IF(debt_period=0,
E19+F19,
IF(OR(A19="",B19="",B19="N/A"),"",IF(B19=1,((debt_interest*(1+debt_interest)^debt_period)/((1+debt_interest)^debt_period-1))*(-'Cash Flow Analysis'!G70),IF(G18=0,"",D18))))</f>
        <v>36367019.774527282</v>
      </c>
      <c r="E19" s="1080">
        <f t="shared" ca="1" si="0"/>
        <v>36367019.774527282</v>
      </c>
      <c r="F19" s="1080">
        <f t="shared" si="2"/>
        <v>0</v>
      </c>
      <c r="G19" s="1479">
        <f t="shared" ca="1" si="1"/>
        <v>982892426.33857512</v>
      </c>
    </row>
    <row r="20" spans="1:7" s="53" customFormat="1" ht="15" customHeight="1" x14ac:dyDescent="0.25">
      <c r="A20" s="1077">
        <f>'Cash Flow Analysis'!B71</f>
        <v>7</v>
      </c>
      <c r="B20" s="1478">
        <f>IF(B19="","",IF('Cash Flow Analysis'!$B$31=0,"N/A",IF(A20=1,1,IF(A19=debt_period,"",B19+1))))</f>
        <v>7</v>
      </c>
      <c r="C20" s="1080">
        <f ca="1">IF(OR(A20="",B20="",B20="N/A"),"",IF(B20=1,-'Cash Flow Analysis'!G71,IF(B20="N/A",0,G19)))</f>
        <v>982892426.33857512</v>
      </c>
      <c r="D20" s="1080">
        <f ca="1">IF(debt_period=0,
E20+F20,
IF(OR(A20="",B20="",B20="N/A"),"",IF(B20=1,((debt_interest*(1+debt_interest)^debt_period)/((1+debt_interest)^debt_period-1))*(-'Cash Flow Analysis'!G71),IF(G19=0,"",D19))))</f>
        <v>36367019.774527282</v>
      </c>
      <c r="E20" s="1080">
        <f t="shared" ca="1" si="0"/>
        <v>36367019.774527282</v>
      </c>
      <c r="F20" s="1080">
        <f t="shared" si="2"/>
        <v>0</v>
      </c>
      <c r="G20" s="1479">
        <f t="shared" ca="1" si="1"/>
        <v>982892426.33857512</v>
      </c>
    </row>
    <row r="21" spans="1:7" s="53" customFormat="1" ht="15" customHeight="1" x14ac:dyDescent="0.25">
      <c r="A21" s="1077">
        <f>'Cash Flow Analysis'!B72</f>
        <v>8</v>
      </c>
      <c r="B21" s="1478">
        <f>IF(B20="","",IF('Cash Flow Analysis'!$B$31=0,"N/A",IF(A21=1,1,IF(A20=debt_period,"",B20+1))))</f>
        <v>8</v>
      </c>
      <c r="C21" s="1080">
        <f ca="1">IF(OR(A21="",B21="",B21="N/A"),"",IF(B21=1,-'Cash Flow Analysis'!G72,IF(B21="N/A",0,G20)))</f>
        <v>982892426.33857512</v>
      </c>
      <c r="D21" s="1080">
        <f ca="1">IF(debt_period=0,
E21+F21,
IF(OR(A21="",B21="",B21="N/A"),"",IF(B21=1,((debt_interest*(1+debt_interest)^debt_period)/((1+debt_interest)^debt_period-1))*(-'Cash Flow Analysis'!G72),IF(G20=0,"",D20))))</f>
        <v>36367019.774527282</v>
      </c>
      <c r="E21" s="1080">
        <f t="shared" ca="1" si="0"/>
        <v>36367019.774527282</v>
      </c>
      <c r="F21" s="1080">
        <f t="shared" si="2"/>
        <v>0</v>
      </c>
      <c r="G21" s="1479">
        <f t="shared" ca="1" si="1"/>
        <v>982892426.33857512</v>
      </c>
    </row>
    <row r="22" spans="1:7" s="53" customFormat="1" ht="15" customHeight="1" x14ac:dyDescent="0.25">
      <c r="A22" s="1077">
        <f>'Cash Flow Analysis'!B73</f>
        <v>9</v>
      </c>
      <c r="B22" s="1478">
        <f>IF(B21="","",IF('Cash Flow Analysis'!$B$31=0,"N/A",IF(A22=1,1,IF(A21=debt_period,"",B21+1))))</f>
        <v>9</v>
      </c>
      <c r="C22" s="1080">
        <f ca="1">IF(OR(A22="",B22="",B22="N/A"),"",IF(B22=1,-'Cash Flow Analysis'!G73,IF(B22="N/A",0,G21)))</f>
        <v>982892426.33857512</v>
      </c>
      <c r="D22" s="1080">
        <f ca="1">IF(debt_period=0,
E22+F22,
IF(OR(A22="",B22="",B22="N/A"),"",IF(B22=1,((debt_interest*(1+debt_interest)^debt_period)/((1+debt_interest)^debt_period-1))*(-'Cash Flow Analysis'!G73),IF(G21=0,"",D21))))</f>
        <v>36367019.774527282</v>
      </c>
      <c r="E22" s="1080">
        <f t="shared" ca="1" si="0"/>
        <v>36367019.774527282</v>
      </c>
      <c r="F22" s="1080">
        <f t="shared" si="2"/>
        <v>0</v>
      </c>
      <c r="G22" s="1479">
        <f t="shared" ca="1" si="1"/>
        <v>982892426.33857512</v>
      </c>
    </row>
    <row r="23" spans="1:7" s="53" customFormat="1" ht="15" customHeight="1" x14ac:dyDescent="0.25">
      <c r="A23" s="1077">
        <f>'Cash Flow Analysis'!B74</f>
        <v>10</v>
      </c>
      <c r="B23" s="1478">
        <f>IF(B22="","",IF('Cash Flow Analysis'!$B$31=0,"N/A",IF(A23=1,1,IF(A22=debt_period,"",B22+1))))</f>
        <v>10</v>
      </c>
      <c r="C23" s="1080">
        <f ca="1">IF(OR(A23="",B23="",B23="N/A"),"",IF(B23=1,-'Cash Flow Analysis'!G74,IF(B23="N/A",0,G22)))</f>
        <v>982892426.33857512</v>
      </c>
      <c r="D23" s="1080">
        <f ca="1">IF(debt_period=0,
E23+F23,
IF(OR(A23="",B23="",B23="N/A"),"",IF(B23=1,((debt_interest*(1+debt_interest)^debt_period)/((1+debt_interest)^debt_period-1))*(-'Cash Flow Analysis'!G74),IF(G22=0,"",D22))))</f>
        <v>36367019.774527282</v>
      </c>
      <c r="E23" s="1080">
        <f t="shared" ca="1" si="0"/>
        <v>36367019.774527282</v>
      </c>
      <c r="F23" s="1080">
        <f t="shared" si="2"/>
        <v>0</v>
      </c>
      <c r="G23" s="1479">
        <f t="shared" ca="1" si="1"/>
        <v>982892426.33857512</v>
      </c>
    </row>
    <row r="24" spans="1:7" s="53" customFormat="1" ht="15" customHeight="1" x14ac:dyDescent="0.25">
      <c r="A24" s="1077">
        <f>'Cash Flow Analysis'!B75</f>
        <v>11</v>
      </c>
      <c r="B24" s="1478">
        <f>IF(B23="","",IF('Cash Flow Analysis'!$B$31=0,"N/A",IF(A24=1,1,IF(A23=debt_period,"",B23+1))))</f>
        <v>11</v>
      </c>
      <c r="C24" s="1080">
        <f ca="1">IF(OR(A24="",B24="",B24="N/A"),"",IF(B24=1,-'Cash Flow Analysis'!G75,IF(B24="N/A",0,G23)))</f>
        <v>982892426.33857512</v>
      </c>
      <c r="D24" s="1080">
        <f ca="1">IF(debt_period=0,
E24+F24,
IF(OR(A24="",B24="",B24="N/A"),"",IF(B24=1,((debt_interest*(1+debt_interest)^debt_period)/((1+debt_interest)^debt_period-1))*(-'Cash Flow Analysis'!G75),IF(G23=0,"",D23))))</f>
        <v>36367019.774527282</v>
      </c>
      <c r="E24" s="1080">
        <f t="shared" ca="1" si="0"/>
        <v>36367019.774527282</v>
      </c>
      <c r="F24" s="1080">
        <f t="shared" si="2"/>
        <v>0</v>
      </c>
      <c r="G24" s="1479">
        <f t="shared" ca="1" si="1"/>
        <v>982892426.33857512</v>
      </c>
    </row>
    <row r="25" spans="1:7" s="53" customFormat="1" ht="15" customHeight="1" x14ac:dyDescent="0.25">
      <c r="A25" s="1077">
        <f>'Cash Flow Analysis'!B76</f>
        <v>12</v>
      </c>
      <c r="B25" s="1478">
        <f>IF(B24="","",IF('Cash Flow Analysis'!$B$31=0,"N/A",IF(A25=1,1,IF(A24=debt_period,"",B24+1))))</f>
        <v>12</v>
      </c>
      <c r="C25" s="1080">
        <f ca="1">IF(OR(A25="",B25="",B25="N/A"),"",IF(B25=1,-'Cash Flow Analysis'!G76,IF(B25="N/A",0,G24)))</f>
        <v>982892426.33857512</v>
      </c>
      <c r="D25" s="1080">
        <f ca="1">IF(debt_period=0,
E25+F25,
IF(OR(A25="",B25="",B25="N/A"),"",IF(B25=1,((debt_interest*(1+debt_interest)^debt_period)/((1+debt_interest)^debt_period-1))*(-'Cash Flow Analysis'!G76),IF(G24=0,"",D24))))</f>
        <v>36367019.774527282</v>
      </c>
      <c r="E25" s="1080">
        <f t="shared" ca="1" si="0"/>
        <v>36367019.774527282</v>
      </c>
      <c r="F25" s="1080">
        <f t="shared" si="2"/>
        <v>0</v>
      </c>
      <c r="G25" s="1479">
        <f t="shared" ca="1" si="1"/>
        <v>982892426.33857512</v>
      </c>
    </row>
    <row r="26" spans="1:7" s="53" customFormat="1" ht="15" customHeight="1" x14ac:dyDescent="0.25">
      <c r="A26" s="1077">
        <f>'Cash Flow Analysis'!B77</f>
        <v>13</v>
      </c>
      <c r="B26" s="1478">
        <f>IF(B25="","",IF('Cash Flow Analysis'!$B$31=0,"N/A",IF(A26=1,1,IF(A25=debt_period,"",B25+1))))</f>
        <v>13</v>
      </c>
      <c r="C26" s="1080">
        <f ca="1">IF(OR(A26="",B26="",B26="N/A"),"",IF(B26=1,-'Cash Flow Analysis'!G77,IF(B26="N/A",0,G25)))</f>
        <v>982892426.33857512</v>
      </c>
      <c r="D26" s="1080">
        <f ca="1">IF(debt_period=0,
E26+F26,
IF(OR(A26="",B26="",B26="N/A"),"",IF(B26=1,((debt_interest*(1+debt_interest)^debt_period)/((1+debt_interest)^debt_period-1))*(-'Cash Flow Analysis'!G77),IF(G25=0,"",D25))))</f>
        <v>36367019.774527282</v>
      </c>
      <c r="E26" s="1080">
        <f t="shared" ca="1" si="0"/>
        <v>36367019.774527282</v>
      </c>
      <c r="F26" s="1080">
        <f t="shared" si="2"/>
        <v>0</v>
      </c>
      <c r="G26" s="1479">
        <f t="shared" ca="1" si="1"/>
        <v>982892426.33857512</v>
      </c>
    </row>
    <row r="27" spans="1:7" s="53" customFormat="1" ht="15" customHeight="1" x14ac:dyDescent="0.25">
      <c r="A27" s="1077">
        <f>'Cash Flow Analysis'!B78</f>
        <v>14</v>
      </c>
      <c r="B27" s="1478">
        <f>IF(B26="","",IF('Cash Flow Analysis'!$B$31=0,"N/A",IF(A27=1,1,IF(A26=debt_period,"",B26+1))))</f>
        <v>14</v>
      </c>
      <c r="C27" s="1080">
        <f ca="1">IF(OR(A27="",B27="",B27="N/A"),"",IF(B27=1,-'Cash Flow Analysis'!G78,IF(B27="N/A",0,G26)))</f>
        <v>982892426.33857512</v>
      </c>
      <c r="D27" s="1080">
        <f ca="1">IF(debt_period=0,
E27+F27,
IF(OR(A27="",B27="",B27="N/A"),"",IF(B27=1,((debt_interest*(1+debt_interest)^debt_period)/((1+debt_interest)^debt_period-1))*(-'Cash Flow Analysis'!G78),IF(G26=0,"",D26))))</f>
        <v>36367019.774527282</v>
      </c>
      <c r="E27" s="1080">
        <f t="shared" ca="1" si="0"/>
        <v>36367019.774527282</v>
      </c>
      <c r="F27" s="1080">
        <f t="shared" si="2"/>
        <v>0</v>
      </c>
      <c r="G27" s="1479">
        <f t="shared" ca="1" si="1"/>
        <v>982892426.33857512</v>
      </c>
    </row>
    <row r="28" spans="1:7" s="53" customFormat="1" ht="15" customHeight="1" x14ac:dyDescent="0.25">
      <c r="A28" s="1077">
        <f>'Cash Flow Analysis'!B79</f>
        <v>15</v>
      </c>
      <c r="B28" s="1478">
        <f>IF(B27="","",IF('Cash Flow Analysis'!$B$31=0,"N/A",IF(A28=1,1,IF(A27=debt_period,"",B27+1))))</f>
        <v>15</v>
      </c>
      <c r="C28" s="1080">
        <f ca="1">IF(OR(A28="",B28="",B28="N/A"),"",IF(B28=1,-'Cash Flow Analysis'!G79,IF(B28="N/A",0,G27)))</f>
        <v>982892426.33857512</v>
      </c>
      <c r="D28" s="1080">
        <f ca="1">IF(debt_period=0,
E28+F28,
IF(OR(A28="",B28="",B28="N/A"),"",IF(B28=1,((debt_interest*(1+debt_interest)^debt_period)/((1+debt_interest)^debt_period-1))*(-'Cash Flow Analysis'!G79),IF(G27=0,"",D27))))</f>
        <v>36367019.774527282</v>
      </c>
      <c r="E28" s="1080">
        <f t="shared" ca="1" si="0"/>
        <v>36367019.774527282</v>
      </c>
      <c r="F28" s="1080">
        <f t="shared" si="2"/>
        <v>0</v>
      </c>
      <c r="G28" s="1479">
        <f t="shared" ca="1" si="1"/>
        <v>982892426.33857512</v>
      </c>
    </row>
    <row r="29" spans="1:7" s="53" customFormat="1" ht="15" customHeight="1" x14ac:dyDescent="0.25">
      <c r="A29" s="1077">
        <f>'Cash Flow Analysis'!B80</f>
        <v>16</v>
      </c>
      <c r="B29" s="1478">
        <f>IF(B28="","",IF('Cash Flow Analysis'!$B$31=0,"N/A",IF(A29=1,1,IF(A28=debt_period,"",B28+1))))</f>
        <v>16</v>
      </c>
      <c r="C29" s="1080">
        <f ca="1">IF(OR(A29="",B29="",B29="N/A"),"",IF(B29=1,-'Cash Flow Analysis'!G80,IF(B29="N/A",0,G28)))</f>
        <v>982892426.33857512</v>
      </c>
      <c r="D29" s="1080">
        <f ca="1">IF(debt_period=0,
E29+F29,
IF(OR(A29="",B29="",B29="N/A"),"",IF(B29=1,((debt_interest*(1+debt_interest)^debt_period)/((1+debt_interest)^debt_period-1))*(-'Cash Flow Analysis'!G80),IF(G28=0,"",D28))))</f>
        <v>36367019.774527282</v>
      </c>
      <c r="E29" s="1080">
        <f t="shared" ca="1" si="0"/>
        <v>36367019.774527282</v>
      </c>
      <c r="F29" s="1080">
        <f t="shared" si="2"/>
        <v>0</v>
      </c>
      <c r="G29" s="1479">
        <f t="shared" ca="1" si="1"/>
        <v>982892426.33857512</v>
      </c>
    </row>
    <row r="30" spans="1:7" s="53" customFormat="1" ht="15" customHeight="1" x14ac:dyDescent="0.25">
      <c r="A30" s="1077">
        <f>'Cash Flow Analysis'!B81</f>
        <v>17</v>
      </c>
      <c r="B30" s="1478">
        <f>IF(B29="","",IF('Cash Flow Analysis'!$B$31=0,"N/A",IF(A30=1,1,IF(A29=debt_period,"",B29+1))))</f>
        <v>17</v>
      </c>
      <c r="C30" s="1080">
        <f ca="1">IF(OR(A30="",B30="",B30="N/A"),"",IF(B30=1,-'Cash Flow Analysis'!G81,IF(B30="N/A",0,G29)))</f>
        <v>982892426.33857512</v>
      </c>
      <c r="D30" s="1080">
        <f ca="1">IF(debt_period=0,
E30+F30,
IF(OR(A30="",B30="",B30="N/A"),"",IF(B30=1,((debt_interest*(1+debt_interest)^debt_period)/((1+debt_interest)^debt_period-1))*(-'Cash Flow Analysis'!G81),IF(G29=0,"",D29))))</f>
        <v>36367019.774527282</v>
      </c>
      <c r="E30" s="1080">
        <f t="shared" ca="1" si="0"/>
        <v>36367019.774527282</v>
      </c>
      <c r="F30" s="1080">
        <f t="shared" si="2"/>
        <v>0</v>
      </c>
      <c r="G30" s="1479">
        <f t="shared" ca="1" si="1"/>
        <v>982892426.33857512</v>
      </c>
    </row>
    <row r="31" spans="1:7" s="53" customFormat="1" ht="15" customHeight="1" x14ac:dyDescent="0.25">
      <c r="A31" s="1077">
        <f>'Cash Flow Analysis'!B82</f>
        <v>18</v>
      </c>
      <c r="B31" s="1478">
        <f>IF(B30="","",IF('Cash Flow Analysis'!$B$31=0,"N/A",IF(A31=1,1,IF(A30=debt_period,"",B30+1))))</f>
        <v>18</v>
      </c>
      <c r="C31" s="1080">
        <f ca="1">IF(OR(A31="",B31="",B31="N/A"),"",IF(B31=1,-'Cash Flow Analysis'!G82,IF(B31="N/A",0,G30)))</f>
        <v>982892426.33857512</v>
      </c>
      <c r="D31" s="1080">
        <f ca="1">IF(debt_period=0,
E31+F31,
IF(OR(A31="",B31="",B31="N/A"),"",IF(B31=1,((debt_interest*(1+debt_interest)^debt_period)/((1+debt_interest)^debt_period-1))*(-'Cash Flow Analysis'!G82),IF(G30=0,"",D30))))</f>
        <v>36367019.774527282</v>
      </c>
      <c r="E31" s="1080">
        <f t="shared" ca="1" si="0"/>
        <v>36367019.774527282</v>
      </c>
      <c r="F31" s="1080">
        <f t="shared" si="2"/>
        <v>0</v>
      </c>
      <c r="G31" s="1479">
        <f t="shared" ca="1" si="1"/>
        <v>982892426.33857512</v>
      </c>
    </row>
    <row r="32" spans="1:7" s="53" customFormat="1" ht="15" customHeight="1" x14ac:dyDescent="0.25">
      <c r="A32" s="1077">
        <f>'Cash Flow Analysis'!B83</f>
        <v>19</v>
      </c>
      <c r="B32" s="1478">
        <f>IF(B31="","",IF('Cash Flow Analysis'!$B$31=0,"N/A",IF(A32=1,1,IF(A31=debt_period,"",B31+1))))</f>
        <v>19</v>
      </c>
      <c r="C32" s="1080">
        <f ca="1">IF(OR(A32="",B32="",B32="N/A"),"",IF(B32=1,-'Cash Flow Analysis'!G83,IF(B32="N/A",0,G31)))</f>
        <v>982892426.33857512</v>
      </c>
      <c r="D32" s="1080">
        <f ca="1">IF(debt_period=0,
E32+F32,
IF(OR(A32="",B32="",B32="N/A"),"",IF(B32=1,((debt_interest*(1+debt_interest)^debt_period)/((1+debt_interest)^debt_period-1))*(-'Cash Flow Analysis'!G83),IF(G31=0,"",D31))))</f>
        <v>36367019.774527282</v>
      </c>
      <c r="E32" s="1080">
        <f t="shared" ca="1" si="0"/>
        <v>36367019.774527282</v>
      </c>
      <c r="F32" s="1080">
        <f t="shared" si="2"/>
        <v>0</v>
      </c>
      <c r="G32" s="1479">
        <f t="shared" ca="1" si="1"/>
        <v>982892426.33857512</v>
      </c>
    </row>
    <row r="33" spans="1:7" s="53" customFormat="1" ht="15" customHeight="1" x14ac:dyDescent="0.25">
      <c r="A33" s="1077">
        <f>'Cash Flow Analysis'!B84</f>
        <v>20</v>
      </c>
      <c r="B33" s="1478">
        <f>IF(B32="","",IF('Cash Flow Analysis'!$B$31=0,"N/A",IF(A33=1,1,IF(A32=debt_period,"",B32+1))))</f>
        <v>20</v>
      </c>
      <c r="C33" s="1080">
        <f ca="1">IF(OR(A33="",B33="",B33="N/A"),"",IF(B33=1,-'Cash Flow Analysis'!G84,IF(B33="N/A",0,G32)))</f>
        <v>982892426.33857512</v>
      </c>
      <c r="D33" s="1080">
        <f ca="1">IF(debt_period=0,
E33+F33,
IF(OR(A33="",B33="",B33="N/A"),"",IF(B33=1,((debt_interest*(1+debt_interest)^debt_period)/((1+debt_interest)^debt_period-1))*(-'Cash Flow Analysis'!G84),IF(G32=0,"",D32))))</f>
        <v>36367019.774527282</v>
      </c>
      <c r="E33" s="1080">
        <f t="shared" ca="1" si="0"/>
        <v>36367019.774527282</v>
      </c>
      <c r="F33" s="1080">
        <f t="shared" si="2"/>
        <v>0</v>
      </c>
      <c r="G33" s="1479">
        <f t="shared" ca="1" si="1"/>
        <v>982892426.33857512</v>
      </c>
    </row>
    <row r="34" spans="1:7" s="53" customFormat="1" ht="15" customHeight="1" x14ac:dyDescent="0.25">
      <c r="A34" s="1077">
        <f>'Cash Flow Analysis'!B85</f>
        <v>21</v>
      </c>
      <c r="B34" s="1478">
        <f>IF(B33="","",IF('Cash Flow Analysis'!$B$31=0,"N/A",IF(A34=1,1,IF(A33=debt_period,"",B33+1))))</f>
        <v>21</v>
      </c>
      <c r="C34" s="1080">
        <f ca="1">IF(OR(A34="",B34="",B34="N/A"),"",IF(B34=1,-'Cash Flow Analysis'!G85,IF(B34="N/A",0,G33)))</f>
        <v>982892426.33857512</v>
      </c>
      <c r="D34" s="1080">
        <f ca="1">IF(debt_period=0,
E34+F34,
IF(OR(A34="",B34="",B34="N/A"),"",IF(B34=1,((debt_interest*(1+debt_interest)^debt_period)/((1+debt_interest)^debt_period-1))*(-'Cash Flow Analysis'!G85),IF(G33=0,"",D33))))</f>
        <v>36367019.774527282</v>
      </c>
      <c r="E34" s="1080">
        <f t="shared" ca="1" si="0"/>
        <v>36367019.774527282</v>
      </c>
      <c r="F34" s="1080">
        <f t="shared" si="2"/>
        <v>0</v>
      </c>
      <c r="G34" s="1479">
        <f t="shared" ca="1" si="1"/>
        <v>982892426.33857512</v>
      </c>
    </row>
    <row r="35" spans="1:7" s="53" customFormat="1" ht="15" customHeight="1" x14ac:dyDescent="0.25">
      <c r="A35" s="1077">
        <f>'Cash Flow Analysis'!B86</f>
        <v>22</v>
      </c>
      <c r="B35" s="1478">
        <f>IF(B34="","",IF('Cash Flow Analysis'!$B$31=0,"N/A",IF(A35=1,1,IF(A34=debt_period,"",B34+1))))</f>
        <v>22</v>
      </c>
      <c r="C35" s="1080">
        <f ca="1">IF(OR(A35="",B35="",B35="N/A"),"",IF(B35=1,-'Cash Flow Analysis'!G86,IF(B35="N/A",0,G34)))</f>
        <v>982892426.33857512</v>
      </c>
      <c r="D35" s="1080">
        <f ca="1">IF(debt_period=0,
E35+F35,
IF(OR(A35="",B35="",B35="N/A"),"",IF(B35=1,((debt_interest*(1+debt_interest)^debt_period)/((1+debt_interest)^debt_period-1))*(-'Cash Flow Analysis'!G86),IF(G34=0,"",D34))))</f>
        <v>36367019.774527282</v>
      </c>
      <c r="E35" s="1080">
        <f t="shared" ca="1" si="0"/>
        <v>36367019.774527282</v>
      </c>
      <c r="F35" s="1080">
        <f t="shared" si="2"/>
        <v>0</v>
      </c>
      <c r="G35" s="1479">
        <f t="shared" ca="1" si="1"/>
        <v>982892426.33857512</v>
      </c>
    </row>
    <row r="36" spans="1:7" s="53" customFormat="1" ht="15" customHeight="1" x14ac:dyDescent="0.25">
      <c r="A36" s="1077">
        <f>'Cash Flow Analysis'!B87</f>
        <v>23</v>
      </c>
      <c r="B36" s="1478">
        <f>IF(B35="","",IF('Cash Flow Analysis'!$B$31=0,"N/A",IF(A36=1,1,IF(A35=debt_period,"",B35+1))))</f>
        <v>23</v>
      </c>
      <c r="C36" s="1080">
        <f ca="1">IF(OR(A36="",B36="",B36="N/A"),"",IF(B36=1,-'Cash Flow Analysis'!G87,IF(B36="N/A",0,G35)))</f>
        <v>982892426.33857512</v>
      </c>
      <c r="D36" s="1080">
        <f ca="1">IF(debt_period=0,
E36+F36,
IF(OR(A36="",B36="",B36="N/A"),"",IF(B36=1,((debt_interest*(1+debt_interest)^debt_period)/((1+debt_interest)^debt_period-1))*(-'Cash Flow Analysis'!G87),IF(G35=0,"",D35))))</f>
        <v>36367019.774527282</v>
      </c>
      <c r="E36" s="1080">
        <f t="shared" ca="1" si="0"/>
        <v>36367019.774527282</v>
      </c>
      <c r="F36" s="1080">
        <f t="shared" si="2"/>
        <v>0</v>
      </c>
      <c r="G36" s="1479">
        <f t="shared" ca="1" si="1"/>
        <v>982892426.33857512</v>
      </c>
    </row>
    <row r="37" spans="1:7" s="53" customFormat="1" ht="15" customHeight="1" x14ac:dyDescent="0.25">
      <c r="A37" s="1077">
        <f>'Cash Flow Analysis'!B88</f>
        <v>24</v>
      </c>
      <c r="B37" s="1478">
        <f>IF(B36="","",IF('Cash Flow Analysis'!$B$31=0,"N/A",IF(A37=1,1,IF(A36=debt_period,"",B36+1))))</f>
        <v>24</v>
      </c>
      <c r="C37" s="1080">
        <f ca="1">IF(OR(A37="",B37="",B37="N/A"),"",IF(B37=1,-'Cash Flow Analysis'!G88,IF(B37="N/A",0,G36)))</f>
        <v>982892426.33857512</v>
      </c>
      <c r="D37" s="1080">
        <f ca="1">IF(debt_period=0,
E37+F37,
IF(OR(A37="",B37="",B37="N/A"),"",IF(B37=1,((debt_interest*(1+debt_interest)^debt_period)/((1+debt_interest)^debt_period-1))*(-'Cash Flow Analysis'!G88),IF(G36=0,"",D36))))</f>
        <v>36367019.774527282</v>
      </c>
      <c r="E37" s="1080">
        <f t="shared" ca="1" si="0"/>
        <v>36367019.774527282</v>
      </c>
      <c r="F37" s="1080">
        <f t="shared" si="2"/>
        <v>0</v>
      </c>
      <c r="G37" s="1479">
        <f t="shared" ca="1" si="1"/>
        <v>982892426.33857512</v>
      </c>
    </row>
    <row r="38" spans="1:7" s="53" customFormat="1" ht="15" customHeight="1" x14ac:dyDescent="0.25">
      <c r="A38" s="1077">
        <f>'Cash Flow Analysis'!B89</f>
        <v>25</v>
      </c>
      <c r="B38" s="1478">
        <f>IF(B37="","",IF('Cash Flow Analysis'!$B$31=0,"N/A",IF(A38=1,1,IF(A37=debt_period,"",B37+1))))</f>
        <v>25</v>
      </c>
      <c r="C38" s="1080">
        <f ca="1">IF(OR(A38="",B38="",B38="N/A"),"",IF(B38=1,-'Cash Flow Analysis'!G89,IF(B38="N/A",0,G37)))</f>
        <v>982892426.33857512</v>
      </c>
      <c r="D38" s="1080">
        <f ca="1">IF(debt_period=0,
E38+F38,
IF(OR(A38="",B38="",B38="N/A"),"",IF(B38=1,((debt_interest*(1+debt_interest)^debt_period)/((1+debt_interest)^debt_period-1))*(-'Cash Flow Analysis'!G89),IF(G37=0,"",D37))))</f>
        <v>36367019.774527282</v>
      </c>
      <c r="E38" s="1080">
        <f t="shared" ca="1" si="0"/>
        <v>36367019.774527282</v>
      </c>
      <c r="F38" s="1080">
        <f t="shared" si="2"/>
        <v>0</v>
      </c>
      <c r="G38" s="1479">
        <f t="shared" ca="1" si="1"/>
        <v>982892426.33857512</v>
      </c>
    </row>
    <row r="39" spans="1:7" s="53" customFormat="1" ht="15" customHeight="1" x14ac:dyDescent="0.25">
      <c r="A39" s="1077">
        <f>'Cash Flow Analysis'!B90</f>
        <v>26</v>
      </c>
      <c r="B39" s="1478">
        <f>IF(B38="","",IF('Cash Flow Analysis'!$B$31=0,"N/A",IF(A39=1,1,IF(A38=debt_period,"",B38+1))))</f>
        <v>26</v>
      </c>
      <c r="C39" s="1080">
        <f ca="1">IF(OR(A39="",B39="",B39="N/A"),"",IF(B39=1,-'Cash Flow Analysis'!G90,IF(B39="N/A",0,G38)))</f>
        <v>982892426.33857512</v>
      </c>
      <c r="D39" s="1080">
        <f ca="1">IF(debt_period=0,
E39+F39,
IF(OR(A39="",B39="",B39="N/A"),"",IF(B39=1,((debt_interest*(1+debt_interest)^debt_period)/((1+debt_interest)^debt_period-1))*(-'Cash Flow Analysis'!G90),IF(G38=0,"",D38))))</f>
        <v>36367019.774527282</v>
      </c>
      <c r="E39" s="1080">
        <f t="shared" ca="1" si="0"/>
        <v>36367019.774527282</v>
      </c>
      <c r="F39" s="1080">
        <f t="shared" si="2"/>
        <v>0</v>
      </c>
      <c r="G39" s="1479">
        <f t="shared" ca="1" si="1"/>
        <v>982892426.33857512</v>
      </c>
    </row>
    <row r="40" spans="1:7" s="53" customFormat="1" ht="15" customHeight="1" x14ac:dyDescent="0.25">
      <c r="A40" s="1077">
        <f>'Cash Flow Analysis'!B91</f>
        <v>27</v>
      </c>
      <c r="B40" s="1478">
        <f>IF(B39="","",IF('Cash Flow Analysis'!$B$31=0,"N/A",IF(A40=1,1,IF(A39=debt_period,"",B39+1))))</f>
        <v>27</v>
      </c>
      <c r="C40" s="1080">
        <f ca="1">IF(OR(A40="",B40="",B40="N/A"),"",IF(B40=1,-'Cash Flow Analysis'!G91,IF(B40="N/A",0,G39)))</f>
        <v>982892426.33857512</v>
      </c>
      <c r="D40" s="1080">
        <f ca="1">IF(debt_period=0,
E40+F40,
IF(OR(A40="",B40="",B40="N/A"),"",IF(B40=1,((debt_interest*(1+debt_interest)^debt_period)/((1+debt_interest)^debt_period-1))*(-'Cash Flow Analysis'!G91),IF(G39=0,"",D39))))</f>
        <v>36367019.774527282</v>
      </c>
      <c r="E40" s="1080">
        <f t="shared" ca="1" si="0"/>
        <v>36367019.774527282</v>
      </c>
      <c r="F40" s="1080">
        <f t="shared" si="2"/>
        <v>0</v>
      </c>
      <c r="G40" s="1479">
        <f t="shared" ca="1" si="1"/>
        <v>982892426.33857512</v>
      </c>
    </row>
    <row r="41" spans="1:7" s="53" customFormat="1" ht="15" customHeight="1" x14ac:dyDescent="0.25">
      <c r="A41" s="1077">
        <f>'Cash Flow Analysis'!B92</f>
        <v>28</v>
      </c>
      <c r="B41" s="1478">
        <f>IF(B40="","",IF('Cash Flow Analysis'!$B$31=0,"N/A",IF(A41=1,1,IF(A40=debt_period,"",B40+1))))</f>
        <v>28</v>
      </c>
      <c r="C41" s="1080">
        <f ca="1">IF(OR(A41="",B41="",B41="N/A"),"",IF(B41=1,-'Cash Flow Analysis'!G92,IF(B41="N/A",0,G40)))</f>
        <v>982892426.33857512</v>
      </c>
      <c r="D41" s="1080">
        <f ca="1">IF(debt_period=0,
E41+F41,
IF(OR(A41="",B41="",B41="N/A"),"",IF(B41=1,((debt_interest*(1+debt_interest)^debt_period)/((1+debt_interest)^debt_period-1))*(-'Cash Flow Analysis'!G92),IF(G40=0,"",D40))))</f>
        <v>36367019.774527282</v>
      </c>
      <c r="E41" s="1080">
        <f t="shared" ca="1" si="0"/>
        <v>36367019.774527282</v>
      </c>
      <c r="F41" s="1080">
        <f t="shared" si="2"/>
        <v>0</v>
      </c>
      <c r="G41" s="1479">
        <f t="shared" ca="1" si="1"/>
        <v>982892426.33857512</v>
      </c>
    </row>
    <row r="42" spans="1:7" s="53" customFormat="1" ht="15" customHeight="1" x14ac:dyDescent="0.25">
      <c r="A42" s="1077">
        <f>'Cash Flow Analysis'!B93</f>
        <v>29</v>
      </c>
      <c r="B42" s="1478">
        <f>IF(B41="","",IF('Cash Flow Analysis'!$B$31=0,"N/A",IF(A42=1,1,IF(A41=debt_period,"",B41+1))))</f>
        <v>29</v>
      </c>
      <c r="C42" s="1080">
        <f ca="1">IF(OR(A42="",B42="",B42="N/A"),"",IF(B42=1,-'Cash Flow Analysis'!G93,IF(B42="N/A",0,G41)))</f>
        <v>982892426.33857512</v>
      </c>
      <c r="D42" s="1080">
        <f ca="1">IF(debt_period=0,
E42+F42,
IF(OR(A42="",B42="",B42="N/A"),"",IF(B42=1,((debt_interest*(1+debt_interest)^debt_period)/((1+debt_interest)^debt_period-1))*(-'Cash Flow Analysis'!G93),IF(G41=0,"",D41))))</f>
        <v>36367019.774527282</v>
      </c>
      <c r="E42" s="1080">
        <f t="shared" ca="1" si="0"/>
        <v>36367019.774527282</v>
      </c>
      <c r="F42" s="1080">
        <f t="shared" si="2"/>
        <v>0</v>
      </c>
      <c r="G42" s="1479">
        <f t="shared" ca="1" si="1"/>
        <v>982892426.33857512</v>
      </c>
    </row>
    <row r="43" spans="1:7" s="53" customFormat="1" ht="15" customHeight="1" x14ac:dyDescent="0.25">
      <c r="A43" s="1077">
        <f>'Cash Flow Analysis'!B94</f>
        <v>30</v>
      </c>
      <c r="B43" s="1478">
        <f>IF(B42="","",IF('Cash Flow Analysis'!$B$31=0,"N/A",IF(A43=1,1,IF(A42=debt_period,"",B42+1))))</f>
        <v>30</v>
      </c>
      <c r="C43" s="1080">
        <f ca="1">IF(OR(A43="",B43="",B43="N/A"),"",IF(B43=1,-'Cash Flow Analysis'!G94,IF(B43="N/A",0,G42)))</f>
        <v>982892426.33857512</v>
      </c>
      <c r="D43" s="1080">
        <f ca="1">IF(debt_period=0,
E43+F43,
IF(OR(A43="",B43="",B43="N/A"),"",IF(B43=1,((debt_interest*(1+debt_interest)^debt_period)/((1+debt_interest)^debt_period-1))*(-'Cash Flow Analysis'!G94),IF(G42=0,"",D42))))</f>
        <v>36367019.774527282</v>
      </c>
      <c r="E43" s="1080">
        <f t="shared" ca="1" si="0"/>
        <v>36367019.774527282</v>
      </c>
      <c r="F43" s="1080">
        <f t="shared" si="2"/>
        <v>0</v>
      </c>
      <c r="G43" s="1479">
        <f t="shared" ca="1" si="1"/>
        <v>982892426.33857512</v>
      </c>
    </row>
    <row r="44" spans="1:7" s="53" customFormat="1" ht="15" customHeight="1" x14ac:dyDescent="0.25">
      <c r="A44" s="1077">
        <f>'Cash Flow Analysis'!B95</f>
        <v>31</v>
      </c>
      <c r="B44" s="1478">
        <f>IF(B43="","",IF('Cash Flow Analysis'!$B$31=0,"N/A",IF(A44=1,1,IF(A43=debt_period,"",B43+1))))</f>
        <v>31</v>
      </c>
      <c r="C44" s="1080">
        <f ca="1">IF(OR(A44="",B44="",B44="N/A"),"",IF(B44=1,-'Cash Flow Analysis'!G95,IF(B44="N/A",0,G43)))</f>
        <v>982892426.33857512</v>
      </c>
      <c r="D44" s="1080">
        <f ca="1">IF(debt_period=0,
E44+F44,
IF(OR(A44="",B44="",B44="N/A"),"",IF(B44=1,((debt_interest*(1+debt_interest)^debt_period)/((1+debt_interest)^debt_period-1))*(-'Cash Flow Analysis'!G95),IF(G43=0,"",D43))))</f>
        <v>36367019.774527282</v>
      </c>
      <c r="E44" s="1080">
        <f t="shared" ca="1" si="0"/>
        <v>36367019.774527282</v>
      </c>
      <c r="F44" s="1080">
        <f t="shared" si="2"/>
        <v>0</v>
      </c>
      <c r="G44" s="1479">
        <f t="shared" ca="1" si="1"/>
        <v>982892426.33857512</v>
      </c>
    </row>
    <row r="45" spans="1:7" s="53" customFormat="1" ht="15" customHeight="1" x14ac:dyDescent="0.25">
      <c r="A45" s="1077">
        <f>'Cash Flow Analysis'!B96</f>
        <v>32</v>
      </c>
      <c r="B45" s="1478">
        <f>IF(B44="","",IF('Cash Flow Analysis'!$B$31=0,"N/A",IF(A45=1,1,IF(A44=debt_period,"",B44+1))))</f>
        <v>32</v>
      </c>
      <c r="C45" s="1080">
        <f ca="1">IF(OR(A45="",B45="",B45="N/A"),"",IF(B45=1,-'Cash Flow Analysis'!G96,IF(B45="N/A",0,G44)))</f>
        <v>982892426.33857512</v>
      </c>
      <c r="D45" s="1080">
        <f ca="1">IF(debt_period=0,
E45+F45,
IF(OR(A45="",B45="",B45="N/A"),"",IF(B45=1,((debt_interest*(1+debt_interest)^debt_period)/((1+debt_interest)^debt_period-1))*(-'Cash Flow Analysis'!G96),IF(G44=0,"",D44))))</f>
        <v>36367019.774527282</v>
      </c>
      <c r="E45" s="1080">
        <f t="shared" ca="1" si="0"/>
        <v>36367019.774527282</v>
      </c>
      <c r="F45" s="1080">
        <f t="shared" si="2"/>
        <v>0</v>
      </c>
      <c r="G45" s="1479">
        <f t="shared" ca="1" si="1"/>
        <v>982892426.33857512</v>
      </c>
    </row>
    <row r="46" spans="1:7" s="53" customFormat="1" ht="15" customHeight="1" x14ac:dyDescent="0.25">
      <c r="A46" s="1077">
        <f>'Cash Flow Analysis'!B97</f>
        <v>33</v>
      </c>
      <c r="B46" s="1478">
        <f>IF(B45="","",IF('Cash Flow Analysis'!$B$31=0,"N/A",IF(A46=1,1,IF(A45=debt_period,"",B45+1))))</f>
        <v>33</v>
      </c>
      <c r="C46" s="1080">
        <f ca="1">IF(OR(A46="",B46="",B46="N/A"),"",IF(B46=1,-'Cash Flow Analysis'!G97,IF(B46="N/A",0,G45)))</f>
        <v>982892426.33857512</v>
      </c>
      <c r="D46" s="1080">
        <f ca="1">IF(debt_period=0,
E46+F46,
IF(OR(A46="",B46="",B46="N/A"),"",IF(B46=1,((debt_interest*(1+debt_interest)^debt_period)/((1+debt_interest)^debt_period-1))*(-'Cash Flow Analysis'!G97),IF(G45=0,"",D45))))</f>
        <v>1019259446.1131024</v>
      </c>
      <c r="E46" s="1080">
        <f t="shared" ca="1" si="0"/>
        <v>36367019.774527282</v>
      </c>
      <c r="F46" s="1080">
        <f t="shared" ca="1" si="2"/>
        <v>982892426.33857512</v>
      </c>
      <c r="G46" s="1479">
        <f t="shared" ca="1" si="1"/>
        <v>0</v>
      </c>
    </row>
    <row r="47" spans="1:7" s="53" customFormat="1" ht="15" customHeight="1" x14ac:dyDescent="0.25">
      <c r="A47" s="1077" t="str">
        <f>'Cash Flow Analysis'!B98</f>
        <v/>
      </c>
      <c r="B47" s="1478">
        <f>IF(B46="","",IF('Cash Flow Analysis'!$B$31=0,"N/A",IF(A47=1,1,IF(A46=debt_period,"",B46+1))))</f>
        <v>34</v>
      </c>
      <c r="C47" s="1080" t="str">
        <f>IF(OR(A47="",B47="",B47="N/A"),"",IF(B47=1,-'Cash Flow Analysis'!G98,IF(B47="N/A",0,G46)))</f>
        <v/>
      </c>
      <c r="D47" s="1080" t="e">
        <f>IF(debt_period=0,
E47+F47,
IF(OR(A47="",B47="",B47="N/A"),"",IF(B47=1,((debt_interest*(1+debt_interest)^debt_period)/((1+debt_interest)^debt_period-1))*(-'Cash Flow Analysis'!G98),IF(G46=0,"",D46))))</f>
        <v>#VALUE!</v>
      </c>
      <c r="E47" s="1080" t="str">
        <f t="shared" si="0"/>
        <v/>
      </c>
      <c r="F47" s="1080">
        <f t="shared" si="2"/>
        <v>0</v>
      </c>
      <c r="G47" s="1479" t="str">
        <f t="shared" si="1"/>
        <v/>
      </c>
    </row>
    <row r="48" spans="1:7" s="53" customFormat="1" ht="15" customHeight="1" x14ac:dyDescent="0.25">
      <c r="A48" s="1077" t="str">
        <f>'Cash Flow Analysis'!B99</f>
        <v/>
      </c>
      <c r="B48" s="1478">
        <f>IF(B47="","",IF('Cash Flow Analysis'!$B$31=0,"N/A",IF(A48=1,1,IF(A47=debt_period,"",B47+1))))</f>
        <v>35</v>
      </c>
      <c r="C48" s="1080" t="str">
        <f>IF(OR(A48="",B48="",B48="N/A"),"",IF(B48=1,-'Cash Flow Analysis'!G99,IF(B48="N/A",0,G47)))</f>
        <v/>
      </c>
      <c r="D48" s="1080" t="e">
        <f>IF(debt_period=0,
E48+F48,
IF(OR(A48="",B48="",B48="N/A"),"",IF(B48=1,((debt_interest*(1+debt_interest)^debt_period)/((1+debt_interest)^debt_period-1))*(-'Cash Flow Analysis'!G99),IF(G47=0,"",D47))))</f>
        <v>#VALUE!</v>
      </c>
      <c r="E48" s="1080" t="str">
        <f t="shared" si="0"/>
        <v/>
      </c>
      <c r="F48" s="1080">
        <f t="shared" si="2"/>
        <v>0</v>
      </c>
      <c r="G48" s="1479" t="str">
        <f t="shared" si="1"/>
        <v/>
      </c>
    </row>
    <row r="49" spans="1:7" s="53" customFormat="1" ht="15" customHeight="1" x14ac:dyDescent="0.25">
      <c r="A49" s="1077" t="str">
        <f>'Cash Flow Analysis'!B100</f>
        <v/>
      </c>
      <c r="B49" s="1478">
        <f>IF(B48="","",IF('Cash Flow Analysis'!$B$31=0,"N/A",IF(A49=1,1,IF(A48=debt_period,"",B48+1))))</f>
        <v>36</v>
      </c>
      <c r="C49" s="1080" t="str">
        <f>IF(OR(A49="",B49="",B49="N/A"),"",IF(B49=1,-'Cash Flow Analysis'!G100,IF(B49="N/A",0,G48)))</f>
        <v/>
      </c>
      <c r="D49" s="1080" t="e">
        <f>IF(debt_period=0,
E49+F49,
IF(OR(A49="",B49="",B49="N/A"),"",IF(B49=1,((debt_interest*(1+debt_interest)^debt_period)/((1+debt_interest)^debt_period-1))*(-'Cash Flow Analysis'!G100),IF(G48=0,"",D48))))</f>
        <v>#VALUE!</v>
      </c>
      <c r="E49" s="1080" t="str">
        <f t="shared" si="0"/>
        <v/>
      </c>
      <c r="F49" s="1080">
        <f t="shared" si="2"/>
        <v>0</v>
      </c>
      <c r="G49" s="1479" t="str">
        <f t="shared" si="1"/>
        <v/>
      </c>
    </row>
    <row r="50" spans="1:7" s="53" customFormat="1" ht="15" customHeight="1" x14ac:dyDescent="0.25">
      <c r="A50" s="1077" t="str">
        <f>'Cash Flow Analysis'!B101</f>
        <v/>
      </c>
      <c r="B50" s="1478">
        <f>IF(B49="","",IF('Cash Flow Analysis'!$B$31=0,"N/A",IF(A50=1,1,IF(A49=debt_period,"",B49+1))))</f>
        <v>37</v>
      </c>
      <c r="C50" s="1080" t="str">
        <f>IF(OR(A50="",B50="",B50="N/A"),"",IF(B50=1,-'Cash Flow Analysis'!G101,IF(B50="N/A",0,G49)))</f>
        <v/>
      </c>
      <c r="D50" s="1080" t="e">
        <f>IF(debt_period=0,
E50+F50,
IF(OR(A50="",B50="",B50="N/A"),"",IF(B50=1,((debt_interest*(1+debt_interest)^debt_period)/((1+debt_interest)^debt_period-1))*(-'Cash Flow Analysis'!G101),IF(G49=0,"",D49))))</f>
        <v>#VALUE!</v>
      </c>
      <c r="E50" s="1080" t="str">
        <f t="shared" si="0"/>
        <v/>
      </c>
      <c r="F50" s="1080">
        <f t="shared" si="2"/>
        <v>0</v>
      </c>
      <c r="G50" s="1479" t="str">
        <f t="shared" si="1"/>
        <v/>
      </c>
    </row>
    <row r="51" spans="1:7" s="53" customFormat="1" ht="15" customHeight="1" x14ac:dyDescent="0.25">
      <c r="A51" s="1077" t="str">
        <f>'Cash Flow Analysis'!B102</f>
        <v/>
      </c>
      <c r="B51" s="1478">
        <f>IF(B50="","",IF('Cash Flow Analysis'!$B$31=0,"N/A",IF(A51=1,1,IF(A50=debt_period,"",B50+1))))</f>
        <v>38</v>
      </c>
      <c r="C51" s="1080" t="str">
        <f>IF(OR(A51="",B51="",B51="N/A"),"",IF(B51=1,-'Cash Flow Analysis'!G102,IF(B51="N/A",0,G50)))</f>
        <v/>
      </c>
      <c r="D51" s="1080" t="e">
        <f>IF(debt_period=0,
E51+F51,
IF(OR(A51="",B51="",B51="N/A"),"",IF(B51=1,((debt_interest*(1+debt_interest)^debt_period)/((1+debt_interest)^debt_period-1))*(-'Cash Flow Analysis'!G102),IF(G50=0,"",D50))))</f>
        <v>#VALUE!</v>
      </c>
      <c r="E51" s="1080" t="str">
        <f t="shared" si="0"/>
        <v/>
      </c>
      <c r="F51" s="1080">
        <f t="shared" si="2"/>
        <v>0</v>
      </c>
      <c r="G51" s="1479" t="str">
        <f t="shared" si="1"/>
        <v/>
      </c>
    </row>
    <row r="52" spans="1:7" s="53" customFormat="1" ht="15" customHeight="1" x14ac:dyDescent="0.25">
      <c r="A52" s="1077" t="str">
        <f>'Cash Flow Analysis'!B103</f>
        <v/>
      </c>
      <c r="B52" s="1478">
        <f>IF(B51="","",IF('Cash Flow Analysis'!$B$31=0,"N/A",IF(A52=1,1,IF(A51=debt_period,"",B51+1))))</f>
        <v>39</v>
      </c>
      <c r="C52" s="1080" t="str">
        <f>IF(OR(A52="",B52="",B52="N/A"),"",IF(B52=1,-'Cash Flow Analysis'!G103,IF(B52="N/A",0,G51)))</f>
        <v/>
      </c>
      <c r="D52" s="1080" t="e">
        <f>IF(debt_period=0,
E52+F52,
IF(OR(A52="",B52="",B52="N/A"),"",IF(B52=1,((debt_interest*(1+debt_interest)^debt_period)/((1+debt_interest)^debt_period-1))*(-'Cash Flow Analysis'!G103),IF(G51=0,"",D51))))</f>
        <v>#VALUE!</v>
      </c>
      <c r="E52" s="1080" t="str">
        <f t="shared" si="0"/>
        <v/>
      </c>
      <c r="F52" s="1080">
        <f t="shared" si="2"/>
        <v>0</v>
      </c>
      <c r="G52" s="1479" t="str">
        <f t="shared" si="1"/>
        <v/>
      </c>
    </row>
    <row r="53" spans="1:7" s="53" customFormat="1" ht="15" customHeight="1" x14ac:dyDescent="0.25">
      <c r="A53" s="1077" t="str">
        <f>'Cash Flow Analysis'!B104</f>
        <v/>
      </c>
      <c r="B53" s="1478">
        <f>IF(B52="","",IF('Cash Flow Analysis'!$B$31=0,"N/A",IF(A53=1,1,IF(A52=debt_period,"",B52+1))))</f>
        <v>40</v>
      </c>
      <c r="C53" s="1080" t="str">
        <f>IF(OR(A53="",B53="",B53="N/A"),"",IF(B53=1,-'Cash Flow Analysis'!G104,IF(B53="N/A",0,G52)))</f>
        <v/>
      </c>
      <c r="D53" s="1080" t="e">
        <f>IF(debt_period=0,
E53+F53,
IF(OR(A53="",B53="",B53="N/A"),"",IF(B53=1,((debt_interest*(1+debt_interest)^debt_period)/((1+debt_interest)^debt_period-1))*(-'Cash Flow Analysis'!G104),IF(G52=0,"",D52))))</f>
        <v>#VALUE!</v>
      </c>
      <c r="E53" s="1080" t="str">
        <f t="shared" si="0"/>
        <v/>
      </c>
      <c r="F53" s="1080">
        <f t="shared" si="2"/>
        <v>0</v>
      </c>
      <c r="G53" s="1479" t="str">
        <f t="shared" si="1"/>
        <v/>
      </c>
    </row>
    <row r="54" spans="1:7" s="53" customFormat="1" ht="15" customHeight="1" x14ac:dyDescent="0.25">
      <c r="A54" s="1077" t="str">
        <f>'Cash Flow Analysis'!B105</f>
        <v/>
      </c>
      <c r="B54" s="1478">
        <f>IF(B53="","",IF('Cash Flow Analysis'!$B$31=0,"N/A",IF(A54=1,1,IF(A53=debt_period,"",B53+1))))</f>
        <v>41</v>
      </c>
      <c r="C54" s="1080" t="str">
        <f>IF(OR(A54="",B54="",B54="N/A"),"",IF(B54=1,-'Cash Flow Analysis'!G105,IF(B54="N/A",0,G53)))</f>
        <v/>
      </c>
      <c r="D54" s="1080" t="e">
        <f>IF(debt_period=0,
E54+F54,
IF(OR(A54="",B54="",B54="N/A"),"",IF(B54=1,((debt_interest*(1+debt_interest)^debt_period)/((1+debt_interest)^debt_period-1))*(-'Cash Flow Analysis'!G105),IF(G53=0,"",D53))))</f>
        <v>#VALUE!</v>
      </c>
      <c r="E54" s="1080" t="str">
        <f t="shared" si="0"/>
        <v/>
      </c>
      <c r="F54" s="1080">
        <f t="shared" si="2"/>
        <v>0</v>
      </c>
      <c r="G54" s="1479" t="str">
        <f t="shared" si="1"/>
        <v/>
      </c>
    </row>
    <row r="55" spans="1:7" s="53" customFormat="1" ht="15" customHeight="1" x14ac:dyDescent="0.25">
      <c r="A55" s="1077" t="str">
        <f>'Cash Flow Analysis'!B106</f>
        <v/>
      </c>
      <c r="B55" s="1478">
        <f>IF(B54="","",IF('Cash Flow Analysis'!$B$31=0,"N/A",IF(A55=1,1,IF(A54=debt_period,"",B54+1))))</f>
        <v>42</v>
      </c>
      <c r="C55" s="1080" t="str">
        <f>IF(OR(A55="",B55="",B55="N/A"),"",IF(B55=1,-'Cash Flow Analysis'!G106,IF(B55="N/A",0,G54)))</f>
        <v/>
      </c>
      <c r="D55" s="1080" t="e">
        <f>IF(debt_period=0,
E55+F55,
IF(OR(A55="",B55="",B55="N/A"),"",IF(B55=1,((debt_interest*(1+debt_interest)^debt_period)/((1+debt_interest)^debt_period-1))*(-'Cash Flow Analysis'!G106),IF(G54=0,"",D54))))</f>
        <v>#VALUE!</v>
      </c>
      <c r="E55" s="1080" t="str">
        <f t="shared" si="0"/>
        <v/>
      </c>
      <c r="F55" s="1080">
        <f t="shared" si="2"/>
        <v>0</v>
      </c>
      <c r="G55" s="1479" t="str">
        <f t="shared" si="1"/>
        <v/>
      </c>
    </row>
    <row r="56" spans="1:7" s="53" customFormat="1" ht="15" customHeight="1" x14ac:dyDescent="0.25">
      <c r="A56" s="1077" t="str">
        <f>'Cash Flow Analysis'!B107</f>
        <v/>
      </c>
      <c r="B56" s="1478">
        <f>IF(B55="","",IF('Cash Flow Analysis'!$B$31=0,"N/A",IF(A56=1,1,IF(A55=debt_period,"",B55+1))))</f>
        <v>43</v>
      </c>
      <c r="C56" s="1080" t="str">
        <f>IF(OR(A56="",B56="",B56="N/A"),"",IF(B56=1,-'Cash Flow Analysis'!G107,IF(B56="N/A",0,G55)))</f>
        <v/>
      </c>
      <c r="D56" s="1080" t="e">
        <f>IF(debt_period=0,
E56+F56,
IF(OR(A56="",B56="",B56="N/A"),"",IF(B56=1,((debt_interest*(1+debt_interest)^debt_period)/((1+debt_interest)^debt_period-1))*(-'Cash Flow Analysis'!G107),IF(G55=0,"",D55))))</f>
        <v>#VALUE!</v>
      </c>
      <c r="E56" s="1080" t="str">
        <f t="shared" si="0"/>
        <v/>
      </c>
      <c r="F56" s="1080">
        <f t="shared" si="2"/>
        <v>0</v>
      </c>
      <c r="G56" s="1479" t="str">
        <f t="shared" si="1"/>
        <v/>
      </c>
    </row>
    <row r="57" spans="1:7" s="53" customFormat="1" ht="15" customHeight="1" thickBot="1" x14ac:dyDescent="0.3">
      <c r="A57" s="1480" t="str">
        <f>'Cash Flow Analysis'!B108</f>
        <v/>
      </c>
      <c r="B57" s="1481">
        <f>IF(B56="","",IF('Cash Flow Analysis'!$B$31=0,"N/A",IF(A57=1,1,IF(A56=debt_period,"",B56+1))))</f>
        <v>44</v>
      </c>
      <c r="C57" s="1482" t="str">
        <f>IF(OR(A57="",B57="",B57="N/A"),"",IF(B57=1,-'Cash Flow Analysis'!G108,IF(B57="N/A",0,G56)))</f>
        <v/>
      </c>
      <c r="D57" s="1482" t="str">
        <f>IF(F57=0,E57,
IF(OR(A57="",B57="",B57="N/A"),"",IF(B57=1,((debt_interest*(1+debt_interest)^debt_period)/((1+debt_interest)^debt_period-1))*(-'Cash Flow Analysis'!G108),IF(G56=0,"",D56))))</f>
        <v/>
      </c>
      <c r="E57" s="1482" t="str">
        <f t="shared" si="0"/>
        <v/>
      </c>
      <c r="F57" s="1482">
        <f t="shared" si="2"/>
        <v>0</v>
      </c>
      <c r="G57" s="1483" t="str">
        <f t="shared" si="1"/>
        <v/>
      </c>
    </row>
    <row r="58" spans="1:7" ht="13.8" thickTop="1" x14ac:dyDescent="0.25"/>
  </sheetData>
  <mergeCells count="1">
    <mergeCell ref="B12:G12"/>
  </mergeCells>
  <phoneticPr fontId="0" type="noConversion"/>
  <pageMargins left="0.75" right="0.75" top="1" bottom="1" header="0.5" footer="0.5"/>
  <pageSetup scale="71"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indexed="18"/>
    <pageSetUpPr fitToPage="1"/>
  </sheetPr>
  <dimension ref="A1:X167"/>
  <sheetViews>
    <sheetView workbookViewId="0"/>
  </sheetViews>
  <sheetFormatPr defaultColWidth="9.109375" defaultRowHeight="13.2" x14ac:dyDescent="0.25"/>
  <cols>
    <col min="1" max="1" width="31.109375" style="38" customWidth="1"/>
    <col min="2" max="2" width="23.5546875" style="38" customWidth="1"/>
    <col min="3" max="3" width="19" style="38" customWidth="1"/>
    <col min="4" max="4" width="11.33203125" style="38" customWidth="1"/>
    <col min="5" max="5" width="12.88671875" style="38" customWidth="1"/>
    <col min="6" max="6" width="10.88671875" style="38" customWidth="1"/>
    <col min="7" max="7" width="13.109375" style="38" customWidth="1"/>
    <col min="8" max="8" width="13.88671875" style="38" customWidth="1"/>
    <col min="9" max="9" width="11" style="38" customWidth="1"/>
    <col min="10" max="25" width="17.109375" style="38" customWidth="1"/>
    <col min="26" max="16384" width="9.109375" style="38"/>
  </cols>
  <sheetData>
    <row r="1" spans="1:8" ht="30.75" customHeight="1" x14ac:dyDescent="0.3">
      <c r="A1" s="37" t="s">
        <v>47</v>
      </c>
    </row>
    <row r="2" spans="1:8" ht="15" customHeight="1" x14ac:dyDescent="0.25">
      <c r="G2" s="39"/>
    </row>
    <row r="3" spans="1:8" ht="15" customHeight="1" x14ac:dyDescent="0.3">
      <c r="A3" s="42" t="s">
        <v>33</v>
      </c>
      <c r="B3" s="43"/>
      <c r="C3" s="43"/>
      <c r="D3" s="43"/>
      <c r="E3" s="44"/>
      <c r="F3" s="44"/>
      <c r="G3" s="44"/>
      <c r="H3" s="39"/>
    </row>
    <row r="4" spans="1:8" ht="15" customHeight="1" x14ac:dyDescent="0.3">
      <c r="A4" s="42" t="s">
        <v>34</v>
      </c>
      <c r="B4" s="43"/>
      <c r="C4" s="43"/>
      <c r="D4" s="43"/>
      <c r="E4" s="44"/>
      <c r="F4" s="44"/>
      <c r="G4" s="44"/>
      <c r="H4" s="39"/>
    </row>
    <row r="5" spans="1:8" ht="15" customHeight="1" x14ac:dyDescent="0.25">
      <c r="G5" s="39"/>
    </row>
    <row r="6" spans="1:8" ht="15" customHeight="1" x14ac:dyDescent="0.25">
      <c r="A6" s="36"/>
      <c r="B6" s="41" t="s">
        <v>35</v>
      </c>
    </row>
    <row r="7" spans="1:8" ht="15" customHeight="1" x14ac:dyDescent="0.25">
      <c r="A7" s="46"/>
      <c r="B7" s="41" t="s">
        <v>36</v>
      </c>
    </row>
    <row r="8" spans="1:8" ht="15" customHeight="1" x14ac:dyDescent="0.25">
      <c r="A8" s="47"/>
      <c r="B8" s="41" t="s">
        <v>37</v>
      </c>
    </row>
    <row r="9" spans="1:8" ht="15" customHeight="1" x14ac:dyDescent="0.25">
      <c r="A9" s="48"/>
      <c r="B9" s="41" t="s">
        <v>38</v>
      </c>
    </row>
    <row r="10" spans="1:8" ht="15" customHeight="1" x14ac:dyDescent="0.25"/>
    <row r="11" spans="1:8" ht="15" customHeight="1" thickBot="1" x14ac:dyDescent="0.3"/>
    <row r="12" spans="1:8" ht="29.25" customHeight="1" thickTop="1" thickBot="1" x14ac:dyDescent="0.35">
      <c r="B12" s="63" t="s">
        <v>48</v>
      </c>
      <c r="C12" s="64"/>
      <c r="D12" s="64"/>
      <c r="E12" s="64"/>
      <c r="F12" s="64"/>
      <c r="G12" s="64"/>
      <c r="H12" s="65"/>
    </row>
    <row r="13" spans="1:8" ht="15" customHeight="1" thickTop="1" thickBot="1" x14ac:dyDescent="0.3">
      <c r="B13" s="66"/>
      <c r="C13" s="1765" t="s">
        <v>49</v>
      </c>
      <c r="D13" s="1765"/>
      <c r="E13" s="1765"/>
      <c r="F13" s="1765"/>
      <c r="G13" s="1765"/>
      <c r="H13" s="1766"/>
    </row>
    <row r="14" spans="1:8" ht="15" customHeight="1" thickTop="1" thickBot="1" x14ac:dyDescent="0.3">
      <c r="B14" s="69" t="s">
        <v>49</v>
      </c>
      <c r="C14" s="70">
        <v>3</v>
      </c>
      <c r="D14" s="67">
        <v>5</v>
      </c>
      <c r="E14" s="67">
        <v>7</v>
      </c>
      <c r="F14" s="67">
        <v>10</v>
      </c>
      <c r="G14" s="67">
        <v>15</v>
      </c>
      <c r="H14" s="68">
        <v>20</v>
      </c>
    </row>
    <row r="15" spans="1:8" ht="15" customHeight="1" thickTop="1" x14ac:dyDescent="0.25">
      <c r="B15" s="71">
        <v>1</v>
      </c>
      <c r="C15" s="72">
        <v>0.33329999999999999</v>
      </c>
      <c r="D15" s="73">
        <v>0.2</v>
      </c>
      <c r="E15" s="73">
        <v>0.1429</v>
      </c>
      <c r="F15" s="73">
        <v>0.1</v>
      </c>
      <c r="G15" s="73">
        <v>0.05</v>
      </c>
      <c r="H15" s="74">
        <v>3.7499999999999999E-2</v>
      </c>
    </row>
    <row r="16" spans="1:8" ht="15" customHeight="1" x14ac:dyDescent="0.25">
      <c r="B16" s="75">
        <v>2</v>
      </c>
      <c r="C16" s="76">
        <v>0.44450000000000001</v>
      </c>
      <c r="D16" s="77">
        <v>0.32</v>
      </c>
      <c r="E16" s="77">
        <v>0.24490000000000001</v>
      </c>
      <c r="F16" s="77">
        <v>0.18</v>
      </c>
      <c r="G16" s="77">
        <v>9.5000000000000001E-2</v>
      </c>
      <c r="H16" s="78">
        <v>7.2190000000000004E-2</v>
      </c>
    </row>
    <row r="17" spans="2:8" ht="15" customHeight="1" x14ac:dyDescent="0.25">
      <c r="B17" s="75">
        <v>3</v>
      </c>
      <c r="C17" s="76">
        <v>0.14810000000000001</v>
      </c>
      <c r="D17" s="77">
        <v>0.192</v>
      </c>
      <c r="E17" s="77">
        <v>0.1749</v>
      </c>
      <c r="F17" s="77">
        <v>0.14399999999999999</v>
      </c>
      <c r="G17" s="77">
        <v>8.5500000000000007E-2</v>
      </c>
      <c r="H17" s="78">
        <v>6.6769999999999996E-2</v>
      </c>
    </row>
    <row r="18" spans="2:8" ht="15" customHeight="1" x14ac:dyDescent="0.25">
      <c r="B18" s="75">
        <v>4</v>
      </c>
      <c r="C18" s="76">
        <v>7.4099999999999999E-2</v>
      </c>
      <c r="D18" s="77">
        <v>0.1152</v>
      </c>
      <c r="E18" s="77">
        <v>0.1249</v>
      </c>
      <c r="F18" s="77">
        <v>0.1152</v>
      </c>
      <c r="G18" s="77">
        <v>7.6999999999999999E-2</v>
      </c>
      <c r="H18" s="78">
        <v>6.1769999999999999E-2</v>
      </c>
    </row>
    <row r="19" spans="2:8" ht="15" customHeight="1" x14ac:dyDescent="0.25">
      <c r="B19" s="75">
        <v>5</v>
      </c>
      <c r="C19" s="76"/>
      <c r="D19" s="77">
        <v>0.1152</v>
      </c>
      <c r="E19" s="77">
        <v>8.9300000000000004E-2</v>
      </c>
      <c r="F19" s="77">
        <v>9.2200000000000004E-2</v>
      </c>
      <c r="G19" s="77">
        <v>6.93E-2</v>
      </c>
      <c r="H19" s="78">
        <v>5.713E-2</v>
      </c>
    </row>
    <row r="20" spans="2:8" ht="15" customHeight="1" x14ac:dyDescent="0.25">
      <c r="B20" s="75">
        <v>6</v>
      </c>
      <c r="C20" s="76"/>
      <c r="D20" s="77">
        <v>5.7599999999999998E-2</v>
      </c>
      <c r="E20" s="77">
        <v>8.9200000000000002E-2</v>
      </c>
      <c r="F20" s="77">
        <v>7.3700000000000002E-2</v>
      </c>
      <c r="G20" s="77">
        <v>6.2300000000000001E-2</v>
      </c>
      <c r="H20" s="78">
        <v>5.2850000000000001E-2</v>
      </c>
    </row>
    <row r="21" spans="2:8" ht="15" customHeight="1" x14ac:dyDescent="0.25">
      <c r="B21" s="75">
        <v>7</v>
      </c>
      <c r="C21" s="76"/>
      <c r="D21" s="77"/>
      <c r="E21" s="77">
        <v>8.9300000000000004E-2</v>
      </c>
      <c r="F21" s="77">
        <v>6.5500000000000003E-2</v>
      </c>
      <c r="G21" s="77">
        <v>5.8999999999999997E-2</v>
      </c>
      <c r="H21" s="78">
        <v>4.888E-2</v>
      </c>
    </row>
    <row r="22" spans="2:8" ht="15" customHeight="1" x14ac:dyDescent="0.25">
      <c r="B22" s="75">
        <v>8</v>
      </c>
      <c r="C22" s="76"/>
      <c r="D22" s="77"/>
      <c r="E22" s="77">
        <v>4.4600000000000001E-2</v>
      </c>
      <c r="F22" s="77">
        <v>6.5500000000000003E-2</v>
      </c>
      <c r="G22" s="77">
        <v>5.8999999999999997E-2</v>
      </c>
      <c r="H22" s="78">
        <v>4.5220000000000003E-2</v>
      </c>
    </row>
    <row r="23" spans="2:8" ht="15" customHeight="1" x14ac:dyDescent="0.25">
      <c r="B23" s="75">
        <v>9</v>
      </c>
      <c r="C23" s="76"/>
      <c r="D23" s="77"/>
      <c r="E23" s="77"/>
      <c r="F23" s="77">
        <v>6.5600000000000006E-2</v>
      </c>
      <c r="G23" s="77">
        <v>5.91E-2</v>
      </c>
      <c r="H23" s="78">
        <v>4.462E-2</v>
      </c>
    </row>
    <row r="24" spans="2:8" ht="15" customHeight="1" x14ac:dyDescent="0.25">
      <c r="B24" s="75">
        <v>10</v>
      </c>
      <c r="C24" s="76"/>
      <c r="D24" s="77"/>
      <c r="E24" s="77"/>
      <c r="F24" s="77">
        <v>6.5500000000000003E-2</v>
      </c>
      <c r="G24" s="77">
        <v>5.8999999999999997E-2</v>
      </c>
      <c r="H24" s="78">
        <v>4.4609999999999997E-2</v>
      </c>
    </row>
    <row r="25" spans="2:8" ht="15" customHeight="1" x14ac:dyDescent="0.25">
      <c r="B25" s="75">
        <v>11</v>
      </c>
      <c r="C25" s="76"/>
      <c r="D25" s="77"/>
      <c r="E25" s="77"/>
      <c r="F25" s="77">
        <v>3.2800000000000003E-2</v>
      </c>
      <c r="G25" s="77">
        <v>5.91E-2</v>
      </c>
      <c r="H25" s="78">
        <v>4.462E-2</v>
      </c>
    </row>
    <row r="26" spans="2:8" ht="15" customHeight="1" x14ac:dyDescent="0.25">
      <c r="B26" s="75">
        <v>12</v>
      </c>
      <c r="C26" s="76"/>
      <c r="D26" s="77"/>
      <c r="E26" s="77"/>
      <c r="F26" s="77"/>
      <c r="G26" s="77">
        <v>5.8999999999999997E-2</v>
      </c>
      <c r="H26" s="78">
        <v>4.4609999999999997E-2</v>
      </c>
    </row>
    <row r="27" spans="2:8" ht="15" customHeight="1" x14ac:dyDescent="0.25">
      <c r="B27" s="75">
        <v>13</v>
      </c>
      <c r="C27" s="76"/>
      <c r="D27" s="77"/>
      <c r="E27" s="77"/>
      <c r="F27" s="77"/>
      <c r="G27" s="77">
        <v>5.91E-2</v>
      </c>
      <c r="H27" s="78">
        <v>4.462E-2</v>
      </c>
    </row>
    <row r="28" spans="2:8" ht="15" customHeight="1" x14ac:dyDescent="0.25">
      <c r="B28" s="75">
        <v>14</v>
      </c>
      <c r="C28" s="76"/>
      <c r="D28" s="77"/>
      <c r="E28" s="77"/>
      <c r="F28" s="77"/>
      <c r="G28" s="77">
        <v>5.8999999999999997E-2</v>
      </c>
      <c r="H28" s="78">
        <v>4.4609999999999997E-2</v>
      </c>
    </row>
    <row r="29" spans="2:8" ht="15" customHeight="1" x14ac:dyDescent="0.25">
      <c r="B29" s="75">
        <v>15</v>
      </c>
      <c r="C29" s="76"/>
      <c r="D29" s="77"/>
      <c r="E29" s="77"/>
      <c r="F29" s="77"/>
      <c r="G29" s="77">
        <v>5.91E-2</v>
      </c>
      <c r="H29" s="78">
        <v>4.462E-2</v>
      </c>
    </row>
    <row r="30" spans="2:8" ht="15" customHeight="1" x14ac:dyDescent="0.25">
      <c r="B30" s="75">
        <v>16</v>
      </c>
      <c r="C30" s="76"/>
      <c r="D30" s="77"/>
      <c r="E30" s="77"/>
      <c r="F30" s="77"/>
      <c r="G30" s="77">
        <v>2.9499999999999998E-2</v>
      </c>
      <c r="H30" s="78">
        <v>4.4609999999999997E-2</v>
      </c>
    </row>
    <row r="31" spans="2:8" ht="15" customHeight="1" x14ac:dyDescent="0.25">
      <c r="B31" s="75">
        <v>17</v>
      </c>
      <c r="C31" s="76"/>
      <c r="D31" s="77"/>
      <c r="E31" s="77"/>
      <c r="F31" s="77"/>
      <c r="G31" s="77"/>
      <c r="H31" s="78">
        <v>4.462E-2</v>
      </c>
    </row>
    <row r="32" spans="2:8" ht="15" customHeight="1" x14ac:dyDescent="0.25">
      <c r="B32" s="75">
        <v>18</v>
      </c>
      <c r="C32" s="76"/>
      <c r="D32" s="77"/>
      <c r="E32" s="77"/>
      <c r="F32" s="77"/>
      <c r="G32" s="77"/>
      <c r="H32" s="78">
        <v>4.4609999999999997E-2</v>
      </c>
    </row>
    <row r="33" spans="1:24" ht="15" customHeight="1" x14ac:dyDescent="0.25">
      <c r="B33" s="75">
        <v>19</v>
      </c>
      <c r="C33" s="76"/>
      <c r="D33" s="77"/>
      <c r="E33" s="77"/>
      <c r="F33" s="77"/>
      <c r="G33" s="77"/>
      <c r="H33" s="78">
        <v>4.462E-2</v>
      </c>
    </row>
    <row r="34" spans="1:24" ht="15" customHeight="1" x14ac:dyDescent="0.25">
      <c r="B34" s="75">
        <v>20</v>
      </c>
      <c r="C34" s="76"/>
      <c r="D34" s="77"/>
      <c r="E34" s="77"/>
      <c r="F34" s="77"/>
      <c r="G34" s="77"/>
      <c r="H34" s="78">
        <v>4.4609999999999997E-2</v>
      </c>
    </row>
    <row r="35" spans="1:24" ht="15" customHeight="1" thickBot="1" x14ac:dyDescent="0.3">
      <c r="B35" s="79">
        <v>21</v>
      </c>
      <c r="C35" s="80"/>
      <c r="D35" s="81"/>
      <c r="E35" s="81"/>
      <c r="F35" s="81"/>
      <c r="G35" s="81"/>
      <c r="H35" s="82">
        <v>2.231E-2</v>
      </c>
    </row>
    <row r="36" spans="1:24" ht="15" customHeight="1" thickTop="1" x14ac:dyDescent="0.25">
      <c r="B36" s="83" t="s">
        <v>50</v>
      </c>
      <c r="C36" s="84">
        <f t="shared" ref="C36:H36" ca="1" si="0">NPV(real_irr,C15:C35)</f>
        <v>0.861730483722558</v>
      </c>
      <c r="D36" s="85">
        <f t="shared" ca="1" si="0"/>
        <v>0.81132579180653486</v>
      </c>
      <c r="E36" s="85">
        <f t="shared" ca="1" si="0"/>
        <v>0.76611247423420981</v>
      </c>
      <c r="F36" s="85">
        <f t="shared" ca="1" si="0"/>
        <v>0.70592323058796147</v>
      </c>
      <c r="G36" s="85">
        <f t="shared" ca="1" si="0"/>
        <v>0.57966874115937961</v>
      </c>
      <c r="H36" s="86">
        <f t="shared" ca="1" si="0"/>
        <v>0.50624177952518146</v>
      </c>
    </row>
    <row r="37" spans="1:24" ht="15" customHeight="1" thickBot="1" x14ac:dyDescent="0.3">
      <c r="B37" s="79" t="s">
        <v>51</v>
      </c>
      <c r="C37" s="87">
        <f t="shared" ref="C37:H37" ca="1" si="1">NPV(nominal_irr,C15:C35)</f>
        <v>0.83149291060393982</v>
      </c>
      <c r="D37" s="88">
        <f t="shared" ca="1" si="1"/>
        <v>0.77231075823151107</v>
      </c>
      <c r="E37" s="88">
        <f t="shared" ca="1" si="1"/>
        <v>0.72034649543580254</v>
      </c>
      <c r="F37" s="88">
        <f t="shared" ca="1" si="1"/>
        <v>0.65286934217044934</v>
      </c>
      <c r="G37" s="88">
        <f t="shared" ca="1" si="1"/>
        <v>0.51586770297474116</v>
      </c>
      <c r="H37" s="89">
        <f t="shared" ca="1" si="1"/>
        <v>0.44094384285873256</v>
      </c>
    </row>
    <row r="38" spans="1:24" ht="15" customHeight="1" thickTop="1" x14ac:dyDescent="0.25"/>
    <row r="39" spans="1:24" ht="15" customHeight="1" x14ac:dyDescent="0.25"/>
    <row r="40" spans="1:24" ht="15" customHeight="1" thickBot="1" x14ac:dyDescent="0.3"/>
    <row r="41" spans="1:24" ht="29.25" customHeight="1" thickTop="1" thickBot="1" x14ac:dyDescent="0.35">
      <c r="A41" s="90" t="s">
        <v>52</v>
      </c>
      <c r="B41" s="91"/>
    </row>
    <row r="42" spans="1:24" ht="15" customHeight="1" thickTop="1" x14ac:dyDescent="0.25">
      <c r="A42" s="92" t="s">
        <v>389</v>
      </c>
      <c r="B42" s="93" t="str">
        <f>depr_type</f>
        <v>MACRS</v>
      </c>
    </row>
    <row r="43" spans="1:24" ht="15" customHeight="1" x14ac:dyDescent="0.25">
      <c r="A43" s="94" t="s">
        <v>53</v>
      </c>
      <c r="B43" s="95">
        <f>depr_length</f>
        <v>20</v>
      </c>
    </row>
    <row r="44" spans="1:24" ht="15" customHeight="1" thickBot="1" x14ac:dyDescent="0.3">
      <c r="A44" s="96" t="s">
        <v>54</v>
      </c>
      <c r="B44" s="97">
        <f ca="1">-('Cash Flow Analysis'!G65+SUM('Cash Flow Analysis'!H65:H113))</f>
        <v>1648795656.3821888</v>
      </c>
    </row>
    <row r="45" spans="1:24" ht="15" customHeight="1" thickTop="1" x14ac:dyDescent="0.25"/>
    <row r="46" spans="1:24" ht="15" customHeight="1" thickBot="1" x14ac:dyDescent="0.3"/>
    <row r="47" spans="1:24" ht="27" customHeight="1" thickTop="1" thickBot="1" x14ac:dyDescent="0.35">
      <c r="A47" s="98" t="s">
        <v>55</v>
      </c>
      <c r="B47" s="64"/>
      <c r="C47" s="64"/>
      <c r="D47" s="64"/>
      <c r="E47" s="64"/>
      <c r="F47" s="64"/>
      <c r="G47" s="64"/>
      <c r="H47" s="64"/>
      <c r="I47" s="64"/>
      <c r="J47" s="64"/>
      <c r="K47" s="64"/>
      <c r="L47" s="64"/>
      <c r="M47" s="64"/>
      <c r="N47" s="64"/>
      <c r="O47" s="64"/>
      <c r="P47" s="64"/>
      <c r="Q47" s="64"/>
      <c r="R47" s="64"/>
      <c r="S47" s="64"/>
      <c r="T47" s="64"/>
      <c r="U47" s="64"/>
      <c r="V47" s="64"/>
      <c r="W47" s="64"/>
      <c r="X47" s="65"/>
    </row>
    <row r="48" spans="1:24" ht="30.75" customHeight="1" thickTop="1" thickBot="1" x14ac:dyDescent="0.3">
      <c r="A48" s="99" t="s">
        <v>56</v>
      </c>
      <c r="B48" s="100" t="s">
        <v>57</v>
      </c>
      <c r="C48" s="101">
        <v>1</v>
      </c>
      <c r="D48" s="102">
        <v>2</v>
      </c>
      <c r="E48" s="102">
        <v>3</v>
      </c>
      <c r="F48" s="102">
        <v>4</v>
      </c>
      <c r="G48" s="102">
        <v>5</v>
      </c>
      <c r="H48" s="102">
        <v>6</v>
      </c>
      <c r="I48" s="102">
        <v>7</v>
      </c>
      <c r="J48" s="102">
        <v>8</v>
      </c>
      <c r="K48" s="102">
        <v>9</v>
      </c>
      <c r="L48" s="102">
        <v>10</v>
      </c>
      <c r="M48" s="102">
        <v>11</v>
      </c>
      <c r="N48" s="102">
        <v>12</v>
      </c>
      <c r="O48" s="102">
        <v>13</v>
      </c>
      <c r="P48" s="102">
        <v>14</v>
      </c>
      <c r="Q48" s="102">
        <v>15</v>
      </c>
      <c r="R48" s="102">
        <v>16</v>
      </c>
      <c r="S48" s="102">
        <v>17</v>
      </c>
      <c r="T48" s="102">
        <v>18</v>
      </c>
      <c r="U48" s="102">
        <v>19</v>
      </c>
      <c r="V48" s="102">
        <v>20</v>
      </c>
      <c r="W48" s="91">
        <v>21</v>
      </c>
      <c r="X48" s="69" t="s">
        <v>58</v>
      </c>
    </row>
    <row r="49" spans="1:24" ht="15" customHeight="1" thickTop="1" x14ac:dyDescent="0.25">
      <c r="A49" s="83">
        <f>IF('Cash Flow Analysis'!C65="","",'Cash Flow Analysis'!C65)</f>
        <v>-3</v>
      </c>
      <c r="B49" s="1074">
        <f>IF(A49="","",IF(A49&lt;1,0,IF(A49=1,$B$44-'Cash Flow Analysis'!I65,-'Cash Flow Analysis'!I65)))</f>
        <v>0</v>
      </c>
      <c r="C49" s="103">
        <f>IF(B49="","",IF(AND($B$42="Straight Line",$C$48&lt;=depr_length),B49/depr_length,IF(AND($B$42="MACRS",$C$48&lt;=depr_length+1),B49*INDEX(MACRS_Table,MATCH($C$48,recovery_year,0),MATCH($B$43,recovery_period,0)),"")))</f>
        <v>0</v>
      </c>
      <c r="D49" s="104">
        <f t="shared" ref="D49:W49" si="2">IF($B$49="","",IF(AND($B$42="Straight Line",D48&lt;=depr_length),$B$49/depr_length,IF(AND($B$42="MACRS",D48&lt;=depr_length+1),$B$49*INDEX(MACRS_Table,MATCH(D48,recovery_year,0),MATCH($B$43,recovery_period,0)),"")))</f>
        <v>0</v>
      </c>
      <c r="E49" s="104">
        <f t="shared" si="2"/>
        <v>0</v>
      </c>
      <c r="F49" s="104">
        <f t="shared" si="2"/>
        <v>0</v>
      </c>
      <c r="G49" s="104">
        <f t="shared" si="2"/>
        <v>0</v>
      </c>
      <c r="H49" s="104">
        <f t="shared" si="2"/>
        <v>0</v>
      </c>
      <c r="I49" s="104">
        <f t="shared" si="2"/>
        <v>0</v>
      </c>
      <c r="J49" s="104">
        <f t="shared" si="2"/>
        <v>0</v>
      </c>
      <c r="K49" s="104">
        <f t="shared" si="2"/>
        <v>0</v>
      </c>
      <c r="L49" s="104">
        <f t="shared" si="2"/>
        <v>0</v>
      </c>
      <c r="M49" s="104">
        <f t="shared" si="2"/>
        <v>0</v>
      </c>
      <c r="N49" s="104">
        <f t="shared" si="2"/>
        <v>0</v>
      </c>
      <c r="O49" s="104">
        <f t="shared" si="2"/>
        <v>0</v>
      </c>
      <c r="P49" s="104">
        <f t="shared" si="2"/>
        <v>0</v>
      </c>
      <c r="Q49" s="104">
        <f t="shared" si="2"/>
        <v>0</v>
      </c>
      <c r="R49" s="104">
        <f t="shared" si="2"/>
        <v>0</v>
      </c>
      <c r="S49" s="104">
        <f t="shared" si="2"/>
        <v>0</v>
      </c>
      <c r="T49" s="104">
        <f t="shared" si="2"/>
        <v>0</v>
      </c>
      <c r="U49" s="104">
        <f t="shared" si="2"/>
        <v>0</v>
      </c>
      <c r="V49" s="104">
        <f t="shared" si="2"/>
        <v>0</v>
      </c>
      <c r="W49" s="105">
        <f t="shared" si="2"/>
        <v>0</v>
      </c>
      <c r="X49" s="106">
        <f t="shared" ref="X49:X92" si="3">SUM(C49:W49)</f>
        <v>0</v>
      </c>
    </row>
    <row r="50" spans="1:24" ht="15" customHeight="1" x14ac:dyDescent="0.25">
      <c r="A50" s="75">
        <f>IF('Cash Flow Analysis'!C66="","",'Cash Flow Analysis'!C66)</f>
        <v>-2</v>
      </c>
      <c r="B50" s="1075">
        <f>IF(A50="","",IF(A50&lt;1,0,IF(A50=1,$B$44-'Cash Flow Analysis'!I66,-'Cash Flow Analysis'!I66)))</f>
        <v>0</v>
      </c>
      <c r="C50" s="108">
        <f t="shared" ref="C50:W50" si="4">IF($B$50="","",IF(AND($B$42="Straight Line",C48&lt;=depr_length),$B$50/depr_length,IF(AND($B$42="MACRS",C48&lt;=depr_length+1),$B$50*INDEX(MACRS_Table,MATCH(C48,recovery_year,0),MATCH($B$43,recovery_period,0)),"")))</f>
        <v>0</v>
      </c>
      <c r="D50" s="109">
        <f t="shared" si="4"/>
        <v>0</v>
      </c>
      <c r="E50" s="109">
        <f t="shared" si="4"/>
        <v>0</v>
      </c>
      <c r="F50" s="109">
        <f t="shared" si="4"/>
        <v>0</v>
      </c>
      <c r="G50" s="109">
        <f t="shared" si="4"/>
        <v>0</v>
      </c>
      <c r="H50" s="109">
        <f t="shared" si="4"/>
        <v>0</v>
      </c>
      <c r="I50" s="109">
        <f t="shared" si="4"/>
        <v>0</v>
      </c>
      <c r="J50" s="109">
        <f t="shared" si="4"/>
        <v>0</v>
      </c>
      <c r="K50" s="109">
        <f t="shared" si="4"/>
        <v>0</v>
      </c>
      <c r="L50" s="109">
        <f t="shared" si="4"/>
        <v>0</v>
      </c>
      <c r="M50" s="109">
        <f t="shared" si="4"/>
        <v>0</v>
      </c>
      <c r="N50" s="109">
        <f t="shared" si="4"/>
        <v>0</v>
      </c>
      <c r="O50" s="109">
        <f t="shared" si="4"/>
        <v>0</v>
      </c>
      <c r="P50" s="109">
        <f t="shared" si="4"/>
        <v>0</v>
      </c>
      <c r="Q50" s="109">
        <f t="shared" si="4"/>
        <v>0</v>
      </c>
      <c r="R50" s="109">
        <f t="shared" si="4"/>
        <v>0</v>
      </c>
      <c r="S50" s="109">
        <f t="shared" si="4"/>
        <v>0</v>
      </c>
      <c r="T50" s="109">
        <f t="shared" si="4"/>
        <v>0</v>
      </c>
      <c r="U50" s="109">
        <f t="shared" si="4"/>
        <v>0</v>
      </c>
      <c r="V50" s="109">
        <f t="shared" si="4"/>
        <v>0</v>
      </c>
      <c r="W50" s="110">
        <f t="shared" si="4"/>
        <v>0</v>
      </c>
      <c r="X50" s="107">
        <f t="shared" si="3"/>
        <v>0</v>
      </c>
    </row>
    <row r="51" spans="1:24" ht="15" customHeight="1" x14ac:dyDescent="0.25">
      <c r="A51" s="75">
        <f>IF('Cash Flow Analysis'!C67="","",'Cash Flow Analysis'!C67)</f>
        <v>-1</v>
      </c>
      <c r="B51" s="1075">
        <f>IF(A51="","",IF(A51&lt;1,0,IF(A51=1,$B$44-'Cash Flow Analysis'!I67,-'Cash Flow Analysis'!I67)))</f>
        <v>0</v>
      </c>
      <c r="C51" s="108">
        <f t="shared" ref="C51:W51" si="5">IF($B$51="","",IF(AND($B$42="Straight Line",C48&lt;=depr_length),$B$51/depr_length,IF(AND($B$42="MACRS",C48&lt;=depr_length+1),$B$51*INDEX(MACRS_Table,MATCH(C48,recovery_year,0),MATCH($B$43,recovery_period,0)),"")))</f>
        <v>0</v>
      </c>
      <c r="D51" s="109">
        <f t="shared" si="5"/>
        <v>0</v>
      </c>
      <c r="E51" s="109">
        <f t="shared" si="5"/>
        <v>0</v>
      </c>
      <c r="F51" s="109">
        <f t="shared" si="5"/>
        <v>0</v>
      </c>
      <c r="G51" s="109">
        <f t="shared" si="5"/>
        <v>0</v>
      </c>
      <c r="H51" s="109">
        <f t="shared" si="5"/>
        <v>0</v>
      </c>
      <c r="I51" s="109">
        <f t="shared" si="5"/>
        <v>0</v>
      </c>
      <c r="J51" s="109">
        <f t="shared" si="5"/>
        <v>0</v>
      </c>
      <c r="K51" s="109">
        <f t="shared" si="5"/>
        <v>0</v>
      </c>
      <c r="L51" s="109">
        <f t="shared" si="5"/>
        <v>0</v>
      </c>
      <c r="M51" s="109">
        <f t="shared" si="5"/>
        <v>0</v>
      </c>
      <c r="N51" s="109">
        <f t="shared" si="5"/>
        <v>0</v>
      </c>
      <c r="O51" s="109">
        <f t="shared" si="5"/>
        <v>0</v>
      </c>
      <c r="P51" s="109">
        <f t="shared" si="5"/>
        <v>0</v>
      </c>
      <c r="Q51" s="109">
        <f t="shared" si="5"/>
        <v>0</v>
      </c>
      <c r="R51" s="109">
        <f t="shared" si="5"/>
        <v>0</v>
      </c>
      <c r="S51" s="109">
        <f t="shared" si="5"/>
        <v>0</v>
      </c>
      <c r="T51" s="109">
        <f t="shared" si="5"/>
        <v>0</v>
      </c>
      <c r="U51" s="109">
        <f t="shared" si="5"/>
        <v>0</v>
      </c>
      <c r="V51" s="109">
        <f t="shared" si="5"/>
        <v>0</v>
      </c>
      <c r="W51" s="110">
        <f t="shared" si="5"/>
        <v>0</v>
      </c>
      <c r="X51" s="107">
        <f t="shared" si="3"/>
        <v>0</v>
      </c>
    </row>
    <row r="52" spans="1:24" ht="15" customHeight="1" x14ac:dyDescent="0.25">
      <c r="A52" s="75">
        <f>IF('Cash Flow Analysis'!C68="","",'Cash Flow Analysis'!C68)</f>
        <v>1</v>
      </c>
      <c r="B52" s="1075">
        <f ca="1">IF(A52="","",IF(A52&lt;1,0,IF(A52=1,$B$44-'Cash Flow Analysis'!I68,-'Cash Flow Analysis'!I68)))</f>
        <v>1689889275.2032149</v>
      </c>
      <c r="C52" s="108">
        <f t="shared" ref="C52:W52" ca="1" si="6">IF($B$52="","",IF(AND($B$42="Straight Line",C48&lt;=depr_length),$B$52/depr_length,IF(AND($B$42="MACRS",C48&lt;=depr_length+1),$B$52*INDEX(MACRS_Table,MATCH(C48,recovery_year,0),MATCH($B$43,recovery_period,0)),"")))</f>
        <v>63370847.820120558</v>
      </c>
      <c r="D52" s="109">
        <f t="shared" ca="1" si="6"/>
        <v>121993106.7769201</v>
      </c>
      <c r="E52" s="109">
        <f t="shared" ca="1" si="6"/>
        <v>112833906.90531865</v>
      </c>
      <c r="F52" s="109">
        <f t="shared" ca="1" si="6"/>
        <v>104384460.52930258</v>
      </c>
      <c r="G52" s="109">
        <f t="shared" ca="1" si="6"/>
        <v>96543374.292359665</v>
      </c>
      <c r="H52" s="109">
        <f t="shared" ca="1" si="6"/>
        <v>89310648.194489911</v>
      </c>
      <c r="I52" s="109">
        <f t="shared" ca="1" si="6"/>
        <v>82601787.771933138</v>
      </c>
      <c r="J52" s="109">
        <f t="shared" ca="1" si="6"/>
        <v>76416793.024689376</v>
      </c>
      <c r="K52" s="109">
        <f t="shared" ca="1" si="6"/>
        <v>75402859.459567443</v>
      </c>
      <c r="L52" s="109">
        <f t="shared" ca="1" si="6"/>
        <v>75385960.566815406</v>
      </c>
      <c r="M52" s="109">
        <f t="shared" ca="1" si="6"/>
        <v>75402859.459567443</v>
      </c>
      <c r="N52" s="109">
        <f t="shared" ca="1" si="6"/>
        <v>75385960.566815406</v>
      </c>
      <c r="O52" s="109">
        <f t="shared" ca="1" si="6"/>
        <v>75402859.459567443</v>
      </c>
      <c r="P52" s="109">
        <f t="shared" ca="1" si="6"/>
        <v>75385960.566815406</v>
      </c>
      <c r="Q52" s="109">
        <f t="shared" ca="1" si="6"/>
        <v>75402859.459567443</v>
      </c>
      <c r="R52" s="109">
        <f t="shared" ca="1" si="6"/>
        <v>75385960.566815406</v>
      </c>
      <c r="S52" s="109">
        <f t="shared" ca="1" si="6"/>
        <v>75402859.459567443</v>
      </c>
      <c r="T52" s="109">
        <f t="shared" ca="1" si="6"/>
        <v>75385960.566815406</v>
      </c>
      <c r="U52" s="109">
        <f t="shared" ca="1" si="6"/>
        <v>75402859.459567443</v>
      </c>
      <c r="V52" s="109">
        <f t="shared" ca="1" si="6"/>
        <v>75385960.566815406</v>
      </c>
      <c r="W52" s="110">
        <f t="shared" ca="1" si="6"/>
        <v>37701429.729783721</v>
      </c>
      <c r="X52" s="107">
        <f t="shared" ca="1" si="3"/>
        <v>1689889275.2032151</v>
      </c>
    </row>
    <row r="53" spans="1:24" ht="15" customHeight="1" x14ac:dyDescent="0.25">
      <c r="A53" s="75">
        <f>IF('Cash Flow Analysis'!C69="","",'Cash Flow Analysis'!C69)</f>
        <v>2</v>
      </c>
      <c r="B53" s="1075">
        <f ca="1">IF(A53="","",IF(A53&lt;1,0,IF(A53=1,$B$44-'Cash Flow Analysis'!I69,-'Cash Flow Analysis'!I69)))</f>
        <v>41874397.578625605</v>
      </c>
      <c r="C53" s="108">
        <f t="shared" ref="C53:W53" ca="1" si="7">IF($B$53="","",IF(AND($B$42="Straight Line",C48&lt;=depr_length),$B$53/depr_length,IF(AND($B$42="MACRS",C48&lt;=depr_length+1),$B$53*INDEX(MACRS_Table,MATCH(C48,recovery_year,0),MATCH($B$43,recovery_period,0)),"")))</f>
        <v>1570289.9091984602</v>
      </c>
      <c r="D53" s="109">
        <f t="shared" ca="1" si="7"/>
        <v>3022912.7612009826</v>
      </c>
      <c r="E53" s="109">
        <f t="shared" ca="1" si="7"/>
        <v>2795953.5263248314</v>
      </c>
      <c r="F53" s="109">
        <f t="shared" ca="1" si="7"/>
        <v>2586581.5384317036</v>
      </c>
      <c r="G53" s="109">
        <f t="shared" ca="1" si="7"/>
        <v>2392284.3336668806</v>
      </c>
      <c r="H53" s="109">
        <f t="shared" ca="1" si="7"/>
        <v>2213061.9120303635</v>
      </c>
      <c r="I53" s="109">
        <f t="shared" ca="1" si="7"/>
        <v>2046820.5536432196</v>
      </c>
      <c r="J53" s="109">
        <f t="shared" ca="1" si="7"/>
        <v>1893560.2585054499</v>
      </c>
      <c r="K53" s="109">
        <f t="shared" ca="1" si="7"/>
        <v>1868435.6199582745</v>
      </c>
      <c r="L53" s="109">
        <f t="shared" ca="1" si="7"/>
        <v>1868016.875982488</v>
      </c>
      <c r="M53" s="109">
        <f t="shared" ca="1" si="7"/>
        <v>1868435.6199582745</v>
      </c>
      <c r="N53" s="109">
        <f t="shared" ca="1" si="7"/>
        <v>1868016.875982488</v>
      </c>
      <c r="O53" s="109">
        <f t="shared" ca="1" si="7"/>
        <v>1868435.6199582745</v>
      </c>
      <c r="P53" s="109">
        <f t="shared" ca="1" si="7"/>
        <v>1868016.875982488</v>
      </c>
      <c r="Q53" s="109">
        <f t="shared" ca="1" si="7"/>
        <v>1868435.6199582745</v>
      </c>
      <c r="R53" s="109">
        <f t="shared" ca="1" si="7"/>
        <v>1868016.875982488</v>
      </c>
      <c r="S53" s="109">
        <f t="shared" ca="1" si="7"/>
        <v>1868435.6199582745</v>
      </c>
      <c r="T53" s="109">
        <f t="shared" ca="1" si="7"/>
        <v>1868016.875982488</v>
      </c>
      <c r="U53" s="109">
        <f t="shared" ca="1" si="7"/>
        <v>1868435.6199582745</v>
      </c>
      <c r="V53" s="109">
        <f t="shared" ca="1" si="7"/>
        <v>1868016.875982488</v>
      </c>
      <c r="W53" s="110">
        <f t="shared" ca="1" si="7"/>
        <v>934217.80997913727</v>
      </c>
      <c r="X53" s="107">
        <f t="shared" ca="1" si="3"/>
        <v>41874397.578625605</v>
      </c>
    </row>
    <row r="54" spans="1:24" ht="15" customHeight="1" x14ac:dyDescent="0.25">
      <c r="A54" s="75">
        <f>IF('Cash Flow Analysis'!C70="","",'Cash Flow Analysis'!C70)</f>
        <v>3</v>
      </c>
      <c r="B54" s="1075">
        <f ca="1">IF(A54="","",IF(A54&lt;1,0,IF(A54=1,$B$44-'Cash Flow Analysis'!I70,-'Cash Flow Analysis'!I70)))</f>
        <v>42670011.132619485</v>
      </c>
      <c r="C54" s="108">
        <f t="shared" ref="C54:W54" ca="1" si="8">IF($B$54="","",IF(AND($B$42="Straight Line",C48&lt;=depr_length),$B$54/depr_length,IF(AND($B$42="MACRS",C48&lt;=depr_length+1),$B$54*INDEX(MACRS_Table,MATCH(C48,recovery_year,0),MATCH($B$43,recovery_period,0)),"")))</f>
        <v>1600125.4174732307</v>
      </c>
      <c r="D54" s="109">
        <f t="shared" ca="1" si="8"/>
        <v>3080348.1036638007</v>
      </c>
      <c r="E54" s="109">
        <f t="shared" ca="1" si="8"/>
        <v>2849076.6433250029</v>
      </c>
      <c r="F54" s="109">
        <f t="shared" ca="1" si="8"/>
        <v>2635726.5876619057</v>
      </c>
      <c r="G54" s="109">
        <f t="shared" ca="1" si="8"/>
        <v>2437737.7360065514</v>
      </c>
      <c r="H54" s="109">
        <f t="shared" ca="1" si="8"/>
        <v>2255110.0883589396</v>
      </c>
      <c r="I54" s="109">
        <f t="shared" ca="1" si="8"/>
        <v>2085710.1441624404</v>
      </c>
      <c r="J54" s="109">
        <f t="shared" ca="1" si="8"/>
        <v>1929537.9034170532</v>
      </c>
      <c r="K54" s="109">
        <f t="shared" ca="1" si="8"/>
        <v>1903935.8967374815</v>
      </c>
      <c r="L54" s="109">
        <f t="shared" ca="1" si="8"/>
        <v>1903509.1966261552</v>
      </c>
      <c r="M54" s="109">
        <f t="shared" ca="1" si="8"/>
        <v>1903935.8967374815</v>
      </c>
      <c r="N54" s="109">
        <f t="shared" ca="1" si="8"/>
        <v>1903509.1966261552</v>
      </c>
      <c r="O54" s="109">
        <f t="shared" ca="1" si="8"/>
        <v>1903935.8967374815</v>
      </c>
      <c r="P54" s="109">
        <f t="shared" ca="1" si="8"/>
        <v>1903509.1966261552</v>
      </c>
      <c r="Q54" s="109">
        <f t="shared" ca="1" si="8"/>
        <v>1903935.8967374815</v>
      </c>
      <c r="R54" s="109">
        <f t="shared" ca="1" si="8"/>
        <v>1903509.1966261552</v>
      </c>
      <c r="S54" s="109">
        <f t="shared" ca="1" si="8"/>
        <v>1903935.8967374815</v>
      </c>
      <c r="T54" s="109">
        <f t="shared" ca="1" si="8"/>
        <v>1903509.1966261552</v>
      </c>
      <c r="U54" s="109">
        <f t="shared" ca="1" si="8"/>
        <v>1903935.8967374815</v>
      </c>
      <c r="V54" s="109">
        <f t="shared" ca="1" si="8"/>
        <v>1903509.1966261552</v>
      </c>
      <c r="W54" s="110">
        <f t="shared" ca="1" si="8"/>
        <v>951967.94836874073</v>
      </c>
      <c r="X54" s="107">
        <f t="shared" ca="1" si="3"/>
        <v>42670011.132619493</v>
      </c>
    </row>
    <row r="55" spans="1:24" ht="15" customHeight="1" x14ac:dyDescent="0.25">
      <c r="A55" s="75">
        <f>IF('Cash Flow Analysis'!C71="","",'Cash Flow Analysis'!C71)</f>
        <v>4</v>
      </c>
      <c r="B55" s="1075">
        <f ca="1">IF(A55="","",IF(A55&lt;1,0,IF(A55=1,$B$44-'Cash Flow Analysis'!I71,-'Cash Flow Analysis'!I71)))</f>
        <v>43480741.344139256</v>
      </c>
      <c r="C55" s="108">
        <f t="shared" ref="C55:W55" ca="1" si="9">IF($B$55="","",IF(AND($B$42="Straight Line",C48&lt;=depr_length),$B$55/depr_length,IF(AND($B$42="MACRS",C48&lt;=depr_length+1),$B$55*INDEX(MACRS_Table,MATCH(C48,recovery_year,0),MATCH($B$43,recovery_period,0)),"")))</f>
        <v>1630527.800405222</v>
      </c>
      <c r="D55" s="109">
        <f t="shared" ca="1" si="9"/>
        <v>3138874.7176334132</v>
      </c>
      <c r="E55" s="109">
        <f t="shared" ca="1" si="9"/>
        <v>2903209.0995481778</v>
      </c>
      <c r="F55" s="109">
        <f t="shared" ca="1" si="9"/>
        <v>2685805.392827482</v>
      </c>
      <c r="G55" s="109">
        <f t="shared" ca="1" si="9"/>
        <v>2484054.7529906756</v>
      </c>
      <c r="H55" s="109">
        <f t="shared" ca="1" si="9"/>
        <v>2297957.1800377597</v>
      </c>
      <c r="I55" s="109">
        <f t="shared" ca="1" si="9"/>
        <v>2125338.6369015267</v>
      </c>
      <c r="J55" s="109">
        <f t="shared" ca="1" si="9"/>
        <v>1966199.1235819773</v>
      </c>
      <c r="K55" s="109">
        <f t="shared" ca="1" si="9"/>
        <v>1940110.6787754935</v>
      </c>
      <c r="L55" s="109">
        <f t="shared" ca="1" si="9"/>
        <v>1939675.8713620522</v>
      </c>
      <c r="M55" s="109">
        <f t="shared" ca="1" si="9"/>
        <v>1940110.6787754935</v>
      </c>
      <c r="N55" s="109">
        <f t="shared" ca="1" si="9"/>
        <v>1939675.8713620522</v>
      </c>
      <c r="O55" s="109">
        <f t="shared" ca="1" si="9"/>
        <v>1940110.6787754935</v>
      </c>
      <c r="P55" s="109">
        <f t="shared" ca="1" si="9"/>
        <v>1939675.8713620522</v>
      </c>
      <c r="Q55" s="109">
        <f t="shared" ca="1" si="9"/>
        <v>1940110.6787754935</v>
      </c>
      <c r="R55" s="109">
        <f t="shared" ca="1" si="9"/>
        <v>1939675.8713620522</v>
      </c>
      <c r="S55" s="109">
        <f t="shared" ca="1" si="9"/>
        <v>1940110.6787754935</v>
      </c>
      <c r="T55" s="109">
        <f t="shared" ca="1" si="9"/>
        <v>1939675.8713620522</v>
      </c>
      <c r="U55" s="109">
        <f t="shared" ca="1" si="9"/>
        <v>1940110.6787754935</v>
      </c>
      <c r="V55" s="109">
        <f t="shared" ca="1" si="9"/>
        <v>1939675.8713620522</v>
      </c>
      <c r="W55" s="110">
        <f t="shared" ca="1" si="9"/>
        <v>970055.33938774676</v>
      </c>
      <c r="X55" s="107">
        <f t="shared" ca="1" si="3"/>
        <v>43480741.344139256</v>
      </c>
    </row>
    <row r="56" spans="1:24" ht="15" customHeight="1" x14ac:dyDescent="0.25">
      <c r="A56" s="75">
        <f>IF('Cash Flow Analysis'!C72="","",'Cash Flow Analysis'!C72)</f>
        <v>5</v>
      </c>
      <c r="B56" s="1075">
        <f ca="1">IF(A56="","",IF(A56&lt;1,0,IF(A56=1,$B$44-'Cash Flow Analysis'!I72,-'Cash Flow Analysis'!I72)))</f>
        <v>44306875.429677904</v>
      </c>
      <c r="C56" s="108">
        <f t="shared" ref="C56:W56" ca="1" si="10">IF($B$56="","",IF(AND($B$42="Straight Line",C48&lt;=depr_length),$B$56/depr_length,IF(AND($B$42="MACRS",C48&lt;=depr_length+1),$B$56*INDEX(MACRS_Table,MATCH(C48,recovery_year,0),MATCH($B$43,recovery_period,0)),"")))</f>
        <v>1661507.8286129213</v>
      </c>
      <c r="D56" s="109">
        <f t="shared" ca="1" si="10"/>
        <v>3198513.337268448</v>
      </c>
      <c r="E56" s="109">
        <f t="shared" ca="1" si="10"/>
        <v>2958370.0724395933</v>
      </c>
      <c r="F56" s="109">
        <f t="shared" ca="1" si="10"/>
        <v>2736835.6952912039</v>
      </c>
      <c r="G56" s="109">
        <f t="shared" ca="1" si="10"/>
        <v>2531251.7932974985</v>
      </c>
      <c r="H56" s="109">
        <f t="shared" ca="1" si="10"/>
        <v>2341618.3664584775</v>
      </c>
      <c r="I56" s="109">
        <f t="shared" ca="1" si="10"/>
        <v>2165720.0710026561</v>
      </c>
      <c r="J56" s="109">
        <f t="shared" ca="1" si="10"/>
        <v>2003556.906930035</v>
      </c>
      <c r="K56" s="109">
        <f t="shared" ca="1" si="10"/>
        <v>1976972.7816722281</v>
      </c>
      <c r="L56" s="109">
        <f t="shared" ca="1" si="10"/>
        <v>1976529.7129179311</v>
      </c>
      <c r="M56" s="109">
        <f t="shared" ca="1" si="10"/>
        <v>1976972.7816722281</v>
      </c>
      <c r="N56" s="109">
        <f t="shared" ca="1" si="10"/>
        <v>1976529.7129179311</v>
      </c>
      <c r="O56" s="109">
        <f t="shared" ca="1" si="10"/>
        <v>1976972.7816722281</v>
      </c>
      <c r="P56" s="109">
        <f t="shared" ca="1" si="10"/>
        <v>1976529.7129179311</v>
      </c>
      <c r="Q56" s="109">
        <f t="shared" ca="1" si="10"/>
        <v>1976972.7816722281</v>
      </c>
      <c r="R56" s="109">
        <f t="shared" ca="1" si="10"/>
        <v>1976529.7129179311</v>
      </c>
      <c r="S56" s="109">
        <f t="shared" ca="1" si="10"/>
        <v>1976972.7816722281</v>
      </c>
      <c r="T56" s="109">
        <f t="shared" ca="1" si="10"/>
        <v>1976529.7129179311</v>
      </c>
      <c r="U56" s="109">
        <f t="shared" ca="1" si="10"/>
        <v>1976972.7816722281</v>
      </c>
      <c r="V56" s="109">
        <f t="shared" ca="1" si="10"/>
        <v>1976529.7129179311</v>
      </c>
      <c r="W56" s="110">
        <f t="shared" ca="1" si="10"/>
        <v>988486.39083611406</v>
      </c>
      <c r="X56" s="107">
        <f t="shared" ca="1" si="3"/>
        <v>44306875.429677904</v>
      </c>
    </row>
    <row r="57" spans="1:24" ht="15" customHeight="1" x14ac:dyDescent="0.25">
      <c r="A57" s="75">
        <f>IF('Cash Flow Analysis'!C73="","",'Cash Flow Analysis'!C73)</f>
        <v>6</v>
      </c>
      <c r="B57" s="1075">
        <f ca="1">IF(A57="","",IF(A57&lt;1,0,IF(A57=1,$B$44-'Cash Flow Analysis'!I73,-'Cash Flow Analysis'!I73)))</f>
        <v>45148706.062841773</v>
      </c>
      <c r="C57" s="108">
        <f t="shared" ref="C57:W57" ca="1" si="11">IF($B$57="","",IF(AND($B$42="Straight Line",C48&lt;=depr_length),$B$57/depr_length,IF(AND($B$42="MACRS",C48&lt;=depr_length+1),$B$57*INDEX(MACRS_Table,MATCH(C48,recovery_year,0),MATCH($B$43,recovery_period,0)),"")))</f>
        <v>1693076.4773565663</v>
      </c>
      <c r="D57" s="109">
        <f t="shared" ca="1" si="11"/>
        <v>3259285.090676548</v>
      </c>
      <c r="E57" s="109">
        <f t="shared" ca="1" si="11"/>
        <v>3014579.1038159449</v>
      </c>
      <c r="F57" s="109">
        <f t="shared" ca="1" si="11"/>
        <v>2788835.5735017364</v>
      </c>
      <c r="G57" s="109">
        <f t="shared" ca="1" si="11"/>
        <v>2579345.5773701505</v>
      </c>
      <c r="H57" s="109">
        <f t="shared" ca="1" si="11"/>
        <v>2386109.1154211876</v>
      </c>
      <c r="I57" s="109">
        <f t="shared" ca="1" si="11"/>
        <v>2206868.7523517059</v>
      </c>
      <c r="J57" s="109">
        <f t="shared" ca="1" si="11"/>
        <v>2041624.4881617052</v>
      </c>
      <c r="K57" s="109">
        <f t="shared" ca="1" si="11"/>
        <v>2014535.264524</v>
      </c>
      <c r="L57" s="109">
        <f t="shared" ca="1" si="11"/>
        <v>2014083.7774633714</v>
      </c>
      <c r="M57" s="109">
        <f t="shared" ca="1" si="11"/>
        <v>2014535.264524</v>
      </c>
      <c r="N57" s="109">
        <f t="shared" ca="1" si="11"/>
        <v>2014083.7774633714</v>
      </c>
      <c r="O57" s="109">
        <f t="shared" ca="1" si="11"/>
        <v>2014535.264524</v>
      </c>
      <c r="P57" s="109">
        <f t="shared" ca="1" si="11"/>
        <v>2014083.7774633714</v>
      </c>
      <c r="Q57" s="109">
        <f t="shared" ca="1" si="11"/>
        <v>2014535.264524</v>
      </c>
      <c r="R57" s="109">
        <f t="shared" ca="1" si="11"/>
        <v>2014083.7774633714</v>
      </c>
      <c r="S57" s="109">
        <f t="shared" ca="1" si="11"/>
        <v>2014535.264524</v>
      </c>
      <c r="T57" s="109">
        <f t="shared" ca="1" si="11"/>
        <v>2014083.7774633714</v>
      </c>
      <c r="U57" s="109">
        <f t="shared" ca="1" si="11"/>
        <v>2014535.264524</v>
      </c>
      <c r="V57" s="109">
        <f t="shared" ca="1" si="11"/>
        <v>2014083.7774633714</v>
      </c>
      <c r="W57" s="110">
        <f t="shared" ca="1" si="11"/>
        <v>1007267.632262</v>
      </c>
      <c r="X57" s="107">
        <f t="shared" ca="1" si="3"/>
        <v>45148706.062841766</v>
      </c>
    </row>
    <row r="58" spans="1:24" ht="15" customHeight="1" x14ac:dyDescent="0.25">
      <c r="A58" s="75">
        <f>IF('Cash Flow Analysis'!C74="","",'Cash Flow Analysis'!C74)</f>
        <v>7</v>
      </c>
      <c r="B58" s="1075">
        <f ca="1">IF(A58="","",IF(A58&lt;1,0,IF(A58=1,$B$44-'Cash Flow Analysis'!I74,-'Cash Flow Analysis'!I74)))</f>
        <v>46006531.47803577</v>
      </c>
      <c r="C58" s="108">
        <f t="shared" ref="C58:W58" ca="1" si="12">IF($B$58="","",IF(AND($B$42="Straight Line",C48&lt;=depr_length),$B$58/depr_length,IF(AND($B$42="MACRS",C48&lt;=depr_length+1),$B$58*INDEX(MACRS_Table,MATCH(C48,recovery_year,0),MATCH($B$43,recovery_period,0)),"")))</f>
        <v>1725244.9304263412</v>
      </c>
      <c r="D58" s="109">
        <f t="shared" ca="1" si="12"/>
        <v>3321211.5073994026</v>
      </c>
      <c r="E58" s="109">
        <f t="shared" ca="1" si="12"/>
        <v>3071856.1067884481</v>
      </c>
      <c r="F58" s="109">
        <f t="shared" ca="1" si="12"/>
        <v>2841823.4493982694</v>
      </c>
      <c r="G58" s="109">
        <f t="shared" ca="1" si="12"/>
        <v>2628353.1433401834</v>
      </c>
      <c r="H58" s="109">
        <f t="shared" ca="1" si="12"/>
        <v>2431445.1886141906</v>
      </c>
      <c r="I58" s="109">
        <f t="shared" ca="1" si="12"/>
        <v>2248799.2586463885</v>
      </c>
      <c r="J58" s="109">
        <f t="shared" ca="1" si="12"/>
        <v>2080415.3534367776</v>
      </c>
      <c r="K58" s="109">
        <f t="shared" ca="1" si="12"/>
        <v>2052811.4345499561</v>
      </c>
      <c r="L58" s="109">
        <f t="shared" ca="1" si="12"/>
        <v>2052351.3692351757</v>
      </c>
      <c r="M58" s="109">
        <f t="shared" ca="1" si="12"/>
        <v>2052811.4345499561</v>
      </c>
      <c r="N58" s="109">
        <f t="shared" ca="1" si="12"/>
        <v>2052351.3692351757</v>
      </c>
      <c r="O58" s="109">
        <f t="shared" ca="1" si="12"/>
        <v>2052811.4345499561</v>
      </c>
      <c r="P58" s="109">
        <f t="shared" ca="1" si="12"/>
        <v>2052351.3692351757</v>
      </c>
      <c r="Q58" s="109">
        <f t="shared" ca="1" si="12"/>
        <v>2052811.4345499561</v>
      </c>
      <c r="R58" s="109">
        <f t="shared" ca="1" si="12"/>
        <v>2052351.3692351757</v>
      </c>
      <c r="S58" s="109">
        <f t="shared" ca="1" si="12"/>
        <v>2052811.4345499561</v>
      </c>
      <c r="T58" s="109">
        <f t="shared" ca="1" si="12"/>
        <v>2052351.3692351757</v>
      </c>
      <c r="U58" s="109">
        <f t="shared" ca="1" si="12"/>
        <v>2052811.4345499561</v>
      </c>
      <c r="V58" s="109">
        <f t="shared" ca="1" si="12"/>
        <v>2052351.3692351757</v>
      </c>
      <c r="W58" s="110">
        <f t="shared" ca="1" si="12"/>
        <v>1026405.7172749781</v>
      </c>
      <c r="X58" s="107">
        <f t="shared" ca="1" si="3"/>
        <v>46006531.47803577</v>
      </c>
    </row>
    <row r="59" spans="1:24" ht="15" customHeight="1" x14ac:dyDescent="0.25">
      <c r="A59" s="75">
        <f>IF('Cash Flow Analysis'!C75="","",'Cash Flow Analysis'!C75)</f>
        <v>8</v>
      </c>
      <c r="B59" s="1075">
        <f ca="1">IF(A59="","",IF(A59&lt;1,0,IF(A59=1,$B$44-'Cash Flow Analysis'!I75,-'Cash Flow Analysis'!I75)))</f>
        <v>46880655.576118447</v>
      </c>
      <c r="C59" s="108">
        <f t="shared" ref="C59:W59" ca="1" si="13">IF($B$59="","",IF(AND($B$42="Straight Line",C48&lt;=depr_length),$B$59/depr_length,IF(AND($B$42="MACRS",C48&lt;=depr_length+1),$B$59*INDEX(MACRS_Table,MATCH(C48,recovery_year,0),MATCH($B$43,recovery_period,0)),"")))</f>
        <v>1758024.5841044418</v>
      </c>
      <c r="D59" s="109">
        <f t="shared" ca="1" si="13"/>
        <v>3384314.5260399911</v>
      </c>
      <c r="E59" s="109">
        <f t="shared" ca="1" si="13"/>
        <v>3130221.3728174283</v>
      </c>
      <c r="F59" s="109">
        <f t="shared" ca="1" si="13"/>
        <v>2895818.0949368365</v>
      </c>
      <c r="G59" s="109">
        <f t="shared" ca="1" si="13"/>
        <v>2678291.8530636467</v>
      </c>
      <c r="H59" s="109">
        <f t="shared" ca="1" si="13"/>
        <v>2477642.6471978598</v>
      </c>
      <c r="I59" s="109">
        <f t="shared" ca="1" si="13"/>
        <v>2291526.4445606698</v>
      </c>
      <c r="J59" s="109">
        <f t="shared" ca="1" si="13"/>
        <v>2119943.2451520762</v>
      </c>
      <c r="K59" s="109">
        <f t="shared" ca="1" si="13"/>
        <v>2091814.851806405</v>
      </c>
      <c r="L59" s="109">
        <f t="shared" ca="1" si="13"/>
        <v>2091346.0452506437</v>
      </c>
      <c r="M59" s="109">
        <f t="shared" ca="1" si="13"/>
        <v>2091814.851806405</v>
      </c>
      <c r="N59" s="109">
        <f t="shared" ca="1" si="13"/>
        <v>2091346.0452506437</v>
      </c>
      <c r="O59" s="109">
        <f t="shared" ca="1" si="13"/>
        <v>2091814.851806405</v>
      </c>
      <c r="P59" s="109">
        <f t="shared" ca="1" si="13"/>
        <v>2091346.0452506437</v>
      </c>
      <c r="Q59" s="109">
        <f t="shared" ca="1" si="13"/>
        <v>2091814.851806405</v>
      </c>
      <c r="R59" s="109">
        <f t="shared" ca="1" si="13"/>
        <v>2091346.0452506437</v>
      </c>
      <c r="S59" s="109">
        <f t="shared" ca="1" si="13"/>
        <v>2091814.851806405</v>
      </c>
      <c r="T59" s="109">
        <f t="shared" ca="1" si="13"/>
        <v>2091346.0452506437</v>
      </c>
      <c r="U59" s="109">
        <f t="shared" ca="1" si="13"/>
        <v>2091814.851806405</v>
      </c>
      <c r="V59" s="109">
        <f t="shared" ca="1" si="13"/>
        <v>2091346.0452506437</v>
      </c>
      <c r="W59" s="110">
        <f t="shared" ca="1" si="13"/>
        <v>1045907.4259032025</v>
      </c>
      <c r="X59" s="107">
        <f t="shared" ca="1" si="3"/>
        <v>46880655.576118447</v>
      </c>
    </row>
    <row r="60" spans="1:24" ht="15" customHeight="1" x14ac:dyDescent="0.25">
      <c r="A60" s="75">
        <f>IF('Cash Flow Analysis'!C76="","",'Cash Flow Analysis'!C76)</f>
        <v>9</v>
      </c>
      <c r="B60" s="1075">
        <f ca="1">IF(A60="","",IF(A60&lt;1,0,IF(A60=1,$B$44-'Cash Flow Analysis'!I76,-'Cash Flow Analysis'!I76)))</f>
        <v>47771388.032064699</v>
      </c>
      <c r="C60" s="108">
        <f t="shared" ref="C60:W60" ca="1" si="14">IF($B$60="","",IF(AND($B$42="Straight Line",C48&lt;=depr_length),$B$60/depr_length,IF(AND($B$42="MACRS",C48&lt;=depr_length+1),$B$60*INDEX(MACRS_Table,MATCH(C48,recovery_year,0),MATCH($B$43,recovery_period,0)),"")))</f>
        <v>1791427.0512024262</v>
      </c>
      <c r="D60" s="109">
        <f t="shared" ca="1" si="14"/>
        <v>3448616.5020347508</v>
      </c>
      <c r="E60" s="109">
        <f t="shared" ca="1" si="14"/>
        <v>3189695.5789009598</v>
      </c>
      <c r="F60" s="109">
        <f t="shared" ca="1" si="14"/>
        <v>2950838.6387406364</v>
      </c>
      <c r="G60" s="109">
        <f t="shared" ca="1" si="14"/>
        <v>2729179.3982718564</v>
      </c>
      <c r="H60" s="109">
        <f t="shared" ca="1" si="14"/>
        <v>2524717.8574946192</v>
      </c>
      <c r="I60" s="109">
        <f t="shared" ca="1" si="14"/>
        <v>2335065.4470073227</v>
      </c>
      <c r="J60" s="109">
        <f t="shared" ca="1" si="14"/>
        <v>2160222.1668099659</v>
      </c>
      <c r="K60" s="109">
        <f t="shared" ca="1" si="14"/>
        <v>2131559.3339907266</v>
      </c>
      <c r="L60" s="109">
        <f t="shared" ca="1" si="14"/>
        <v>2131081.6201104061</v>
      </c>
      <c r="M60" s="109">
        <f t="shared" ca="1" si="14"/>
        <v>2131559.3339907266</v>
      </c>
      <c r="N60" s="109">
        <f t="shared" ca="1" si="14"/>
        <v>2131081.6201104061</v>
      </c>
      <c r="O60" s="109">
        <f t="shared" ca="1" si="14"/>
        <v>2131559.3339907266</v>
      </c>
      <c r="P60" s="109">
        <f t="shared" ca="1" si="14"/>
        <v>2131081.6201104061</v>
      </c>
      <c r="Q60" s="109">
        <f t="shared" ca="1" si="14"/>
        <v>2131559.3339907266</v>
      </c>
      <c r="R60" s="109">
        <f t="shared" ca="1" si="14"/>
        <v>2131081.6201104061</v>
      </c>
      <c r="S60" s="109">
        <f t="shared" ca="1" si="14"/>
        <v>2131559.3339907266</v>
      </c>
      <c r="T60" s="109">
        <f t="shared" ca="1" si="14"/>
        <v>2131081.6201104061</v>
      </c>
      <c r="U60" s="109">
        <f t="shared" ca="1" si="14"/>
        <v>2131559.3339907266</v>
      </c>
      <c r="V60" s="109">
        <f t="shared" ca="1" si="14"/>
        <v>2131081.6201104061</v>
      </c>
      <c r="W60" s="110">
        <f t="shared" ca="1" si="14"/>
        <v>1065779.6669953633</v>
      </c>
      <c r="X60" s="107">
        <f t="shared" ca="1" si="3"/>
        <v>47771388.032064691</v>
      </c>
    </row>
    <row r="61" spans="1:24" ht="15" customHeight="1" x14ac:dyDescent="0.25">
      <c r="A61" s="75">
        <f>IF('Cash Flow Analysis'!C77="","",'Cash Flow Analysis'!C77)</f>
        <v>10</v>
      </c>
      <c r="B61" s="1075">
        <f ca="1">IF(A61="","",IF(A61&lt;1,0,IF(A61=1,$B$44-'Cash Flow Analysis'!I77,-'Cash Flow Analysis'!I77)))</f>
        <v>48679044.404673919</v>
      </c>
      <c r="C61" s="108">
        <f t="shared" ref="C61:W61" ca="1" si="15">IF($B$61="","",IF(AND($B$42="Straight Line",C48&lt;=depr_length),$B$61/depr_length,IF(AND($B$42="MACRS",C48&lt;=depr_length+1),$B$61*INDEX(MACRS_Table,MATCH(C48,recovery_year,0),MATCH($B$43,recovery_period,0)),"")))</f>
        <v>1825464.1651752719</v>
      </c>
      <c r="D61" s="109">
        <f t="shared" ca="1" si="15"/>
        <v>3514140.2155734105</v>
      </c>
      <c r="E61" s="109">
        <f t="shared" ca="1" si="15"/>
        <v>3250299.7949000774</v>
      </c>
      <c r="F61" s="109">
        <f t="shared" ca="1" si="15"/>
        <v>3006904.5728767081</v>
      </c>
      <c r="G61" s="109">
        <f t="shared" ca="1" si="15"/>
        <v>2781033.8068390209</v>
      </c>
      <c r="H61" s="109">
        <f t="shared" ca="1" si="15"/>
        <v>2572687.4967870167</v>
      </c>
      <c r="I61" s="109">
        <f t="shared" ca="1" si="15"/>
        <v>2379431.690500461</v>
      </c>
      <c r="J61" s="109">
        <f t="shared" ca="1" si="15"/>
        <v>2201266.3879793547</v>
      </c>
      <c r="K61" s="109">
        <f t="shared" ca="1" si="15"/>
        <v>2172058.9613365503</v>
      </c>
      <c r="L61" s="109">
        <f t="shared" ca="1" si="15"/>
        <v>2171572.1708925036</v>
      </c>
      <c r="M61" s="109">
        <f t="shared" ca="1" si="15"/>
        <v>2172058.9613365503</v>
      </c>
      <c r="N61" s="109">
        <f t="shared" ca="1" si="15"/>
        <v>2171572.1708925036</v>
      </c>
      <c r="O61" s="109">
        <f t="shared" ca="1" si="15"/>
        <v>2172058.9613365503</v>
      </c>
      <c r="P61" s="109">
        <f t="shared" ca="1" si="15"/>
        <v>2171572.1708925036</v>
      </c>
      <c r="Q61" s="109">
        <f t="shared" ca="1" si="15"/>
        <v>2172058.9613365503</v>
      </c>
      <c r="R61" s="109">
        <f t="shared" ca="1" si="15"/>
        <v>2171572.1708925036</v>
      </c>
      <c r="S61" s="109">
        <f t="shared" ca="1" si="15"/>
        <v>2172058.9613365503</v>
      </c>
      <c r="T61" s="109">
        <f t="shared" ca="1" si="15"/>
        <v>2171572.1708925036</v>
      </c>
      <c r="U61" s="109">
        <f t="shared" ca="1" si="15"/>
        <v>2172058.9613365503</v>
      </c>
      <c r="V61" s="109">
        <f t="shared" ca="1" si="15"/>
        <v>2171572.1708925036</v>
      </c>
      <c r="W61" s="110">
        <f t="shared" ca="1" si="15"/>
        <v>1086029.4806682752</v>
      </c>
      <c r="X61" s="107">
        <f t="shared" ca="1" si="3"/>
        <v>48679044.404673934</v>
      </c>
    </row>
    <row r="62" spans="1:24" ht="15" customHeight="1" x14ac:dyDescent="0.25">
      <c r="A62" s="75">
        <f>IF('Cash Flow Analysis'!C78="","",'Cash Flow Analysis'!C78)</f>
        <v>11</v>
      </c>
      <c r="B62" s="1075">
        <f ca="1">IF(A62="","",IF(A62&lt;1,0,IF(A62=1,$B$44-'Cash Flow Analysis'!I78,-'Cash Flow Analysis'!I78)))</f>
        <v>49603946.248362727</v>
      </c>
      <c r="C62" s="108">
        <f t="shared" ref="C62:W62" ca="1" si="16">IF($B$62="","",IF(AND($B$42="Straight Line",C48&lt;=depr_length),$B$62/depr_length,IF(AND($B$42="MACRS",C48&lt;=depr_length+1),$B$62*INDEX(MACRS_Table,MATCH(C48,recovery_year,0),MATCH($B$43,recovery_period,0)),"")))</f>
        <v>1860147.9843136023</v>
      </c>
      <c r="D62" s="109">
        <f t="shared" ca="1" si="16"/>
        <v>3580908.8796693054</v>
      </c>
      <c r="E62" s="109">
        <f t="shared" ca="1" si="16"/>
        <v>3312055.491003179</v>
      </c>
      <c r="F62" s="109">
        <f t="shared" ca="1" si="16"/>
        <v>3064035.7597613656</v>
      </c>
      <c r="G62" s="109">
        <f t="shared" ca="1" si="16"/>
        <v>2833873.4491689624</v>
      </c>
      <c r="H62" s="109">
        <f t="shared" ca="1" si="16"/>
        <v>2621568.5592259704</v>
      </c>
      <c r="I62" s="109">
        <f t="shared" ca="1" si="16"/>
        <v>2424640.8926199703</v>
      </c>
      <c r="J62" s="109">
        <f t="shared" ca="1" si="16"/>
        <v>2243090.4493509629</v>
      </c>
      <c r="K62" s="109">
        <f t="shared" ca="1" si="16"/>
        <v>2213328.0816019448</v>
      </c>
      <c r="L62" s="109">
        <f t="shared" ca="1" si="16"/>
        <v>2212832.0421394613</v>
      </c>
      <c r="M62" s="109">
        <f t="shared" ca="1" si="16"/>
        <v>2213328.0816019448</v>
      </c>
      <c r="N62" s="109">
        <f t="shared" ca="1" si="16"/>
        <v>2212832.0421394613</v>
      </c>
      <c r="O62" s="109">
        <f t="shared" ca="1" si="16"/>
        <v>2213328.0816019448</v>
      </c>
      <c r="P62" s="109">
        <f t="shared" ca="1" si="16"/>
        <v>2212832.0421394613</v>
      </c>
      <c r="Q62" s="109">
        <f t="shared" ca="1" si="16"/>
        <v>2213328.0816019448</v>
      </c>
      <c r="R62" s="109">
        <f t="shared" ca="1" si="16"/>
        <v>2212832.0421394613</v>
      </c>
      <c r="S62" s="109">
        <f t="shared" ca="1" si="16"/>
        <v>2213328.0816019448</v>
      </c>
      <c r="T62" s="109">
        <f t="shared" ca="1" si="16"/>
        <v>2212832.0421394613</v>
      </c>
      <c r="U62" s="109">
        <f t="shared" ca="1" si="16"/>
        <v>2213328.0816019448</v>
      </c>
      <c r="V62" s="109">
        <f t="shared" ca="1" si="16"/>
        <v>2212832.0421394613</v>
      </c>
      <c r="W62" s="110">
        <f t="shared" ca="1" si="16"/>
        <v>1106664.0408009724</v>
      </c>
      <c r="X62" s="107">
        <f t="shared" ca="1" si="3"/>
        <v>49603946.248362735</v>
      </c>
    </row>
    <row r="63" spans="1:24" ht="15" customHeight="1" x14ac:dyDescent="0.25">
      <c r="A63" s="75">
        <f>IF('Cash Flow Analysis'!C79="","",'Cash Flow Analysis'!C79)</f>
        <v>12</v>
      </c>
      <c r="B63" s="1075">
        <f ca="1">IF(A63="","",IF(A63&lt;1,0,IF(A63=1,$B$44-'Cash Flow Analysis'!I79,-'Cash Flow Analysis'!I79)))</f>
        <v>50546421.227081619</v>
      </c>
      <c r="C63" s="108">
        <f t="shared" ref="C63:W63" ca="1" si="17">IF($B$63="","",IF(AND($B$42="Straight Line",C48&lt;=depr_length),$B$63/depr_length,IF(AND($B$42="MACRS",C48&lt;=depr_length+1),$B$63*INDEX(MACRS_Table,MATCH(C48,recovery_year,0),MATCH($B$43,recovery_period,0)),"")))</f>
        <v>1895490.7960155606</v>
      </c>
      <c r="D63" s="109">
        <f t="shared" ca="1" si="17"/>
        <v>3648946.1483830223</v>
      </c>
      <c r="E63" s="109">
        <f t="shared" ca="1" si="17"/>
        <v>3374984.5453322395</v>
      </c>
      <c r="F63" s="109">
        <f t="shared" ca="1" si="17"/>
        <v>3122252.4391968315</v>
      </c>
      <c r="G63" s="109">
        <f t="shared" ca="1" si="17"/>
        <v>2887717.044703173</v>
      </c>
      <c r="H63" s="109">
        <f t="shared" ca="1" si="17"/>
        <v>2671378.3618512638</v>
      </c>
      <c r="I63" s="109">
        <f t="shared" ca="1" si="17"/>
        <v>2470709.0695797494</v>
      </c>
      <c r="J63" s="109">
        <f t="shared" ca="1" si="17"/>
        <v>2285709.1678886311</v>
      </c>
      <c r="K63" s="109">
        <f t="shared" ca="1" si="17"/>
        <v>2255381.315152382</v>
      </c>
      <c r="L63" s="109">
        <f t="shared" ca="1" si="17"/>
        <v>2254875.8509401111</v>
      </c>
      <c r="M63" s="109">
        <f t="shared" ca="1" si="17"/>
        <v>2255381.315152382</v>
      </c>
      <c r="N63" s="109">
        <f t="shared" ca="1" si="17"/>
        <v>2254875.8509401111</v>
      </c>
      <c r="O63" s="109">
        <f t="shared" ca="1" si="17"/>
        <v>2255381.315152382</v>
      </c>
      <c r="P63" s="109">
        <f t="shared" ca="1" si="17"/>
        <v>2254875.8509401111</v>
      </c>
      <c r="Q63" s="109">
        <f t="shared" ca="1" si="17"/>
        <v>2255381.315152382</v>
      </c>
      <c r="R63" s="109">
        <f t="shared" ca="1" si="17"/>
        <v>2254875.8509401111</v>
      </c>
      <c r="S63" s="109">
        <f t="shared" ca="1" si="17"/>
        <v>2255381.315152382</v>
      </c>
      <c r="T63" s="109">
        <f t="shared" ca="1" si="17"/>
        <v>2254875.8509401111</v>
      </c>
      <c r="U63" s="109">
        <f t="shared" ca="1" si="17"/>
        <v>2255381.315152382</v>
      </c>
      <c r="V63" s="109">
        <f t="shared" ca="1" si="17"/>
        <v>2254875.8509401111</v>
      </c>
      <c r="W63" s="110">
        <f t="shared" ca="1" si="17"/>
        <v>1127690.657576191</v>
      </c>
      <c r="X63" s="107">
        <f t="shared" ca="1" si="3"/>
        <v>50546421.227081612</v>
      </c>
    </row>
    <row r="64" spans="1:24" ht="15" customHeight="1" x14ac:dyDescent="0.25">
      <c r="A64" s="75">
        <f>IF('Cash Flow Analysis'!C80="","",'Cash Flow Analysis'!C80)</f>
        <v>13</v>
      </c>
      <c r="B64" s="1075">
        <f ca="1">IF(A64="","",IF(A64&lt;1,0,IF(A64=1,$B$44-'Cash Flow Analysis'!I80,-'Cash Flow Analysis'!I80)))</f>
        <v>51506803.230396159</v>
      </c>
      <c r="C64" s="108">
        <f t="shared" ref="C64:W64" ca="1" si="18">IF($B$64="","",IF(AND($B$42="Straight Line",C48&lt;=depr_length),$B$64/depr_length,IF(AND($B$42="MACRS",C48&lt;=depr_length+1),$B$64*INDEX(MACRS_Table,MATCH(C48,recovery_year,0),MATCH($B$43,recovery_period,0)),"")))</f>
        <v>1931505.1211398558</v>
      </c>
      <c r="D64" s="109">
        <f t="shared" ca="1" si="18"/>
        <v>3718276.1252022991</v>
      </c>
      <c r="E64" s="109">
        <f t="shared" ca="1" si="18"/>
        <v>3439109.2516935514</v>
      </c>
      <c r="F64" s="109">
        <f t="shared" ca="1" si="18"/>
        <v>3181575.2355415705</v>
      </c>
      <c r="G64" s="109">
        <f t="shared" ca="1" si="18"/>
        <v>2942583.6685525328</v>
      </c>
      <c r="H64" s="109">
        <f t="shared" ca="1" si="18"/>
        <v>2722134.550726437</v>
      </c>
      <c r="I64" s="109">
        <f t="shared" ca="1" si="18"/>
        <v>2517652.5419017645</v>
      </c>
      <c r="J64" s="109">
        <f t="shared" ca="1" si="18"/>
        <v>2329137.6420785147</v>
      </c>
      <c r="K64" s="109">
        <f t="shared" ca="1" si="18"/>
        <v>2298233.5601402768</v>
      </c>
      <c r="L64" s="109">
        <f t="shared" ca="1" si="18"/>
        <v>2297718.4921079725</v>
      </c>
      <c r="M64" s="109">
        <f t="shared" ca="1" si="18"/>
        <v>2298233.5601402768</v>
      </c>
      <c r="N64" s="109">
        <f t="shared" ca="1" si="18"/>
        <v>2297718.4921079725</v>
      </c>
      <c r="O64" s="109">
        <f t="shared" ca="1" si="18"/>
        <v>2298233.5601402768</v>
      </c>
      <c r="P64" s="109">
        <f t="shared" ca="1" si="18"/>
        <v>2297718.4921079725</v>
      </c>
      <c r="Q64" s="109">
        <f t="shared" ca="1" si="18"/>
        <v>2298233.5601402768</v>
      </c>
      <c r="R64" s="109">
        <f t="shared" ca="1" si="18"/>
        <v>2297718.4921079725</v>
      </c>
      <c r="S64" s="109">
        <f t="shared" ca="1" si="18"/>
        <v>2298233.5601402768</v>
      </c>
      <c r="T64" s="109">
        <f t="shared" ca="1" si="18"/>
        <v>2297718.4921079725</v>
      </c>
      <c r="U64" s="109">
        <f t="shared" ca="1" si="18"/>
        <v>2298233.5601402768</v>
      </c>
      <c r="V64" s="109">
        <f t="shared" ca="1" si="18"/>
        <v>2297718.4921079725</v>
      </c>
      <c r="W64" s="110">
        <f t="shared" ca="1" si="18"/>
        <v>1149116.7800701384</v>
      </c>
      <c r="X64" s="107">
        <f t="shared" ca="1" si="3"/>
        <v>51506803.230396159</v>
      </c>
    </row>
    <row r="65" spans="1:24" ht="15" customHeight="1" x14ac:dyDescent="0.25">
      <c r="A65" s="75">
        <f>IF('Cash Flow Analysis'!C81="","",'Cash Flow Analysis'!C81)</f>
        <v>14</v>
      </c>
      <c r="B65" s="1075">
        <f ca="1">IF(A65="","",IF(A65&lt;1,0,IF(A65=1,$B$44-'Cash Flow Analysis'!I81,-'Cash Flow Analysis'!I81)))</f>
        <v>52485432.49177368</v>
      </c>
      <c r="C65" s="108">
        <f t="shared" ref="C65:W65" ca="1" si="19">IF($B$65="","",IF(AND($B$42="Straight Line",C48&lt;=depr_length),$B$65/depr_length,IF(AND($B$42="MACRS",C48&lt;=depr_length+1),$B$65*INDEX(MACRS_Table,MATCH(C48,recovery_year,0),MATCH($B$43,recovery_period,0)),"")))</f>
        <v>1968203.7184415129</v>
      </c>
      <c r="D65" s="109">
        <f t="shared" ca="1" si="19"/>
        <v>3788923.3715811423</v>
      </c>
      <c r="E65" s="109">
        <f t="shared" ca="1" si="19"/>
        <v>3504452.3274757285</v>
      </c>
      <c r="F65" s="109">
        <f t="shared" ca="1" si="19"/>
        <v>3242025.1650168602</v>
      </c>
      <c r="G65" s="109">
        <f t="shared" ca="1" si="19"/>
        <v>2998492.7582550305</v>
      </c>
      <c r="H65" s="109">
        <f t="shared" ca="1" si="19"/>
        <v>2773855.1071902392</v>
      </c>
      <c r="I65" s="109">
        <f t="shared" ca="1" si="19"/>
        <v>2565487.9401978976</v>
      </c>
      <c r="J65" s="109">
        <f t="shared" ca="1" si="19"/>
        <v>2373391.2572780061</v>
      </c>
      <c r="K65" s="109">
        <f t="shared" ca="1" si="19"/>
        <v>2341899.9977829414</v>
      </c>
      <c r="L65" s="109">
        <f t="shared" ca="1" si="19"/>
        <v>2341375.1434580237</v>
      </c>
      <c r="M65" s="109">
        <f t="shared" ca="1" si="19"/>
        <v>2341899.9977829414</v>
      </c>
      <c r="N65" s="109">
        <f t="shared" ca="1" si="19"/>
        <v>2341375.1434580237</v>
      </c>
      <c r="O65" s="109">
        <f t="shared" ca="1" si="19"/>
        <v>2341899.9977829414</v>
      </c>
      <c r="P65" s="109">
        <f t="shared" ca="1" si="19"/>
        <v>2341375.1434580237</v>
      </c>
      <c r="Q65" s="109">
        <f t="shared" ca="1" si="19"/>
        <v>2341899.9977829414</v>
      </c>
      <c r="R65" s="109">
        <f t="shared" ca="1" si="19"/>
        <v>2341375.1434580237</v>
      </c>
      <c r="S65" s="109">
        <f t="shared" ca="1" si="19"/>
        <v>2341899.9977829414</v>
      </c>
      <c r="T65" s="109">
        <f t="shared" ca="1" si="19"/>
        <v>2341375.1434580237</v>
      </c>
      <c r="U65" s="109">
        <f t="shared" ca="1" si="19"/>
        <v>2341899.9977829414</v>
      </c>
      <c r="V65" s="109">
        <f t="shared" ca="1" si="19"/>
        <v>2341375.1434580237</v>
      </c>
      <c r="W65" s="110">
        <f t="shared" ca="1" si="19"/>
        <v>1170949.9988914707</v>
      </c>
      <c r="X65" s="107">
        <f t="shared" ca="1" si="3"/>
        <v>52485432.491773672</v>
      </c>
    </row>
    <row r="66" spans="1:24" ht="15" customHeight="1" x14ac:dyDescent="0.25">
      <c r="A66" s="75">
        <f>IF('Cash Flow Analysis'!C82="","",'Cash Flow Analysis'!C82)</f>
        <v>15</v>
      </c>
      <c r="B66" s="1075">
        <f ca="1">IF(A66="","",IF(A66&lt;1,0,IF(A66=1,$B$44-'Cash Flow Analysis'!I82,-'Cash Flow Analysis'!I82)))</f>
        <v>53482655.70911739</v>
      </c>
      <c r="C66" s="108">
        <f t="shared" ref="C66:W66" ca="1" si="20">IF($B$66="","",IF(AND($B$42="Straight Line",C48&lt;=depr_length),$B$66/depr_length,IF(AND($B$42="MACRS",C48&lt;=depr_length+1),$B$66*INDEX(MACRS_Table,MATCH(C48,recovery_year,0),MATCH($B$43,recovery_period,0)),"")))</f>
        <v>2005599.5890919021</v>
      </c>
      <c r="D66" s="109">
        <f t="shared" ca="1" si="20"/>
        <v>3860912.9156411844</v>
      </c>
      <c r="E66" s="109">
        <f t="shared" ca="1" si="20"/>
        <v>3571036.9216977679</v>
      </c>
      <c r="F66" s="109">
        <f t="shared" ca="1" si="20"/>
        <v>3303623.6431521811</v>
      </c>
      <c r="G66" s="109">
        <f t="shared" ca="1" si="20"/>
        <v>3055464.1206618766</v>
      </c>
      <c r="H66" s="109">
        <f t="shared" ca="1" si="20"/>
        <v>2826558.3542268542</v>
      </c>
      <c r="I66" s="109">
        <f t="shared" ca="1" si="20"/>
        <v>2614232.2110616579</v>
      </c>
      <c r="J66" s="109">
        <f t="shared" ca="1" si="20"/>
        <v>2418485.6911662887</v>
      </c>
      <c r="K66" s="109">
        <f t="shared" ca="1" si="20"/>
        <v>2386396.0977408178</v>
      </c>
      <c r="L66" s="109">
        <f t="shared" ca="1" si="20"/>
        <v>2385861.2711837264</v>
      </c>
      <c r="M66" s="109">
        <f t="shared" ca="1" si="20"/>
        <v>2386396.0977408178</v>
      </c>
      <c r="N66" s="109">
        <f t="shared" ca="1" si="20"/>
        <v>2385861.2711837264</v>
      </c>
      <c r="O66" s="109">
        <f t="shared" ca="1" si="20"/>
        <v>2386396.0977408178</v>
      </c>
      <c r="P66" s="109">
        <f t="shared" ca="1" si="20"/>
        <v>2385861.2711837264</v>
      </c>
      <c r="Q66" s="109">
        <f t="shared" ca="1" si="20"/>
        <v>2386396.0977408178</v>
      </c>
      <c r="R66" s="109">
        <f t="shared" ca="1" si="20"/>
        <v>2385861.2711837264</v>
      </c>
      <c r="S66" s="109">
        <f t="shared" ca="1" si="20"/>
        <v>2386396.0977408178</v>
      </c>
      <c r="T66" s="109">
        <f t="shared" ca="1" si="20"/>
        <v>2385861.2711837264</v>
      </c>
      <c r="U66" s="109">
        <f t="shared" ca="1" si="20"/>
        <v>2386396.0977408178</v>
      </c>
      <c r="V66" s="109">
        <f t="shared" ca="1" si="20"/>
        <v>2385861.2711837264</v>
      </c>
      <c r="W66" s="110">
        <f t="shared" ca="1" si="20"/>
        <v>1193198.0488704089</v>
      </c>
      <c r="X66" s="107">
        <f t="shared" ca="1" si="3"/>
        <v>53482655.70911739</v>
      </c>
    </row>
    <row r="67" spans="1:24" ht="15" customHeight="1" x14ac:dyDescent="0.25">
      <c r="A67" s="75">
        <f>IF('Cash Flow Analysis'!C83="","",'Cash Flow Analysis'!C83)</f>
        <v>16</v>
      </c>
      <c r="B67" s="1075">
        <f ca="1">IF(A67="","",IF(A67&lt;1,0,IF(A67=1,$B$44-'Cash Flow Analysis'!I83,-'Cash Flow Analysis'!I83)))</f>
        <v>54498826.167590618</v>
      </c>
      <c r="C67" s="108">
        <f t="shared" ref="C67:W67" ca="1" si="21">IF($B$67="","",IF(AND($B$42="Straight Line",C48&lt;=depr_length),$B$67/depr_length,IF(AND($B$42="MACRS",C48&lt;=depr_length+1),$B$67*INDEX(MACRS_Table,MATCH(C48,recovery_year,0),MATCH($B$43,recovery_period,0)),"")))</f>
        <v>2043705.9812846482</v>
      </c>
      <c r="D67" s="109">
        <f t="shared" ca="1" si="21"/>
        <v>3934270.2610383672</v>
      </c>
      <c r="E67" s="109">
        <f t="shared" ca="1" si="21"/>
        <v>3638886.6232100255</v>
      </c>
      <c r="F67" s="109">
        <f t="shared" ca="1" si="21"/>
        <v>3366392.4923720723</v>
      </c>
      <c r="G67" s="109">
        <f t="shared" ca="1" si="21"/>
        <v>3113517.9389544521</v>
      </c>
      <c r="H67" s="109">
        <f t="shared" ca="1" si="21"/>
        <v>2880262.9629571643</v>
      </c>
      <c r="I67" s="109">
        <f t="shared" ca="1" si="21"/>
        <v>2663902.6230718293</v>
      </c>
      <c r="J67" s="109">
        <f t="shared" ca="1" si="21"/>
        <v>2464436.9192984481</v>
      </c>
      <c r="K67" s="109">
        <f t="shared" ca="1" si="21"/>
        <v>2431737.6235978934</v>
      </c>
      <c r="L67" s="109">
        <f t="shared" ca="1" si="21"/>
        <v>2431192.6353362175</v>
      </c>
      <c r="M67" s="109">
        <f t="shared" ca="1" si="21"/>
        <v>2431737.6235978934</v>
      </c>
      <c r="N67" s="109">
        <f t="shared" ca="1" si="21"/>
        <v>2431192.6353362175</v>
      </c>
      <c r="O67" s="109">
        <f t="shared" ca="1" si="21"/>
        <v>2431737.6235978934</v>
      </c>
      <c r="P67" s="109">
        <f t="shared" ca="1" si="21"/>
        <v>2431192.6353362175</v>
      </c>
      <c r="Q67" s="109">
        <f t="shared" ca="1" si="21"/>
        <v>2431737.6235978934</v>
      </c>
      <c r="R67" s="109">
        <f t="shared" ca="1" si="21"/>
        <v>2431192.6353362175</v>
      </c>
      <c r="S67" s="109">
        <f t="shared" ca="1" si="21"/>
        <v>2431737.6235978934</v>
      </c>
      <c r="T67" s="109">
        <f t="shared" ca="1" si="21"/>
        <v>2431192.6353362175</v>
      </c>
      <c r="U67" s="109">
        <f t="shared" ca="1" si="21"/>
        <v>2431737.6235978934</v>
      </c>
      <c r="V67" s="109">
        <f t="shared" ca="1" si="21"/>
        <v>2431192.6353362175</v>
      </c>
      <c r="W67" s="110">
        <f t="shared" ca="1" si="21"/>
        <v>1215868.8117989467</v>
      </c>
      <c r="X67" s="107">
        <f t="shared" ca="1" si="3"/>
        <v>54498826.167590618</v>
      </c>
    </row>
    <row r="68" spans="1:24" ht="15" customHeight="1" x14ac:dyDescent="0.25">
      <c r="A68" s="75">
        <f>IF('Cash Flow Analysis'!C84="","",'Cash Flow Analysis'!C84)</f>
        <v>17</v>
      </c>
      <c r="B68" s="1075">
        <f ca="1">IF(A68="","",IF(A68&lt;1,0,IF(A68=1,$B$44-'Cash Flow Analysis'!I84,-'Cash Flow Analysis'!I84)))</f>
        <v>55534303.864774838</v>
      </c>
      <c r="C68" s="108">
        <f t="shared" ref="C68:W68" ca="1" si="22">IF($B$68="","",IF(AND($B$42="Straight Line",C48&lt;=depr_length),$B$68/depr_length,IF(AND($B$42="MACRS",C48&lt;=depr_length+1),$B$68*INDEX(MACRS_Table,MATCH(C48,recovery_year,0),MATCH($B$43,recovery_period,0)),"")))</f>
        <v>2082536.3949290563</v>
      </c>
      <c r="D68" s="109">
        <f t="shared" ca="1" si="22"/>
        <v>4009021.3959980956</v>
      </c>
      <c r="E68" s="109">
        <f t="shared" ca="1" si="22"/>
        <v>3708025.4690510156</v>
      </c>
      <c r="F68" s="109">
        <f t="shared" ca="1" si="22"/>
        <v>3430353.9497271418</v>
      </c>
      <c r="G68" s="109">
        <f t="shared" ca="1" si="22"/>
        <v>3172674.7797945864</v>
      </c>
      <c r="H68" s="109">
        <f t="shared" ca="1" si="22"/>
        <v>2934987.9592533503</v>
      </c>
      <c r="I68" s="109">
        <f t="shared" ca="1" si="22"/>
        <v>2714516.772910194</v>
      </c>
      <c r="J68" s="109">
        <f t="shared" ca="1" si="22"/>
        <v>2511261.2207651185</v>
      </c>
      <c r="K68" s="109">
        <f t="shared" ca="1" si="22"/>
        <v>2477940.6384462533</v>
      </c>
      <c r="L68" s="109">
        <f t="shared" ca="1" si="22"/>
        <v>2477385.2954076054</v>
      </c>
      <c r="M68" s="109">
        <f t="shared" ca="1" si="22"/>
        <v>2477940.6384462533</v>
      </c>
      <c r="N68" s="109">
        <f t="shared" ca="1" si="22"/>
        <v>2477385.2954076054</v>
      </c>
      <c r="O68" s="109">
        <f t="shared" ca="1" si="22"/>
        <v>2477940.6384462533</v>
      </c>
      <c r="P68" s="109">
        <f t="shared" ca="1" si="22"/>
        <v>2477385.2954076054</v>
      </c>
      <c r="Q68" s="109">
        <f t="shared" ca="1" si="22"/>
        <v>2477940.6384462533</v>
      </c>
      <c r="R68" s="109">
        <f t="shared" ca="1" si="22"/>
        <v>2477385.2954076054</v>
      </c>
      <c r="S68" s="109">
        <f t="shared" ca="1" si="22"/>
        <v>2477940.6384462533</v>
      </c>
      <c r="T68" s="109">
        <f t="shared" ca="1" si="22"/>
        <v>2477385.2954076054</v>
      </c>
      <c r="U68" s="109">
        <f t="shared" ca="1" si="22"/>
        <v>2477940.6384462533</v>
      </c>
      <c r="V68" s="109">
        <f t="shared" ca="1" si="22"/>
        <v>2477385.2954076054</v>
      </c>
      <c r="W68" s="110">
        <f t="shared" ca="1" si="22"/>
        <v>1238970.3192231266</v>
      </c>
      <c r="X68" s="107">
        <f t="shared" ca="1" si="3"/>
        <v>55534303.86477486</v>
      </c>
    </row>
    <row r="69" spans="1:24" ht="15" customHeight="1" x14ac:dyDescent="0.25">
      <c r="A69" s="75">
        <f>IF('Cash Flow Analysis'!C85="","",'Cash Flow Analysis'!C85)</f>
        <v>18</v>
      </c>
      <c r="B69" s="1075">
        <f ca="1">IF(A69="","",IF(A69&lt;1,0,IF(A69=1,$B$44-'Cash Flow Analysis'!I85,-'Cash Flow Analysis'!I85)))</f>
        <v>56589455.638205558</v>
      </c>
      <c r="C69" s="108">
        <f t="shared" ref="C69:W69" ca="1" si="23">IF($B$69="","",IF(AND($B$42="Straight Line",C48&lt;=depr_length),$B$69/depr_length,IF(AND($B$42="MACRS",C48&lt;=depr_length+1),$B$69*INDEX(MACRS_Table,MATCH(C48,recovery_year,0),MATCH($B$43,recovery_period,0)),"")))</f>
        <v>2122104.5864327084</v>
      </c>
      <c r="D69" s="109">
        <f t="shared" ca="1" si="23"/>
        <v>4085192.8025220595</v>
      </c>
      <c r="E69" s="109">
        <f t="shared" ca="1" si="23"/>
        <v>3778477.9529629848</v>
      </c>
      <c r="F69" s="109">
        <f t="shared" ca="1" si="23"/>
        <v>3495530.6747719571</v>
      </c>
      <c r="G69" s="109">
        <f t="shared" ca="1" si="23"/>
        <v>3232955.6006106837</v>
      </c>
      <c r="H69" s="109">
        <f t="shared" ca="1" si="23"/>
        <v>2990752.7304791636</v>
      </c>
      <c r="I69" s="109">
        <f t="shared" ca="1" si="23"/>
        <v>2766092.5915954877</v>
      </c>
      <c r="J69" s="109">
        <f t="shared" ca="1" si="23"/>
        <v>2558975.1839596555</v>
      </c>
      <c r="K69" s="109">
        <f t="shared" ca="1" si="23"/>
        <v>2525021.510576732</v>
      </c>
      <c r="L69" s="109">
        <f t="shared" ca="1" si="23"/>
        <v>2524455.6160203498</v>
      </c>
      <c r="M69" s="109">
        <f t="shared" ca="1" si="23"/>
        <v>2525021.510576732</v>
      </c>
      <c r="N69" s="109">
        <f t="shared" ca="1" si="23"/>
        <v>2524455.6160203498</v>
      </c>
      <c r="O69" s="109">
        <f t="shared" ca="1" si="23"/>
        <v>2525021.510576732</v>
      </c>
      <c r="P69" s="109">
        <f t="shared" ca="1" si="23"/>
        <v>2524455.6160203498</v>
      </c>
      <c r="Q69" s="109">
        <f t="shared" ca="1" si="23"/>
        <v>2525021.510576732</v>
      </c>
      <c r="R69" s="109">
        <f t="shared" ca="1" si="23"/>
        <v>2524455.6160203498</v>
      </c>
      <c r="S69" s="109">
        <f t="shared" ca="1" si="23"/>
        <v>2525021.510576732</v>
      </c>
      <c r="T69" s="109">
        <f t="shared" ca="1" si="23"/>
        <v>2524455.6160203498</v>
      </c>
      <c r="U69" s="109">
        <f t="shared" ca="1" si="23"/>
        <v>2525021.510576732</v>
      </c>
      <c r="V69" s="109">
        <f t="shared" ca="1" si="23"/>
        <v>2524455.6160203498</v>
      </c>
      <c r="W69" s="110">
        <f t="shared" ca="1" si="23"/>
        <v>1262510.755288366</v>
      </c>
      <c r="X69" s="107">
        <f t="shared" ca="1" si="3"/>
        <v>56589455.638205566</v>
      </c>
    </row>
    <row r="70" spans="1:24" ht="15" customHeight="1" x14ac:dyDescent="0.25">
      <c r="A70" s="75">
        <f>IF('Cash Flow Analysis'!C86="","",'Cash Flow Analysis'!C86)</f>
        <v>19</v>
      </c>
      <c r="B70" s="1075">
        <f ca="1">IF(A70="","",IF(A70&lt;1,0,IF(A70=1,$B$44-'Cash Flow Analysis'!I86,-'Cash Flow Analysis'!I86)))</f>
        <v>57664655.295331456</v>
      </c>
      <c r="C70" s="108">
        <f t="shared" ref="C70:W70" ca="1" si="24">IF($B$70="","",IF(AND($B$42="Straight Line",C48&lt;=depr_length),$B$70/depr_length,IF(AND($B$42="MACRS",C48&lt;=depr_length+1),$B$70*INDEX(MACRS_Table,MATCH(C48,recovery_year,0),MATCH($B$43,recovery_period,0)),"")))</f>
        <v>2162424.5735749295</v>
      </c>
      <c r="D70" s="109">
        <f t="shared" ca="1" si="24"/>
        <v>4162811.4657699782</v>
      </c>
      <c r="E70" s="109">
        <f t="shared" ca="1" si="24"/>
        <v>3850269.0340692811</v>
      </c>
      <c r="F70" s="109">
        <f t="shared" ca="1" si="24"/>
        <v>3561945.7575926241</v>
      </c>
      <c r="G70" s="109">
        <f t="shared" ca="1" si="24"/>
        <v>3294381.7570222863</v>
      </c>
      <c r="H70" s="109">
        <f t="shared" ca="1" si="24"/>
        <v>3047577.0323582673</v>
      </c>
      <c r="I70" s="109">
        <f t="shared" ca="1" si="24"/>
        <v>2818648.3508358016</v>
      </c>
      <c r="J70" s="109">
        <f t="shared" ca="1" si="24"/>
        <v>2607595.7124548885</v>
      </c>
      <c r="K70" s="109">
        <f t="shared" ca="1" si="24"/>
        <v>2572996.9192776894</v>
      </c>
      <c r="L70" s="109">
        <f t="shared" ca="1" si="24"/>
        <v>2572420.272724736</v>
      </c>
      <c r="M70" s="109">
        <f t="shared" ca="1" si="24"/>
        <v>2572996.9192776894</v>
      </c>
      <c r="N70" s="109">
        <f t="shared" ca="1" si="24"/>
        <v>2572420.272724736</v>
      </c>
      <c r="O70" s="109">
        <f t="shared" ca="1" si="24"/>
        <v>2572996.9192776894</v>
      </c>
      <c r="P70" s="109">
        <f t="shared" ca="1" si="24"/>
        <v>2572420.272724736</v>
      </c>
      <c r="Q70" s="109">
        <f t="shared" ca="1" si="24"/>
        <v>2572996.9192776894</v>
      </c>
      <c r="R70" s="109">
        <f t="shared" ca="1" si="24"/>
        <v>2572420.272724736</v>
      </c>
      <c r="S70" s="109">
        <f t="shared" ca="1" si="24"/>
        <v>2572996.9192776894</v>
      </c>
      <c r="T70" s="109">
        <f t="shared" ca="1" si="24"/>
        <v>2572420.272724736</v>
      </c>
      <c r="U70" s="109">
        <f t="shared" ca="1" si="24"/>
        <v>2572996.9192776894</v>
      </c>
      <c r="V70" s="109">
        <f t="shared" ca="1" si="24"/>
        <v>2572420.272724736</v>
      </c>
      <c r="W70" s="110">
        <f t="shared" ca="1" si="24"/>
        <v>1286498.4596388447</v>
      </c>
      <c r="X70" s="107">
        <f t="shared" ca="1" si="3"/>
        <v>57664655.295331441</v>
      </c>
    </row>
    <row r="71" spans="1:24" ht="15" customHeight="1" x14ac:dyDescent="0.25">
      <c r="A71" s="75">
        <f>IF('Cash Flow Analysis'!C87="","",'Cash Flow Analysis'!C87)</f>
        <v>20</v>
      </c>
      <c r="B71" s="1075">
        <f ca="1">IF(A71="","",IF(A71&lt;1,0,IF(A71=1,$B$44-'Cash Flow Analysis'!I87,-'Cash Flow Analysis'!I87)))</f>
        <v>58760283.745942757</v>
      </c>
      <c r="C71" s="108">
        <f t="shared" ref="C71:W71" ca="1" si="25">IF($B$71="","",IF(AND($B$42="Straight Line",C48&lt;=depr_length),$B$71/depr_length,IF(AND($B$42="MACRS",C48&lt;=depr_length+1),$B$71*INDEX(MACRS_Table,MATCH(C48,recovery_year,0),MATCH($B$43,recovery_period,0)),"")))</f>
        <v>2203510.6404728531</v>
      </c>
      <c r="D71" s="109">
        <f t="shared" ca="1" si="25"/>
        <v>4241904.8836196074</v>
      </c>
      <c r="E71" s="109">
        <f t="shared" ca="1" si="25"/>
        <v>3923424.1457165978</v>
      </c>
      <c r="F71" s="109">
        <f t="shared" ca="1" si="25"/>
        <v>3629622.7269868841</v>
      </c>
      <c r="G71" s="109">
        <f t="shared" ca="1" si="25"/>
        <v>3356975.0104057095</v>
      </c>
      <c r="H71" s="109">
        <f t="shared" ca="1" si="25"/>
        <v>3105480.9959730748</v>
      </c>
      <c r="I71" s="109">
        <f t="shared" ca="1" si="25"/>
        <v>2872202.6695016818</v>
      </c>
      <c r="J71" s="109">
        <f t="shared" ca="1" si="25"/>
        <v>2657140.0309915314</v>
      </c>
      <c r="K71" s="109">
        <f t="shared" ca="1" si="25"/>
        <v>2621883.860743966</v>
      </c>
      <c r="L71" s="109">
        <f t="shared" ca="1" si="25"/>
        <v>2621296.2579065063</v>
      </c>
      <c r="M71" s="109">
        <f t="shared" ca="1" si="25"/>
        <v>2621883.860743966</v>
      </c>
      <c r="N71" s="109">
        <f t="shared" ca="1" si="25"/>
        <v>2621296.2579065063</v>
      </c>
      <c r="O71" s="109">
        <f t="shared" ca="1" si="25"/>
        <v>2621883.860743966</v>
      </c>
      <c r="P71" s="109">
        <f t="shared" ca="1" si="25"/>
        <v>2621296.2579065063</v>
      </c>
      <c r="Q71" s="109">
        <f t="shared" ca="1" si="25"/>
        <v>2621883.860743966</v>
      </c>
      <c r="R71" s="109">
        <f t="shared" ca="1" si="25"/>
        <v>2621296.2579065063</v>
      </c>
      <c r="S71" s="109">
        <f t="shared" ca="1" si="25"/>
        <v>2621883.860743966</v>
      </c>
      <c r="T71" s="109">
        <f t="shared" ca="1" si="25"/>
        <v>2621296.2579065063</v>
      </c>
      <c r="U71" s="109">
        <f t="shared" ca="1" si="25"/>
        <v>2621883.860743966</v>
      </c>
      <c r="V71" s="109">
        <f t="shared" ca="1" si="25"/>
        <v>2621296.2579065063</v>
      </c>
      <c r="W71" s="110">
        <f t="shared" ca="1" si="25"/>
        <v>1310941.930371983</v>
      </c>
      <c r="X71" s="107">
        <f t="shared" ca="1" si="3"/>
        <v>58760283.745942734</v>
      </c>
    </row>
    <row r="72" spans="1:24" ht="15" customHeight="1" x14ac:dyDescent="0.25">
      <c r="A72" s="75">
        <f>IF('Cash Flow Analysis'!C88="","",'Cash Flow Analysis'!C88)</f>
        <v>21</v>
      </c>
      <c r="B72" s="1075">
        <f ca="1">IF(A72="","",IF(A72&lt;1,0,IF(A72=1,$B$44-'Cash Flow Analysis'!I88,-'Cash Flow Analysis'!I88)))</f>
        <v>59876729.137115657</v>
      </c>
      <c r="C72" s="108">
        <f t="shared" ref="C72:W72" ca="1" si="26">IF($B$72="","",IF(AND($B$42="Straight Line",C48&lt;=depr_length),$B$72/depr_length,IF(AND($B$42="MACRS",C48&lt;=depr_length+1),$B$72*INDEX(MACRS_Table,MATCH(C48,recovery_year,0),MATCH($B$43,recovery_period,0)),"")))</f>
        <v>2245377.342641837</v>
      </c>
      <c r="D72" s="109">
        <f t="shared" ca="1" si="26"/>
        <v>4322501.0764083797</v>
      </c>
      <c r="E72" s="109">
        <f t="shared" ca="1" si="26"/>
        <v>3997969.204485212</v>
      </c>
      <c r="F72" s="109">
        <f t="shared" ca="1" si="26"/>
        <v>3698585.5587996342</v>
      </c>
      <c r="G72" s="109">
        <f t="shared" ca="1" si="26"/>
        <v>3420757.5356034175</v>
      </c>
      <c r="H72" s="109">
        <f t="shared" ca="1" si="26"/>
        <v>3164485.1348965624</v>
      </c>
      <c r="I72" s="109">
        <f t="shared" ca="1" si="26"/>
        <v>2926774.5202222131</v>
      </c>
      <c r="J72" s="109">
        <f t="shared" ca="1" si="26"/>
        <v>2707625.6915803701</v>
      </c>
      <c r="K72" s="109">
        <f t="shared" ca="1" si="26"/>
        <v>2671699.6540981005</v>
      </c>
      <c r="L72" s="109">
        <f t="shared" ca="1" si="26"/>
        <v>2671100.8868067292</v>
      </c>
      <c r="M72" s="109">
        <f t="shared" ca="1" si="26"/>
        <v>2671699.6540981005</v>
      </c>
      <c r="N72" s="109">
        <f t="shared" ca="1" si="26"/>
        <v>2671100.8868067292</v>
      </c>
      <c r="O72" s="109">
        <f t="shared" ca="1" si="26"/>
        <v>2671699.6540981005</v>
      </c>
      <c r="P72" s="109">
        <f t="shared" ca="1" si="26"/>
        <v>2671100.8868067292</v>
      </c>
      <c r="Q72" s="109">
        <f t="shared" ca="1" si="26"/>
        <v>2671699.6540981005</v>
      </c>
      <c r="R72" s="109">
        <f t="shared" ca="1" si="26"/>
        <v>2671100.8868067292</v>
      </c>
      <c r="S72" s="109">
        <f t="shared" ca="1" si="26"/>
        <v>2671699.6540981005</v>
      </c>
      <c r="T72" s="109">
        <f t="shared" ca="1" si="26"/>
        <v>2671100.8868067292</v>
      </c>
      <c r="U72" s="109">
        <f t="shared" ca="1" si="26"/>
        <v>2671699.6540981005</v>
      </c>
      <c r="V72" s="109">
        <f t="shared" ca="1" si="26"/>
        <v>2671100.8868067292</v>
      </c>
      <c r="W72" s="110">
        <f t="shared" ca="1" si="26"/>
        <v>1335849.8270490502</v>
      </c>
      <c r="X72" s="107">
        <f t="shared" ca="1" si="3"/>
        <v>59876729.137115635</v>
      </c>
    </row>
    <row r="73" spans="1:24" ht="15" customHeight="1" x14ac:dyDescent="0.25">
      <c r="A73" s="75">
        <f>IF('Cash Flow Analysis'!C89="","",'Cash Flow Analysis'!C89)</f>
        <v>22</v>
      </c>
      <c r="B73" s="1075">
        <f ca="1">IF(A73="","",IF(A73&lt;1,0,IF(A73=1,$B$44-'Cash Flow Analysis'!I89,-'Cash Flow Analysis'!I89)))</f>
        <v>61014386.990720853</v>
      </c>
      <c r="C73" s="108">
        <f t="shared" ref="C73:W73" ca="1" si="27">IF($B$73="","",IF(AND($B$42="Straight Line",C48&lt;=depr_length),$B$73/depr_length,IF(AND($B$42="MACRS",C48&lt;=depr_length+1),$B$73*INDEX(MACRS_Table,MATCH(C48,recovery_year,0),MATCH($B$43,recovery_period,0)),"")))</f>
        <v>2288039.512152032</v>
      </c>
      <c r="D73" s="109">
        <f t="shared" ca="1" si="27"/>
        <v>4404628.5968601387</v>
      </c>
      <c r="E73" s="109">
        <f t="shared" ca="1" si="27"/>
        <v>4073930.6193704312</v>
      </c>
      <c r="F73" s="109">
        <f t="shared" ca="1" si="27"/>
        <v>3768858.6844168268</v>
      </c>
      <c r="G73" s="109">
        <f t="shared" ca="1" si="27"/>
        <v>3485751.9287798824</v>
      </c>
      <c r="H73" s="109">
        <f t="shared" ca="1" si="27"/>
        <v>3224610.3524595969</v>
      </c>
      <c r="I73" s="109">
        <f t="shared" ca="1" si="27"/>
        <v>2982383.2361064353</v>
      </c>
      <c r="J73" s="109">
        <f t="shared" ca="1" si="27"/>
        <v>2759070.579720397</v>
      </c>
      <c r="K73" s="109">
        <f t="shared" ca="1" si="27"/>
        <v>2722461.9475259646</v>
      </c>
      <c r="L73" s="109">
        <f t="shared" ca="1" si="27"/>
        <v>2721851.803656057</v>
      </c>
      <c r="M73" s="109">
        <f t="shared" ca="1" si="27"/>
        <v>2722461.9475259646</v>
      </c>
      <c r="N73" s="109">
        <f t="shared" ca="1" si="27"/>
        <v>2721851.803656057</v>
      </c>
      <c r="O73" s="109">
        <f t="shared" ca="1" si="27"/>
        <v>2722461.9475259646</v>
      </c>
      <c r="P73" s="109">
        <f t="shared" ca="1" si="27"/>
        <v>2721851.803656057</v>
      </c>
      <c r="Q73" s="109">
        <f t="shared" ca="1" si="27"/>
        <v>2722461.9475259646</v>
      </c>
      <c r="R73" s="109">
        <f t="shared" ca="1" si="27"/>
        <v>2721851.803656057</v>
      </c>
      <c r="S73" s="109">
        <f t="shared" ca="1" si="27"/>
        <v>2722461.9475259646</v>
      </c>
      <c r="T73" s="109">
        <f t="shared" ca="1" si="27"/>
        <v>2721851.803656057</v>
      </c>
      <c r="U73" s="109">
        <f t="shared" ca="1" si="27"/>
        <v>2722461.9475259646</v>
      </c>
      <c r="V73" s="109">
        <f t="shared" ca="1" si="27"/>
        <v>2721851.803656057</v>
      </c>
      <c r="W73" s="110">
        <f t="shared" ca="1" si="27"/>
        <v>1361230.9737629823</v>
      </c>
      <c r="X73" s="107">
        <f t="shared" ca="1" si="3"/>
        <v>61014386.990720846</v>
      </c>
    </row>
    <row r="74" spans="1:24" ht="15" customHeight="1" x14ac:dyDescent="0.25">
      <c r="A74" s="75">
        <f>IF('Cash Flow Analysis'!C90="","",'Cash Flow Analysis'!C90)</f>
        <v>23</v>
      </c>
      <c r="B74" s="1075">
        <f ca="1">IF(A74="","",IF(A74&lt;1,0,IF(A74=1,$B$44-'Cash Flow Analysis'!I90,-'Cash Flow Analysis'!I90)))</f>
        <v>62173660.343544558</v>
      </c>
      <c r="C74" s="108">
        <f t="shared" ref="C74:W74" ca="1" si="28">IF($B$74="","",IF(AND($B$42="Straight Line",C48&lt;=depr_length),$B$74/depr_length,IF(AND($B$42="MACRS",C48&lt;=depr_length+1),$B$74*INDEX(MACRS_Table,MATCH(C48,recovery_year,0),MATCH($B$43,recovery_period,0)),"")))</f>
        <v>2331512.2628829209</v>
      </c>
      <c r="D74" s="109">
        <f t="shared" ca="1" si="28"/>
        <v>4488316.5402004821</v>
      </c>
      <c r="E74" s="109">
        <f t="shared" ca="1" si="28"/>
        <v>4151335.3011384699</v>
      </c>
      <c r="F74" s="109">
        <f t="shared" ca="1" si="28"/>
        <v>3840466.9994207472</v>
      </c>
      <c r="G74" s="109">
        <f t="shared" ca="1" si="28"/>
        <v>3551981.2154267007</v>
      </c>
      <c r="H74" s="109">
        <f t="shared" ca="1" si="28"/>
        <v>3285877.94915633</v>
      </c>
      <c r="I74" s="109">
        <f t="shared" ca="1" si="28"/>
        <v>3039048.5175924581</v>
      </c>
      <c r="J74" s="109">
        <f t="shared" ca="1" si="28"/>
        <v>2811492.9207350849</v>
      </c>
      <c r="K74" s="109">
        <f t="shared" ca="1" si="28"/>
        <v>2774188.7245289581</v>
      </c>
      <c r="L74" s="109">
        <f t="shared" ca="1" si="28"/>
        <v>2773566.9879255225</v>
      </c>
      <c r="M74" s="109">
        <f t="shared" ca="1" si="28"/>
        <v>2774188.7245289581</v>
      </c>
      <c r="N74" s="109">
        <f t="shared" ca="1" si="28"/>
        <v>2773566.9879255225</v>
      </c>
      <c r="O74" s="109">
        <f t="shared" ca="1" si="28"/>
        <v>2774188.7245289581</v>
      </c>
      <c r="P74" s="109">
        <f t="shared" ca="1" si="28"/>
        <v>2773566.9879255225</v>
      </c>
      <c r="Q74" s="109">
        <f t="shared" ca="1" si="28"/>
        <v>2774188.7245289581</v>
      </c>
      <c r="R74" s="109">
        <f t="shared" ca="1" si="28"/>
        <v>2773566.9879255225</v>
      </c>
      <c r="S74" s="109">
        <f t="shared" ca="1" si="28"/>
        <v>2774188.7245289581</v>
      </c>
      <c r="T74" s="109">
        <f t="shared" ca="1" si="28"/>
        <v>2773566.9879255225</v>
      </c>
      <c r="U74" s="109">
        <f t="shared" ca="1" si="28"/>
        <v>2774188.7245289581</v>
      </c>
      <c r="V74" s="109">
        <f t="shared" ca="1" si="28"/>
        <v>2773566.9879255225</v>
      </c>
      <c r="W74" s="110">
        <f t="shared" ca="1" si="28"/>
        <v>1387094.362264479</v>
      </c>
      <c r="X74" s="107">
        <f t="shared" ca="1" si="3"/>
        <v>62173660.343544558</v>
      </c>
    </row>
    <row r="75" spans="1:24" ht="15" customHeight="1" x14ac:dyDescent="0.25">
      <c r="A75" s="75">
        <f>IF('Cash Flow Analysis'!C91="","",'Cash Flow Analysis'!C91)</f>
        <v>24</v>
      </c>
      <c r="B75" s="1075">
        <f ca="1">IF(A75="","",IF(A75&lt;1,0,IF(A75=1,$B$44-'Cash Flow Analysis'!I91,-'Cash Flow Analysis'!I91)))</f>
        <v>63354959.890071891</v>
      </c>
      <c r="C75" s="108">
        <f t="shared" ref="C75:W75" ca="1" si="29">IF($B$75="","",IF(AND($B$42="Straight Line",C48&lt;=depr_length),$B$75/depr_length,IF(AND($B$42="MACRS",C48&lt;=depr_length+1),$B$75*INDEX(MACRS_Table,MATCH(C48,recovery_year,0),MATCH($B$43,recovery_period,0)),"")))</f>
        <v>2375810.9958776957</v>
      </c>
      <c r="D75" s="109">
        <f t="shared" ca="1" si="29"/>
        <v>4573594.5544642899</v>
      </c>
      <c r="E75" s="109">
        <f t="shared" ca="1" si="29"/>
        <v>4230210.6718600998</v>
      </c>
      <c r="F75" s="109">
        <f t="shared" ca="1" si="29"/>
        <v>3913435.8724097405</v>
      </c>
      <c r="G75" s="109">
        <f t="shared" ca="1" si="29"/>
        <v>3619468.858519807</v>
      </c>
      <c r="H75" s="109">
        <f t="shared" ca="1" si="29"/>
        <v>3348309.6301902994</v>
      </c>
      <c r="I75" s="109">
        <f t="shared" ca="1" si="29"/>
        <v>3096790.4394267141</v>
      </c>
      <c r="J75" s="109">
        <f t="shared" ca="1" si="29"/>
        <v>2864911.2862290512</v>
      </c>
      <c r="K75" s="109">
        <f t="shared" ca="1" si="29"/>
        <v>2826898.3102950077</v>
      </c>
      <c r="L75" s="109">
        <f t="shared" ca="1" si="29"/>
        <v>2826264.7606961071</v>
      </c>
      <c r="M75" s="109">
        <f t="shared" ca="1" si="29"/>
        <v>2826898.3102950077</v>
      </c>
      <c r="N75" s="109">
        <f t="shared" ca="1" si="29"/>
        <v>2826264.7606961071</v>
      </c>
      <c r="O75" s="109">
        <f t="shared" ca="1" si="29"/>
        <v>2826898.3102950077</v>
      </c>
      <c r="P75" s="109">
        <f t="shared" ca="1" si="29"/>
        <v>2826264.7606961071</v>
      </c>
      <c r="Q75" s="109">
        <f t="shared" ca="1" si="29"/>
        <v>2826898.3102950077</v>
      </c>
      <c r="R75" s="109">
        <f t="shared" ca="1" si="29"/>
        <v>2826264.7606961071</v>
      </c>
      <c r="S75" s="109">
        <f t="shared" ca="1" si="29"/>
        <v>2826898.3102950077</v>
      </c>
      <c r="T75" s="109">
        <f t="shared" ca="1" si="29"/>
        <v>2826264.7606961071</v>
      </c>
      <c r="U75" s="109">
        <f t="shared" ca="1" si="29"/>
        <v>2826898.3102950077</v>
      </c>
      <c r="V75" s="109">
        <f t="shared" ca="1" si="29"/>
        <v>2826264.7606961071</v>
      </c>
      <c r="W75" s="110">
        <f t="shared" ca="1" si="29"/>
        <v>1413449.1551475038</v>
      </c>
      <c r="X75" s="107">
        <f t="shared" ca="1" si="3"/>
        <v>63354959.890071876</v>
      </c>
    </row>
    <row r="76" spans="1:24" ht="15" customHeight="1" x14ac:dyDescent="0.25">
      <c r="A76" s="75">
        <f>IF('Cash Flow Analysis'!C92="","",'Cash Flow Analysis'!C92)</f>
        <v>25</v>
      </c>
      <c r="B76" s="1075">
        <f ca="1">IF(A76="","",IF(A76&lt;1,0,IF(A76=1,$B$44-'Cash Flow Analysis'!I92,-'Cash Flow Analysis'!I92)))</f>
        <v>64558704.127983265</v>
      </c>
      <c r="C76" s="108">
        <f t="shared" ref="C76:W76" ca="1" si="30">IF($B$76="","",IF(AND($B$42="Straight Line",C48&lt;=depr_length),$B$76/depr_length,IF(AND($B$42="MACRS",C48&lt;=depr_length+1),$B$76*INDEX(MACRS_Table,MATCH(C48,recovery_year,0),MATCH($B$43,recovery_period,0)),"")))</f>
        <v>2420951.4047993724</v>
      </c>
      <c r="D76" s="109">
        <f t="shared" ca="1" si="30"/>
        <v>4660492.8509991122</v>
      </c>
      <c r="E76" s="109">
        <f t="shared" ca="1" si="30"/>
        <v>4310584.6746254424</v>
      </c>
      <c r="F76" s="109">
        <f t="shared" ca="1" si="30"/>
        <v>3987791.1539855259</v>
      </c>
      <c r="G76" s="109">
        <f t="shared" ca="1" si="30"/>
        <v>3688238.7668316839</v>
      </c>
      <c r="H76" s="109">
        <f t="shared" ca="1" si="30"/>
        <v>3411927.5131639158</v>
      </c>
      <c r="I76" s="109">
        <f t="shared" ca="1" si="30"/>
        <v>3155629.4577758219</v>
      </c>
      <c r="J76" s="109">
        <f t="shared" ca="1" si="30"/>
        <v>2919344.6006674035</v>
      </c>
      <c r="K76" s="109">
        <f t="shared" ca="1" si="30"/>
        <v>2880609.3781906134</v>
      </c>
      <c r="L76" s="109">
        <f t="shared" ca="1" si="30"/>
        <v>2879963.7911493331</v>
      </c>
      <c r="M76" s="109">
        <f t="shared" ca="1" si="30"/>
        <v>2880609.3781906134</v>
      </c>
      <c r="N76" s="109">
        <f t="shared" ca="1" si="30"/>
        <v>2879963.7911493331</v>
      </c>
      <c r="O76" s="109">
        <f t="shared" ca="1" si="30"/>
        <v>2880609.3781906134</v>
      </c>
      <c r="P76" s="109">
        <f t="shared" ca="1" si="30"/>
        <v>2879963.7911493331</v>
      </c>
      <c r="Q76" s="109">
        <f t="shared" ca="1" si="30"/>
        <v>2880609.3781906134</v>
      </c>
      <c r="R76" s="109">
        <f t="shared" ca="1" si="30"/>
        <v>2879963.7911493331</v>
      </c>
      <c r="S76" s="109">
        <f t="shared" ca="1" si="30"/>
        <v>2880609.3781906134</v>
      </c>
      <c r="T76" s="109">
        <f t="shared" ca="1" si="30"/>
        <v>2879963.7911493331</v>
      </c>
      <c r="U76" s="109">
        <f t="shared" ca="1" si="30"/>
        <v>2880609.3781906134</v>
      </c>
      <c r="V76" s="109">
        <f t="shared" ca="1" si="30"/>
        <v>2879963.7911493331</v>
      </c>
      <c r="W76" s="110">
        <f t="shared" ca="1" si="30"/>
        <v>1440304.6890953067</v>
      </c>
      <c r="X76" s="107">
        <f t="shared" ca="1" si="3"/>
        <v>64558704.127983265</v>
      </c>
    </row>
    <row r="77" spans="1:24" ht="15" customHeight="1" x14ac:dyDescent="0.25">
      <c r="A77" s="75">
        <f>IF('Cash Flow Analysis'!C93="","",'Cash Flow Analysis'!C93)</f>
        <v>26</v>
      </c>
      <c r="B77" s="1075">
        <f ca="1">IF(A77="","",IF(A77&lt;1,0,IF(A77=1,$B$44-'Cash Flow Analysis'!I93,-'Cash Flow Analysis'!I93)))</f>
        <v>65785319.506414935</v>
      </c>
      <c r="C77" s="108">
        <f t="shared" ref="C77:W77" ca="1" si="31">IF($B$77="","",IF(AND($B$42="Straight Line",C48&lt;=depr_length),$B$77/depr_length,IF(AND($B$42="MACRS",C48&lt;=depr_length+1),$B$77*INDEX(MACRS_Table,MATCH(C48,recovery_year,0),MATCH($B$43,recovery_period,0)),"")))</f>
        <v>2466949.4814905599</v>
      </c>
      <c r="D77" s="109">
        <f t="shared" ca="1" si="31"/>
        <v>4749042.2151680943</v>
      </c>
      <c r="E77" s="109">
        <f t="shared" ca="1" si="31"/>
        <v>4392485.7834433252</v>
      </c>
      <c r="F77" s="109">
        <f t="shared" ca="1" si="31"/>
        <v>4063559.1859112503</v>
      </c>
      <c r="G77" s="109">
        <f t="shared" ca="1" si="31"/>
        <v>3758315.3034014851</v>
      </c>
      <c r="H77" s="109">
        <f t="shared" ca="1" si="31"/>
        <v>3476754.1359140296</v>
      </c>
      <c r="I77" s="109">
        <f t="shared" ca="1" si="31"/>
        <v>3215586.4174735621</v>
      </c>
      <c r="J77" s="109">
        <f t="shared" ca="1" si="31"/>
        <v>2974812.1480800835</v>
      </c>
      <c r="K77" s="109">
        <f t="shared" ca="1" si="31"/>
        <v>2935340.9563762345</v>
      </c>
      <c r="L77" s="109">
        <f t="shared" ca="1" si="31"/>
        <v>2934683.1031811698</v>
      </c>
      <c r="M77" s="109">
        <f t="shared" ca="1" si="31"/>
        <v>2935340.9563762345</v>
      </c>
      <c r="N77" s="109">
        <f t="shared" ca="1" si="31"/>
        <v>2934683.1031811698</v>
      </c>
      <c r="O77" s="109">
        <f t="shared" ca="1" si="31"/>
        <v>2935340.9563762345</v>
      </c>
      <c r="P77" s="109">
        <f t="shared" ca="1" si="31"/>
        <v>2934683.1031811698</v>
      </c>
      <c r="Q77" s="109">
        <f t="shared" ca="1" si="31"/>
        <v>2935340.9563762345</v>
      </c>
      <c r="R77" s="109">
        <f t="shared" ca="1" si="31"/>
        <v>2934683.1031811698</v>
      </c>
      <c r="S77" s="109">
        <f t="shared" ca="1" si="31"/>
        <v>2935340.9563762345</v>
      </c>
      <c r="T77" s="109">
        <f t="shared" ca="1" si="31"/>
        <v>2934683.1031811698</v>
      </c>
      <c r="U77" s="109">
        <f t="shared" ca="1" si="31"/>
        <v>2935340.9563762345</v>
      </c>
      <c r="V77" s="109">
        <f t="shared" ca="1" si="31"/>
        <v>2934683.1031811698</v>
      </c>
      <c r="W77" s="110">
        <f t="shared" ca="1" si="31"/>
        <v>1467670.4781881173</v>
      </c>
      <c r="X77" s="107">
        <f t="shared" ca="1" si="3"/>
        <v>65785319.50641492</v>
      </c>
    </row>
    <row r="78" spans="1:24" ht="15" customHeight="1" x14ac:dyDescent="0.25">
      <c r="A78" s="75">
        <f>IF('Cash Flow Analysis'!C94="","",'Cash Flow Analysis'!C94)</f>
        <v>27</v>
      </c>
      <c r="B78" s="1075">
        <f ca="1">IF(A78="","",IF(A78&lt;1,0,IF(A78=1,$B$44-'Cash Flow Analysis'!I94,-'Cash Flow Analysis'!I94)))</f>
        <v>67035240.57703682</v>
      </c>
      <c r="C78" s="108">
        <f t="shared" ref="C78:W78" ca="1" si="32">IF($B$78="","",IF(AND($B$42="Straight Line",C48&lt;=depr_length),$B$78/depr_length,IF(AND($B$42="MACRS",C48&lt;=depr_length+1),$B$78*INDEX(MACRS_Table,MATCH(C48,recovery_year,0),MATCH($B$43,recovery_period,0)),"")))</f>
        <v>2513821.5216388805</v>
      </c>
      <c r="D78" s="109">
        <f t="shared" ca="1" si="32"/>
        <v>4839274.0172562888</v>
      </c>
      <c r="E78" s="109">
        <f t="shared" ca="1" si="32"/>
        <v>4475943.0133287478</v>
      </c>
      <c r="F78" s="109">
        <f t="shared" ca="1" si="32"/>
        <v>4140766.8104435643</v>
      </c>
      <c r="G78" s="109">
        <f t="shared" ca="1" si="32"/>
        <v>3829723.2941661137</v>
      </c>
      <c r="H78" s="109">
        <f t="shared" ca="1" si="32"/>
        <v>3542812.464496396</v>
      </c>
      <c r="I78" s="109">
        <f t="shared" ca="1" si="32"/>
        <v>3276682.5594055597</v>
      </c>
      <c r="J78" s="109">
        <f t="shared" ca="1" si="32"/>
        <v>3031333.5788936052</v>
      </c>
      <c r="K78" s="109">
        <f t="shared" ca="1" si="32"/>
        <v>2991112.4345473829</v>
      </c>
      <c r="L78" s="109">
        <f t="shared" ca="1" si="32"/>
        <v>2990442.0821416122</v>
      </c>
      <c r="M78" s="109">
        <f t="shared" ca="1" si="32"/>
        <v>2991112.4345473829</v>
      </c>
      <c r="N78" s="109">
        <f t="shared" ca="1" si="32"/>
        <v>2990442.0821416122</v>
      </c>
      <c r="O78" s="109">
        <f t="shared" ca="1" si="32"/>
        <v>2991112.4345473829</v>
      </c>
      <c r="P78" s="109">
        <f t="shared" ca="1" si="32"/>
        <v>2990442.0821416122</v>
      </c>
      <c r="Q78" s="109">
        <f t="shared" ca="1" si="32"/>
        <v>2991112.4345473829</v>
      </c>
      <c r="R78" s="109">
        <f t="shared" ca="1" si="32"/>
        <v>2990442.0821416122</v>
      </c>
      <c r="S78" s="109">
        <f t="shared" ca="1" si="32"/>
        <v>2991112.4345473829</v>
      </c>
      <c r="T78" s="109">
        <f t="shared" ca="1" si="32"/>
        <v>2990442.0821416122</v>
      </c>
      <c r="U78" s="109">
        <f t="shared" ca="1" si="32"/>
        <v>2991112.4345473829</v>
      </c>
      <c r="V78" s="109">
        <f t="shared" ca="1" si="32"/>
        <v>2990442.0821416122</v>
      </c>
      <c r="W78" s="110">
        <f t="shared" ca="1" si="32"/>
        <v>1495556.2172736914</v>
      </c>
      <c r="X78" s="107">
        <f t="shared" ca="1" si="3"/>
        <v>67035240.57703682</v>
      </c>
    </row>
    <row r="79" spans="1:24" ht="15" customHeight="1" x14ac:dyDescent="0.25">
      <c r="A79" s="75">
        <f>IF('Cash Flow Analysis'!C95="","",'Cash Flow Analysis'!C95)</f>
        <v>28</v>
      </c>
      <c r="B79" s="1075">
        <f ca="1">IF(A79="","",IF(A79&lt;1,0,IF(A79=1,$B$44-'Cash Flow Analysis'!I95,-'Cash Flow Analysis'!I95)))</f>
        <v>68308910.148000523</v>
      </c>
      <c r="C79" s="108">
        <f t="shared" ref="C79:W79" ca="1" si="33">IF($B$79="","",IF(AND($B$42="Straight Line",C48&lt;=depr_length),$B$79/depr_length,IF(AND($B$42="MACRS",C48&lt;=depr_length+1),$B$79*INDEX(MACRS_Table,MATCH(C48,recovery_year,0),MATCH($B$43,recovery_period,0)),"")))</f>
        <v>2561584.1305500194</v>
      </c>
      <c r="D79" s="109">
        <f t="shared" ca="1" si="33"/>
        <v>4931220.2235841583</v>
      </c>
      <c r="E79" s="109">
        <f t="shared" ca="1" si="33"/>
        <v>4560985.9305819944</v>
      </c>
      <c r="F79" s="109">
        <f t="shared" ca="1" si="33"/>
        <v>4219441.3798419926</v>
      </c>
      <c r="G79" s="109">
        <f t="shared" ca="1" si="33"/>
        <v>3902488.0367552699</v>
      </c>
      <c r="H79" s="109">
        <f t="shared" ca="1" si="33"/>
        <v>3610125.9013218279</v>
      </c>
      <c r="I79" s="109">
        <f t="shared" ca="1" si="33"/>
        <v>3338939.5280342656</v>
      </c>
      <c r="J79" s="109">
        <f t="shared" ca="1" si="33"/>
        <v>3088928.9168925839</v>
      </c>
      <c r="K79" s="109">
        <f t="shared" ca="1" si="33"/>
        <v>3047943.5708037834</v>
      </c>
      <c r="L79" s="109">
        <f t="shared" ca="1" si="33"/>
        <v>3047260.481702303</v>
      </c>
      <c r="M79" s="109">
        <f t="shared" ca="1" si="33"/>
        <v>3047943.5708037834</v>
      </c>
      <c r="N79" s="109">
        <f t="shared" ca="1" si="33"/>
        <v>3047260.481702303</v>
      </c>
      <c r="O79" s="109">
        <f t="shared" ca="1" si="33"/>
        <v>3047943.5708037834</v>
      </c>
      <c r="P79" s="109">
        <f t="shared" ca="1" si="33"/>
        <v>3047260.481702303</v>
      </c>
      <c r="Q79" s="109">
        <f t="shared" ca="1" si="33"/>
        <v>3047943.5708037834</v>
      </c>
      <c r="R79" s="109">
        <f t="shared" ca="1" si="33"/>
        <v>3047260.481702303</v>
      </c>
      <c r="S79" s="109">
        <f t="shared" ca="1" si="33"/>
        <v>3047943.5708037834</v>
      </c>
      <c r="T79" s="109">
        <f t="shared" ca="1" si="33"/>
        <v>3047260.481702303</v>
      </c>
      <c r="U79" s="109">
        <f t="shared" ca="1" si="33"/>
        <v>3047943.5708037834</v>
      </c>
      <c r="V79" s="109">
        <f t="shared" ca="1" si="33"/>
        <v>3047260.481702303</v>
      </c>
      <c r="W79" s="110">
        <f t="shared" ca="1" si="33"/>
        <v>1523971.7854018917</v>
      </c>
      <c r="X79" s="107">
        <f t="shared" ca="1" si="3"/>
        <v>68308910.148000538</v>
      </c>
    </row>
    <row r="80" spans="1:24" ht="15" customHeight="1" x14ac:dyDescent="0.25">
      <c r="A80" s="75">
        <f>IF('Cash Flow Analysis'!C96="","",'Cash Flow Analysis'!C96)</f>
        <v>29</v>
      </c>
      <c r="B80" s="1075">
        <f ca="1">IF(A80="","",IF(A80&lt;1,0,IF(A80=1,$B$44-'Cash Flow Analysis'!I96,-'Cash Flow Analysis'!I96)))</f>
        <v>69606779.440812513</v>
      </c>
      <c r="C80" s="108">
        <f t="shared" ref="C80:W80" ca="1" si="34">IF($B$80="","",IF(AND($B$42="Straight Line",C48&lt;=depr_length),$B$80/depr_length,IF(AND($B$42="MACRS",C48&lt;=depr_length+1),$B$80*INDEX(MACRS_Table,MATCH(C48,recovery_year,0),MATCH($B$43,recovery_period,0)),"")))</f>
        <v>2610254.229030469</v>
      </c>
      <c r="D80" s="109">
        <f t="shared" ca="1" si="34"/>
        <v>5024913.4078322556</v>
      </c>
      <c r="E80" s="109">
        <f t="shared" ca="1" si="34"/>
        <v>4647644.6632630508</v>
      </c>
      <c r="F80" s="109">
        <f t="shared" ca="1" si="34"/>
        <v>4299610.7660589889</v>
      </c>
      <c r="G80" s="109">
        <f t="shared" ca="1" si="34"/>
        <v>3976635.3094536187</v>
      </c>
      <c r="H80" s="109">
        <f t="shared" ca="1" si="34"/>
        <v>3678718.2934469413</v>
      </c>
      <c r="I80" s="109">
        <f t="shared" ca="1" si="34"/>
        <v>3402379.3790669157</v>
      </c>
      <c r="J80" s="109">
        <f t="shared" ca="1" si="34"/>
        <v>3147618.566313542</v>
      </c>
      <c r="K80" s="109">
        <f t="shared" ca="1" si="34"/>
        <v>3105854.4986490542</v>
      </c>
      <c r="L80" s="109">
        <f t="shared" ca="1" si="34"/>
        <v>3105158.430854646</v>
      </c>
      <c r="M80" s="109">
        <f t="shared" ca="1" si="34"/>
        <v>3105854.4986490542</v>
      </c>
      <c r="N80" s="109">
        <f t="shared" ca="1" si="34"/>
        <v>3105158.430854646</v>
      </c>
      <c r="O80" s="109">
        <f t="shared" ca="1" si="34"/>
        <v>3105854.4986490542</v>
      </c>
      <c r="P80" s="109">
        <f t="shared" ca="1" si="34"/>
        <v>3105158.430854646</v>
      </c>
      <c r="Q80" s="109">
        <f t="shared" ca="1" si="34"/>
        <v>3105854.4986490542</v>
      </c>
      <c r="R80" s="109">
        <f t="shared" ca="1" si="34"/>
        <v>3105158.430854646</v>
      </c>
      <c r="S80" s="109">
        <f t="shared" ca="1" si="34"/>
        <v>3105854.4986490542</v>
      </c>
      <c r="T80" s="109">
        <f t="shared" ca="1" si="34"/>
        <v>3105158.430854646</v>
      </c>
      <c r="U80" s="109">
        <f t="shared" ca="1" si="34"/>
        <v>3105854.4986490542</v>
      </c>
      <c r="V80" s="109">
        <f t="shared" ca="1" si="34"/>
        <v>3105158.430854646</v>
      </c>
      <c r="W80" s="110">
        <f t="shared" ca="1" si="34"/>
        <v>1552927.2493245271</v>
      </c>
      <c r="X80" s="107">
        <f t="shared" ca="1" si="3"/>
        <v>69606779.440812513</v>
      </c>
    </row>
    <row r="81" spans="1:24" ht="15" customHeight="1" x14ac:dyDescent="0.25">
      <c r="A81" s="75">
        <f>IF('Cash Flow Analysis'!C97="","",'Cash Flow Analysis'!C97)</f>
        <v>30</v>
      </c>
      <c r="B81" s="1075">
        <f ca="1">IF(A81="","",IF(A81&lt;1,0,IF(A81=1,$B$44-'Cash Flow Analysis'!I97,-'Cash Flow Analysis'!I97)))</f>
        <v>70929308.250187948</v>
      </c>
      <c r="C81" s="108">
        <f t="shared" ref="C81:W81" ca="1" si="35">IF($B$81="","",IF(AND($B$42="Straight Line",C48&lt;=depr_length),$B$81/depr_length,IF(AND($B$42="MACRS",C48&lt;=depr_length+1),$B$81*INDEX(MACRS_Table,MATCH(C48,recovery_year,0),MATCH($B$43,recovery_period,0)),"")))</f>
        <v>2659849.059382048</v>
      </c>
      <c r="D81" s="109">
        <f t="shared" ca="1" si="35"/>
        <v>5120386.7625810681</v>
      </c>
      <c r="E81" s="109">
        <f t="shared" ca="1" si="35"/>
        <v>4735949.911865049</v>
      </c>
      <c r="F81" s="109">
        <f t="shared" ca="1" si="35"/>
        <v>4381303.3706141096</v>
      </c>
      <c r="G81" s="109">
        <f t="shared" ca="1" si="35"/>
        <v>4052191.3803332373</v>
      </c>
      <c r="H81" s="109">
        <f t="shared" ca="1" si="35"/>
        <v>3748613.9410224333</v>
      </c>
      <c r="I81" s="109">
        <f t="shared" ca="1" si="35"/>
        <v>3467024.587269187</v>
      </c>
      <c r="J81" s="109">
        <f t="shared" ca="1" si="35"/>
        <v>3207423.3190734992</v>
      </c>
      <c r="K81" s="109">
        <f t="shared" ca="1" si="35"/>
        <v>3164865.7341233864</v>
      </c>
      <c r="L81" s="109">
        <f t="shared" ca="1" si="35"/>
        <v>3164156.4410408842</v>
      </c>
      <c r="M81" s="109">
        <f t="shared" ca="1" si="35"/>
        <v>3164865.7341233864</v>
      </c>
      <c r="N81" s="109">
        <f t="shared" ca="1" si="35"/>
        <v>3164156.4410408842</v>
      </c>
      <c r="O81" s="109">
        <f t="shared" ca="1" si="35"/>
        <v>3164865.7341233864</v>
      </c>
      <c r="P81" s="109">
        <f t="shared" ca="1" si="35"/>
        <v>3164156.4410408842</v>
      </c>
      <c r="Q81" s="109">
        <f t="shared" ca="1" si="35"/>
        <v>3164865.7341233864</v>
      </c>
      <c r="R81" s="109">
        <f t="shared" ca="1" si="35"/>
        <v>3164156.4410408842</v>
      </c>
      <c r="S81" s="109">
        <f t="shared" ca="1" si="35"/>
        <v>3164865.7341233864</v>
      </c>
      <c r="T81" s="109">
        <f t="shared" ca="1" si="35"/>
        <v>3164156.4410408842</v>
      </c>
      <c r="U81" s="109">
        <f t="shared" ca="1" si="35"/>
        <v>3164865.7341233864</v>
      </c>
      <c r="V81" s="109">
        <f t="shared" ca="1" si="35"/>
        <v>3164156.4410408842</v>
      </c>
      <c r="W81" s="110">
        <f t="shared" ca="1" si="35"/>
        <v>1582432.8670616932</v>
      </c>
      <c r="X81" s="107">
        <f t="shared" ca="1" si="3"/>
        <v>70929308.250187933</v>
      </c>
    </row>
    <row r="82" spans="1:24" ht="15" customHeight="1" x14ac:dyDescent="0.25">
      <c r="A82" s="75" t="str">
        <f>IF('Cash Flow Analysis'!C98="","",'Cash Flow Analysis'!C98)</f>
        <v/>
      </c>
      <c r="B82" s="1075" t="str">
        <f>IF(A82="","",IF(A82&lt;1,0,IF(A82=1,$B$44-'Cash Flow Analysis'!I98,-'Cash Flow Analysis'!I98)))</f>
        <v/>
      </c>
      <c r="C82" s="108" t="str">
        <f t="shared" ref="C82:W82" si="36">IF($B$82="","",IF(AND($B$42="Straight Line",C48&lt;=depr_length),$B$82/depr_length,IF(AND($B$42="MACRS",C48&lt;=depr_length+1),$B$82*INDEX(MACRS_Table,MATCH(C48,recovery_year,0),MATCH($B$43,recovery_period,0)),"")))</f>
        <v/>
      </c>
      <c r="D82" s="109" t="str">
        <f t="shared" si="36"/>
        <v/>
      </c>
      <c r="E82" s="109" t="str">
        <f t="shared" si="36"/>
        <v/>
      </c>
      <c r="F82" s="109" t="str">
        <f t="shared" si="36"/>
        <v/>
      </c>
      <c r="G82" s="109" t="str">
        <f t="shared" si="36"/>
        <v/>
      </c>
      <c r="H82" s="109" t="str">
        <f t="shared" si="36"/>
        <v/>
      </c>
      <c r="I82" s="109" t="str">
        <f t="shared" si="36"/>
        <v/>
      </c>
      <c r="J82" s="109" t="str">
        <f t="shared" si="36"/>
        <v/>
      </c>
      <c r="K82" s="109" t="str">
        <f t="shared" si="36"/>
        <v/>
      </c>
      <c r="L82" s="109" t="str">
        <f t="shared" si="36"/>
        <v/>
      </c>
      <c r="M82" s="109" t="str">
        <f t="shared" si="36"/>
        <v/>
      </c>
      <c r="N82" s="109" t="str">
        <f t="shared" si="36"/>
        <v/>
      </c>
      <c r="O82" s="109" t="str">
        <f t="shared" si="36"/>
        <v/>
      </c>
      <c r="P82" s="109" t="str">
        <f t="shared" si="36"/>
        <v/>
      </c>
      <c r="Q82" s="109" t="str">
        <f t="shared" si="36"/>
        <v/>
      </c>
      <c r="R82" s="109" t="str">
        <f t="shared" si="36"/>
        <v/>
      </c>
      <c r="S82" s="109" t="str">
        <f t="shared" si="36"/>
        <v/>
      </c>
      <c r="T82" s="109" t="str">
        <f t="shared" si="36"/>
        <v/>
      </c>
      <c r="U82" s="109" t="str">
        <f t="shared" si="36"/>
        <v/>
      </c>
      <c r="V82" s="109" t="str">
        <f t="shared" si="36"/>
        <v/>
      </c>
      <c r="W82" s="110" t="str">
        <f t="shared" si="36"/>
        <v/>
      </c>
      <c r="X82" s="107">
        <f t="shared" si="3"/>
        <v>0</v>
      </c>
    </row>
    <row r="83" spans="1:24" ht="15" customHeight="1" x14ac:dyDescent="0.25">
      <c r="A83" s="75" t="str">
        <f>IF('Cash Flow Analysis'!C99="","",'Cash Flow Analysis'!C99)</f>
        <v/>
      </c>
      <c r="B83" s="1075" t="str">
        <f>IF(A83="","",IF(A83&lt;1,0,IF(A83=1,$B$44-'Cash Flow Analysis'!I99,-'Cash Flow Analysis'!I99)))</f>
        <v/>
      </c>
      <c r="C83" s="108" t="str">
        <f t="shared" ref="C83:W83" si="37">IF($B$83="","",IF(AND($B$42="Straight Line",C48&lt;=depr_length),$B$83/depr_length,IF(AND($B$42="MACRS",C48&lt;=depr_length+1),$B$83*INDEX(MACRS_Table,MATCH(C48,recovery_year,0),MATCH($B$43,recovery_period,0)),"")))</f>
        <v/>
      </c>
      <c r="D83" s="109" t="str">
        <f t="shared" si="37"/>
        <v/>
      </c>
      <c r="E83" s="109" t="str">
        <f t="shared" si="37"/>
        <v/>
      </c>
      <c r="F83" s="109" t="str">
        <f t="shared" si="37"/>
        <v/>
      </c>
      <c r="G83" s="109" t="str">
        <f t="shared" si="37"/>
        <v/>
      </c>
      <c r="H83" s="109" t="str">
        <f t="shared" si="37"/>
        <v/>
      </c>
      <c r="I83" s="109" t="str">
        <f t="shared" si="37"/>
        <v/>
      </c>
      <c r="J83" s="109" t="str">
        <f t="shared" si="37"/>
        <v/>
      </c>
      <c r="K83" s="109" t="str">
        <f t="shared" si="37"/>
        <v/>
      </c>
      <c r="L83" s="109" t="str">
        <f t="shared" si="37"/>
        <v/>
      </c>
      <c r="M83" s="109" t="str">
        <f t="shared" si="37"/>
        <v/>
      </c>
      <c r="N83" s="109" t="str">
        <f t="shared" si="37"/>
        <v/>
      </c>
      <c r="O83" s="109" t="str">
        <f t="shared" si="37"/>
        <v/>
      </c>
      <c r="P83" s="109" t="str">
        <f t="shared" si="37"/>
        <v/>
      </c>
      <c r="Q83" s="109" t="str">
        <f t="shared" si="37"/>
        <v/>
      </c>
      <c r="R83" s="109" t="str">
        <f t="shared" si="37"/>
        <v/>
      </c>
      <c r="S83" s="109" t="str">
        <f t="shared" si="37"/>
        <v/>
      </c>
      <c r="T83" s="109" t="str">
        <f t="shared" si="37"/>
        <v/>
      </c>
      <c r="U83" s="109" t="str">
        <f t="shared" si="37"/>
        <v/>
      </c>
      <c r="V83" s="109" t="str">
        <f t="shared" si="37"/>
        <v/>
      </c>
      <c r="W83" s="110" t="str">
        <f t="shared" si="37"/>
        <v/>
      </c>
      <c r="X83" s="107">
        <f t="shared" si="3"/>
        <v>0</v>
      </c>
    </row>
    <row r="84" spans="1:24" ht="15" customHeight="1" x14ac:dyDescent="0.25">
      <c r="A84" s="75" t="str">
        <f>IF('Cash Flow Analysis'!C100="","",'Cash Flow Analysis'!C100)</f>
        <v/>
      </c>
      <c r="B84" s="1075" t="str">
        <f>IF(A84="","",IF(A84&lt;1,0,IF(A84=1,$B$44-'Cash Flow Analysis'!I100,-'Cash Flow Analysis'!I100)))</f>
        <v/>
      </c>
      <c r="C84" s="108" t="str">
        <f t="shared" ref="C84:W84" si="38">IF($B$84="","",IF(AND($B$42="Straight Line",C48&lt;=depr_length),$B$84/depr_length,IF(AND($B$42="MACRS",C48&lt;=depr_length+1),$B$84*INDEX(MACRS_Table,MATCH(C48,recovery_year,0),MATCH($B$43,recovery_period,0)),"")))</f>
        <v/>
      </c>
      <c r="D84" s="109" t="str">
        <f t="shared" si="38"/>
        <v/>
      </c>
      <c r="E84" s="109" t="str">
        <f t="shared" si="38"/>
        <v/>
      </c>
      <c r="F84" s="109" t="str">
        <f t="shared" si="38"/>
        <v/>
      </c>
      <c r="G84" s="109" t="str">
        <f t="shared" si="38"/>
        <v/>
      </c>
      <c r="H84" s="109" t="str">
        <f t="shared" si="38"/>
        <v/>
      </c>
      <c r="I84" s="109" t="str">
        <f t="shared" si="38"/>
        <v/>
      </c>
      <c r="J84" s="109" t="str">
        <f t="shared" si="38"/>
        <v/>
      </c>
      <c r="K84" s="109" t="str">
        <f t="shared" si="38"/>
        <v/>
      </c>
      <c r="L84" s="109" t="str">
        <f t="shared" si="38"/>
        <v/>
      </c>
      <c r="M84" s="109" t="str">
        <f t="shared" si="38"/>
        <v/>
      </c>
      <c r="N84" s="109" t="str">
        <f t="shared" si="38"/>
        <v/>
      </c>
      <c r="O84" s="109" t="str">
        <f t="shared" si="38"/>
        <v/>
      </c>
      <c r="P84" s="109" t="str">
        <f t="shared" si="38"/>
        <v/>
      </c>
      <c r="Q84" s="109" t="str">
        <f t="shared" si="38"/>
        <v/>
      </c>
      <c r="R84" s="109" t="str">
        <f t="shared" si="38"/>
        <v/>
      </c>
      <c r="S84" s="109" t="str">
        <f t="shared" si="38"/>
        <v/>
      </c>
      <c r="T84" s="109" t="str">
        <f t="shared" si="38"/>
        <v/>
      </c>
      <c r="U84" s="109" t="str">
        <f t="shared" si="38"/>
        <v/>
      </c>
      <c r="V84" s="109" t="str">
        <f t="shared" si="38"/>
        <v/>
      </c>
      <c r="W84" s="110" t="str">
        <f t="shared" si="38"/>
        <v/>
      </c>
      <c r="X84" s="107">
        <f t="shared" si="3"/>
        <v>0</v>
      </c>
    </row>
    <row r="85" spans="1:24" ht="15" customHeight="1" x14ac:dyDescent="0.25">
      <c r="A85" s="75" t="str">
        <f>IF('Cash Flow Analysis'!C101="","",'Cash Flow Analysis'!C101)</f>
        <v/>
      </c>
      <c r="B85" s="1075" t="str">
        <f>IF(A85="","",IF(A85&lt;1,0,IF(A85=1,$B$44-'Cash Flow Analysis'!I101,-'Cash Flow Analysis'!I101)))</f>
        <v/>
      </c>
      <c r="C85" s="108" t="str">
        <f t="shared" ref="C85:W85" si="39">IF($B$85="","",IF(AND($B$42="Straight Line",C48&lt;=depr_length),$B$85/depr_length,IF(AND($B$42="MACRS",C48&lt;=depr_length+1),$B$85*INDEX(MACRS_Table,MATCH(C48,recovery_year,0),MATCH($B$43,recovery_period,0)),"")))</f>
        <v/>
      </c>
      <c r="D85" s="109" t="str">
        <f t="shared" si="39"/>
        <v/>
      </c>
      <c r="E85" s="109" t="str">
        <f t="shared" si="39"/>
        <v/>
      </c>
      <c r="F85" s="109" t="str">
        <f t="shared" si="39"/>
        <v/>
      </c>
      <c r="G85" s="109" t="str">
        <f t="shared" si="39"/>
        <v/>
      </c>
      <c r="H85" s="109" t="str">
        <f t="shared" si="39"/>
        <v/>
      </c>
      <c r="I85" s="109" t="str">
        <f t="shared" si="39"/>
        <v/>
      </c>
      <c r="J85" s="109" t="str">
        <f t="shared" si="39"/>
        <v/>
      </c>
      <c r="K85" s="109" t="str">
        <f t="shared" si="39"/>
        <v/>
      </c>
      <c r="L85" s="109" t="str">
        <f t="shared" si="39"/>
        <v/>
      </c>
      <c r="M85" s="109" t="str">
        <f t="shared" si="39"/>
        <v/>
      </c>
      <c r="N85" s="109" t="str">
        <f t="shared" si="39"/>
        <v/>
      </c>
      <c r="O85" s="109" t="str">
        <f t="shared" si="39"/>
        <v/>
      </c>
      <c r="P85" s="109" t="str">
        <f t="shared" si="39"/>
        <v/>
      </c>
      <c r="Q85" s="109" t="str">
        <f t="shared" si="39"/>
        <v/>
      </c>
      <c r="R85" s="109" t="str">
        <f t="shared" si="39"/>
        <v/>
      </c>
      <c r="S85" s="109" t="str">
        <f t="shared" si="39"/>
        <v/>
      </c>
      <c r="T85" s="109" t="str">
        <f t="shared" si="39"/>
        <v/>
      </c>
      <c r="U85" s="109" t="str">
        <f t="shared" si="39"/>
        <v/>
      </c>
      <c r="V85" s="109" t="str">
        <f t="shared" si="39"/>
        <v/>
      </c>
      <c r="W85" s="110" t="str">
        <f t="shared" si="39"/>
        <v/>
      </c>
      <c r="X85" s="107">
        <f t="shared" si="3"/>
        <v>0</v>
      </c>
    </row>
    <row r="86" spans="1:24" ht="15" customHeight="1" x14ac:dyDescent="0.25">
      <c r="A86" s="75" t="str">
        <f>IF('Cash Flow Analysis'!C102="","",'Cash Flow Analysis'!C102)</f>
        <v/>
      </c>
      <c r="B86" s="1075" t="str">
        <f>IF(A86="","",IF(A86&lt;1,0,IF(A86=1,$B$44-'Cash Flow Analysis'!I102,-'Cash Flow Analysis'!I102)))</f>
        <v/>
      </c>
      <c r="C86" s="108" t="str">
        <f t="shared" ref="C86:W86" si="40">IF($B$86="","",IF(AND($B$42="Straight Line",C48&lt;=depr_length),$B$86/depr_length,IF(AND($B$42="MACRS",C48&lt;=depr_length+1),$B$86*INDEX(MACRS_Table,MATCH(C48,recovery_year,0),MATCH($B$43,recovery_period,0)),"")))</f>
        <v/>
      </c>
      <c r="D86" s="109" t="str">
        <f t="shared" si="40"/>
        <v/>
      </c>
      <c r="E86" s="109" t="str">
        <f t="shared" si="40"/>
        <v/>
      </c>
      <c r="F86" s="109" t="str">
        <f t="shared" si="40"/>
        <v/>
      </c>
      <c r="G86" s="109" t="str">
        <f t="shared" si="40"/>
        <v/>
      </c>
      <c r="H86" s="109" t="str">
        <f t="shared" si="40"/>
        <v/>
      </c>
      <c r="I86" s="109" t="str">
        <f t="shared" si="40"/>
        <v/>
      </c>
      <c r="J86" s="109" t="str">
        <f t="shared" si="40"/>
        <v/>
      </c>
      <c r="K86" s="109" t="str">
        <f t="shared" si="40"/>
        <v/>
      </c>
      <c r="L86" s="109" t="str">
        <f t="shared" si="40"/>
        <v/>
      </c>
      <c r="M86" s="109" t="str">
        <f t="shared" si="40"/>
        <v/>
      </c>
      <c r="N86" s="109" t="str">
        <f t="shared" si="40"/>
        <v/>
      </c>
      <c r="O86" s="109" t="str">
        <f t="shared" si="40"/>
        <v/>
      </c>
      <c r="P86" s="109" t="str">
        <f t="shared" si="40"/>
        <v/>
      </c>
      <c r="Q86" s="109" t="str">
        <f t="shared" si="40"/>
        <v/>
      </c>
      <c r="R86" s="109" t="str">
        <f t="shared" si="40"/>
        <v/>
      </c>
      <c r="S86" s="109" t="str">
        <f t="shared" si="40"/>
        <v/>
      </c>
      <c r="T86" s="109" t="str">
        <f t="shared" si="40"/>
        <v/>
      </c>
      <c r="U86" s="109" t="str">
        <f t="shared" si="40"/>
        <v/>
      </c>
      <c r="V86" s="109" t="str">
        <f t="shared" si="40"/>
        <v/>
      </c>
      <c r="W86" s="110" t="str">
        <f t="shared" si="40"/>
        <v/>
      </c>
      <c r="X86" s="107">
        <f t="shared" si="3"/>
        <v>0</v>
      </c>
    </row>
    <row r="87" spans="1:24" ht="15" customHeight="1" x14ac:dyDescent="0.25">
      <c r="A87" s="75" t="str">
        <f>IF('Cash Flow Analysis'!C103="","",'Cash Flow Analysis'!C103)</f>
        <v/>
      </c>
      <c r="B87" s="1075" t="str">
        <f>IF(A87="","",IF(A87&lt;1,0,IF(A87=1,$B$44-'Cash Flow Analysis'!I103,-'Cash Flow Analysis'!I103)))</f>
        <v/>
      </c>
      <c r="C87" s="108" t="str">
        <f t="shared" ref="C87:W87" si="41">IF($B$87="","",IF(AND($B$42="Straight Line",C48&lt;=depr_length),$B$87/depr_length,IF(AND($B$42="MACRS",C48&lt;=depr_length+1),$B$87*INDEX(MACRS_Table,MATCH(C48,recovery_year,0),MATCH($B$43,recovery_period,0)),"")))</f>
        <v/>
      </c>
      <c r="D87" s="109" t="str">
        <f t="shared" si="41"/>
        <v/>
      </c>
      <c r="E87" s="109" t="str">
        <f t="shared" si="41"/>
        <v/>
      </c>
      <c r="F87" s="109" t="str">
        <f t="shared" si="41"/>
        <v/>
      </c>
      <c r="G87" s="109" t="str">
        <f t="shared" si="41"/>
        <v/>
      </c>
      <c r="H87" s="109" t="str">
        <f t="shared" si="41"/>
        <v/>
      </c>
      <c r="I87" s="109" t="str">
        <f t="shared" si="41"/>
        <v/>
      </c>
      <c r="J87" s="109" t="str">
        <f t="shared" si="41"/>
        <v/>
      </c>
      <c r="K87" s="109" t="str">
        <f t="shared" si="41"/>
        <v/>
      </c>
      <c r="L87" s="109" t="str">
        <f t="shared" si="41"/>
        <v/>
      </c>
      <c r="M87" s="109" t="str">
        <f t="shared" si="41"/>
        <v/>
      </c>
      <c r="N87" s="109" t="str">
        <f t="shared" si="41"/>
        <v/>
      </c>
      <c r="O87" s="109" t="str">
        <f t="shared" si="41"/>
        <v/>
      </c>
      <c r="P87" s="109" t="str">
        <f t="shared" si="41"/>
        <v/>
      </c>
      <c r="Q87" s="109" t="str">
        <f t="shared" si="41"/>
        <v/>
      </c>
      <c r="R87" s="109" t="str">
        <f t="shared" si="41"/>
        <v/>
      </c>
      <c r="S87" s="109" t="str">
        <f t="shared" si="41"/>
        <v/>
      </c>
      <c r="T87" s="109" t="str">
        <f t="shared" si="41"/>
        <v/>
      </c>
      <c r="U87" s="109" t="str">
        <f t="shared" si="41"/>
        <v/>
      </c>
      <c r="V87" s="109" t="str">
        <f t="shared" si="41"/>
        <v/>
      </c>
      <c r="W87" s="110" t="str">
        <f t="shared" si="41"/>
        <v/>
      </c>
      <c r="X87" s="107">
        <f t="shared" si="3"/>
        <v>0</v>
      </c>
    </row>
    <row r="88" spans="1:24" ht="15" customHeight="1" x14ac:dyDescent="0.25">
      <c r="A88" s="75" t="str">
        <f>IF('Cash Flow Analysis'!C104="","",'Cash Flow Analysis'!C104)</f>
        <v/>
      </c>
      <c r="B88" s="1075" t="str">
        <f>IF(A88="","",IF(A88&lt;1,0,IF(A88=1,$B$44-'Cash Flow Analysis'!I104,-'Cash Flow Analysis'!I104)))</f>
        <v/>
      </c>
      <c r="C88" s="108" t="str">
        <f t="shared" ref="C88:W88" si="42">IF($B$88="","",IF(AND($B$42="Straight Line",C48&lt;=depr_length),$B$88/depr_length,IF(AND($B$42="MACRS",C48&lt;=depr_length+1),$B$88*INDEX(MACRS_Table,MATCH(C48,recovery_year,0),MATCH($B$43,recovery_period,0)),"")))</f>
        <v/>
      </c>
      <c r="D88" s="109" t="str">
        <f t="shared" si="42"/>
        <v/>
      </c>
      <c r="E88" s="109" t="str">
        <f t="shared" si="42"/>
        <v/>
      </c>
      <c r="F88" s="109" t="str">
        <f t="shared" si="42"/>
        <v/>
      </c>
      <c r="G88" s="109" t="str">
        <f t="shared" si="42"/>
        <v/>
      </c>
      <c r="H88" s="109" t="str">
        <f t="shared" si="42"/>
        <v/>
      </c>
      <c r="I88" s="109" t="str">
        <f t="shared" si="42"/>
        <v/>
      </c>
      <c r="J88" s="109" t="str">
        <f t="shared" si="42"/>
        <v/>
      </c>
      <c r="K88" s="109" t="str">
        <f t="shared" si="42"/>
        <v/>
      </c>
      <c r="L88" s="109" t="str">
        <f t="shared" si="42"/>
        <v/>
      </c>
      <c r="M88" s="109" t="str">
        <f t="shared" si="42"/>
        <v/>
      </c>
      <c r="N88" s="109" t="str">
        <f t="shared" si="42"/>
        <v/>
      </c>
      <c r="O88" s="109" t="str">
        <f t="shared" si="42"/>
        <v/>
      </c>
      <c r="P88" s="109" t="str">
        <f t="shared" si="42"/>
        <v/>
      </c>
      <c r="Q88" s="109" t="str">
        <f t="shared" si="42"/>
        <v/>
      </c>
      <c r="R88" s="109" t="str">
        <f t="shared" si="42"/>
        <v/>
      </c>
      <c r="S88" s="109" t="str">
        <f t="shared" si="42"/>
        <v/>
      </c>
      <c r="T88" s="109" t="str">
        <f t="shared" si="42"/>
        <v/>
      </c>
      <c r="U88" s="109" t="str">
        <f t="shared" si="42"/>
        <v/>
      </c>
      <c r="V88" s="109" t="str">
        <f t="shared" si="42"/>
        <v/>
      </c>
      <c r="W88" s="110" t="str">
        <f t="shared" si="42"/>
        <v/>
      </c>
      <c r="X88" s="107">
        <f t="shared" si="3"/>
        <v>0</v>
      </c>
    </row>
    <row r="89" spans="1:24" ht="15" customHeight="1" x14ac:dyDescent="0.25">
      <c r="A89" s="75" t="str">
        <f>IF('Cash Flow Analysis'!C105="","",'Cash Flow Analysis'!C105)</f>
        <v/>
      </c>
      <c r="B89" s="1075" t="str">
        <f>IF(A89="","",IF(A89&lt;1,0,IF(A89=1,$B$44-'Cash Flow Analysis'!I105,-'Cash Flow Analysis'!I105)))</f>
        <v/>
      </c>
      <c r="C89" s="108" t="str">
        <f t="shared" ref="C89:W89" si="43">IF($B$89="","",IF(AND($B$42="Straight Line",C48&lt;=depr_length),$B$89/depr_length,IF(AND($B$42="MACRS",C48&lt;=depr_length+1),$B$89*INDEX(MACRS_Table,MATCH(C48,recovery_year,0),MATCH($B$43,recovery_period,0)),"")))</f>
        <v/>
      </c>
      <c r="D89" s="109" t="str">
        <f t="shared" si="43"/>
        <v/>
      </c>
      <c r="E89" s="109" t="str">
        <f t="shared" si="43"/>
        <v/>
      </c>
      <c r="F89" s="109" t="str">
        <f t="shared" si="43"/>
        <v/>
      </c>
      <c r="G89" s="109" t="str">
        <f t="shared" si="43"/>
        <v/>
      </c>
      <c r="H89" s="109" t="str">
        <f t="shared" si="43"/>
        <v/>
      </c>
      <c r="I89" s="109" t="str">
        <f t="shared" si="43"/>
        <v/>
      </c>
      <c r="J89" s="109" t="str">
        <f t="shared" si="43"/>
        <v/>
      </c>
      <c r="K89" s="109" t="str">
        <f t="shared" si="43"/>
        <v/>
      </c>
      <c r="L89" s="109" t="str">
        <f t="shared" si="43"/>
        <v/>
      </c>
      <c r="M89" s="109" t="str">
        <f t="shared" si="43"/>
        <v/>
      </c>
      <c r="N89" s="109" t="str">
        <f t="shared" si="43"/>
        <v/>
      </c>
      <c r="O89" s="109" t="str">
        <f t="shared" si="43"/>
        <v/>
      </c>
      <c r="P89" s="109" t="str">
        <f t="shared" si="43"/>
        <v/>
      </c>
      <c r="Q89" s="109" t="str">
        <f t="shared" si="43"/>
        <v/>
      </c>
      <c r="R89" s="109" t="str">
        <f t="shared" si="43"/>
        <v/>
      </c>
      <c r="S89" s="109" t="str">
        <f t="shared" si="43"/>
        <v/>
      </c>
      <c r="T89" s="109" t="str">
        <f t="shared" si="43"/>
        <v/>
      </c>
      <c r="U89" s="109" t="str">
        <f t="shared" si="43"/>
        <v/>
      </c>
      <c r="V89" s="109" t="str">
        <f t="shared" si="43"/>
        <v/>
      </c>
      <c r="W89" s="110" t="str">
        <f t="shared" si="43"/>
        <v/>
      </c>
      <c r="X89" s="107">
        <f t="shared" si="3"/>
        <v>0</v>
      </c>
    </row>
    <row r="90" spans="1:24" ht="15" customHeight="1" x14ac:dyDescent="0.25">
      <c r="A90" s="75" t="str">
        <f>IF('Cash Flow Analysis'!C106="","",'Cash Flow Analysis'!C106)</f>
        <v/>
      </c>
      <c r="B90" s="1075" t="str">
        <f>IF(A90="","",IF(A90&lt;1,0,IF(A90=1,$B$44-'Cash Flow Analysis'!I106,-'Cash Flow Analysis'!I106)))</f>
        <v/>
      </c>
      <c r="C90" s="108" t="str">
        <f t="shared" ref="C90:W90" si="44">IF($B$90="","",IF(AND($B$42="Straight Line",C48&lt;=depr_length),$B$90/depr_length,IF(AND($B$42="MACRS",C48&lt;=depr_length+1),$B$90*INDEX(MACRS_Table,MATCH(C48,recovery_year,0),MATCH($B$43,recovery_period,0)),"")))</f>
        <v/>
      </c>
      <c r="D90" s="109" t="str">
        <f t="shared" si="44"/>
        <v/>
      </c>
      <c r="E90" s="109" t="str">
        <f t="shared" si="44"/>
        <v/>
      </c>
      <c r="F90" s="109" t="str">
        <f t="shared" si="44"/>
        <v/>
      </c>
      <c r="G90" s="109" t="str">
        <f t="shared" si="44"/>
        <v/>
      </c>
      <c r="H90" s="109" t="str">
        <f t="shared" si="44"/>
        <v/>
      </c>
      <c r="I90" s="109" t="str">
        <f t="shared" si="44"/>
        <v/>
      </c>
      <c r="J90" s="109" t="str">
        <f t="shared" si="44"/>
        <v/>
      </c>
      <c r="K90" s="109" t="str">
        <f t="shared" si="44"/>
        <v/>
      </c>
      <c r="L90" s="109" t="str">
        <f t="shared" si="44"/>
        <v/>
      </c>
      <c r="M90" s="109" t="str">
        <f t="shared" si="44"/>
        <v/>
      </c>
      <c r="N90" s="109" t="str">
        <f t="shared" si="44"/>
        <v/>
      </c>
      <c r="O90" s="109" t="str">
        <f t="shared" si="44"/>
        <v/>
      </c>
      <c r="P90" s="109" t="str">
        <f t="shared" si="44"/>
        <v/>
      </c>
      <c r="Q90" s="109" t="str">
        <f t="shared" si="44"/>
        <v/>
      </c>
      <c r="R90" s="109" t="str">
        <f t="shared" si="44"/>
        <v/>
      </c>
      <c r="S90" s="109" t="str">
        <f t="shared" si="44"/>
        <v/>
      </c>
      <c r="T90" s="109" t="str">
        <f t="shared" si="44"/>
        <v/>
      </c>
      <c r="U90" s="109" t="str">
        <f t="shared" si="44"/>
        <v/>
      </c>
      <c r="V90" s="109" t="str">
        <f t="shared" si="44"/>
        <v/>
      </c>
      <c r="W90" s="110" t="str">
        <f t="shared" si="44"/>
        <v/>
      </c>
      <c r="X90" s="107">
        <f t="shared" si="3"/>
        <v>0</v>
      </c>
    </row>
    <row r="91" spans="1:24" ht="15" customHeight="1" x14ac:dyDescent="0.25">
      <c r="A91" s="75" t="str">
        <f>IF('Cash Flow Analysis'!C107="","",'Cash Flow Analysis'!C107)</f>
        <v/>
      </c>
      <c r="B91" s="1075" t="str">
        <f>IF(A91="","",IF(A91&lt;1,0,IF(A91=1,$B$44-'Cash Flow Analysis'!I107,-'Cash Flow Analysis'!I107)))</f>
        <v/>
      </c>
      <c r="C91" s="108" t="str">
        <f t="shared" ref="C91:W91" si="45">IF($B$91="","",IF(AND($B$42="Straight Line",C48&lt;=depr_length),$B$91/depr_length,IF(AND($B$42="MACRS",C48&lt;=depr_length+1),$B$91*INDEX(MACRS_Table,MATCH(C48,recovery_year,0),MATCH($B$43,recovery_period,0)),"")))</f>
        <v/>
      </c>
      <c r="D91" s="109" t="str">
        <f t="shared" si="45"/>
        <v/>
      </c>
      <c r="E91" s="109" t="str">
        <f t="shared" si="45"/>
        <v/>
      </c>
      <c r="F91" s="109" t="str">
        <f t="shared" si="45"/>
        <v/>
      </c>
      <c r="G91" s="109" t="str">
        <f t="shared" si="45"/>
        <v/>
      </c>
      <c r="H91" s="109" t="str">
        <f t="shared" si="45"/>
        <v/>
      </c>
      <c r="I91" s="109" t="str">
        <f t="shared" si="45"/>
        <v/>
      </c>
      <c r="J91" s="109" t="str">
        <f t="shared" si="45"/>
        <v/>
      </c>
      <c r="K91" s="109" t="str">
        <f t="shared" si="45"/>
        <v/>
      </c>
      <c r="L91" s="109" t="str">
        <f t="shared" si="45"/>
        <v/>
      </c>
      <c r="M91" s="109" t="str">
        <f t="shared" si="45"/>
        <v/>
      </c>
      <c r="N91" s="109" t="str">
        <f t="shared" si="45"/>
        <v/>
      </c>
      <c r="O91" s="109" t="str">
        <f t="shared" si="45"/>
        <v/>
      </c>
      <c r="P91" s="109" t="str">
        <f t="shared" si="45"/>
        <v/>
      </c>
      <c r="Q91" s="109" t="str">
        <f t="shared" si="45"/>
        <v/>
      </c>
      <c r="R91" s="109" t="str">
        <f t="shared" si="45"/>
        <v/>
      </c>
      <c r="S91" s="109" t="str">
        <f t="shared" si="45"/>
        <v/>
      </c>
      <c r="T91" s="109" t="str">
        <f t="shared" si="45"/>
        <v/>
      </c>
      <c r="U91" s="109" t="str">
        <f t="shared" si="45"/>
        <v/>
      </c>
      <c r="V91" s="109" t="str">
        <f t="shared" si="45"/>
        <v/>
      </c>
      <c r="W91" s="110" t="str">
        <f t="shared" si="45"/>
        <v/>
      </c>
      <c r="X91" s="107">
        <f t="shared" si="3"/>
        <v>0</v>
      </c>
    </row>
    <row r="92" spans="1:24" ht="15" customHeight="1" thickBot="1" x14ac:dyDescent="0.3">
      <c r="A92" s="79" t="str">
        <f>IF('Cash Flow Analysis'!C108="","",'Cash Flow Analysis'!C108)</f>
        <v/>
      </c>
      <c r="B92" s="1075" t="str">
        <f>IF(A92="","",IF(A92&lt;1,0,IF(A92=1,$B$44-'Cash Flow Analysis'!I108,-'Cash Flow Analysis'!I108)))</f>
        <v/>
      </c>
      <c r="C92" s="111" t="str">
        <f t="shared" ref="C92:W92" si="46">IF($B$92="","",IF(AND($B$42="Straight Line",C48&lt;=depr_length),$B$92/depr_length,IF(AND($B$42="MACRS",C48&lt;=depr_length+1),$B$92*INDEX(MACRS_Table,MATCH(C48,recovery_year,0),MATCH($B$43,recovery_period,0)),"")))</f>
        <v/>
      </c>
      <c r="D92" s="112" t="str">
        <f t="shared" si="46"/>
        <v/>
      </c>
      <c r="E92" s="112" t="str">
        <f t="shared" si="46"/>
        <v/>
      </c>
      <c r="F92" s="112" t="str">
        <f t="shared" si="46"/>
        <v/>
      </c>
      <c r="G92" s="112" t="str">
        <f t="shared" si="46"/>
        <v/>
      </c>
      <c r="H92" s="112" t="str">
        <f t="shared" si="46"/>
        <v/>
      </c>
      <c r="I92" s="112" t="str">
        <f t="shared" si="46"/>
        <v/>
      </c>
      <c r="J92" s="112" t="str">
        <f t="shared" si="46"/>
        <v/>
      </c>
      <c r="K92" s="112" t="str">
        <f t="shared" si="46"/>
        <v/>
      </c>
      <c r="L92" s="112" t="str">
        <f t="shared" si="46"/>
        <v/>
      </c>
      <c r="M92" s="112" t="str">
        <f t="shared" si="46"/>
        <v/>
      </c>
      <c r="N92" s="112" t="str">
        <f t="shared" si="46"/>
        <v/>
      </c>
      <c r="O92" s="112" t="str">
        <f t="shared" si="46"/>
        <v/>
      </c>
      <c r="P92" s="112" t="str">
        <f t="shared" si="46"/>
        <v/>
      </c>
      <c r="Q92" s="112" t="str">
        <f t="shared" si="46"/>
        <v/>
      </c>
      <c r="R92" s="112" t="str">
        <f t="shared" si="46"/>
        <v/>
      </c>
      <c r="S92" s="112" t="str">
        <f t="shared" si="46"/>
        <v/>
      </c>
      <c r="T92" s="112" t="str">
        <f t="shared" si="46"/>
        <v/>
      </c>
      <c r="U92" s="112" t="str">
        <f t="shared" si="46"/>
        <v/>
      </c>
      <c r="V92" s="112" t="str">
        <f t="shared" si="46"/>
        <v/>
      </c>
      <c r="W92" s="97" t="str">
        <f t="shared" si="46"/>
        <v/>
      </c>
      <c r="X92" s="113">
        <f t="shared" si="3"/>
        <v>0</v>
      </c>
    </row>
    <row r="93" spans="1:24" s="39" customFormat="1" ht="15" customHeight="1" thickTop="1" x14ac:dyDescent="0.25">
      <c r="A93" s="45"/>
      <c r="B93" s="114"/>
      <c r="C93" s="114"/>
      <c r="D93" s="114"/>
      <c r="E93" s="114"/>
      <c r="F93" s="114"/>
      <c r="G93" s="114"/>
      <c r="H93" s="114"/>
      <c r="I93" s="114"/>
      <c r="J93" s="114"/>
      <c r="K93" s="114"/>
      <c r="L93" s="114"/>
      <c r="M93" s="114"/>
      <c r="N93" s="114"/>
      <c r="O93" s="114"/>
      <c r="P93" s="114"/>
      <c r="Q93" s="114"/>
      <c r="R93" s="114"/>
      <c r="S93" s="114"/>
      <c r="T93" s="114"/>
      <c r="U93" s="114"/>
      <c r="V93" s="114"/>
      <c r="W93" s="114"/>
      <c r="X93" s="114"/>
    </row>
    <row r="94" spans="1:24" ht="15" customHeight="1" thickBot="1" x14ac:dyDescent="0.3">
      <c r="B94" s="115"/>
      <c r="C94" s="115"/>
      <c r="D94" s="115"/>
      <c r="E94" s="115"/>
      <c r="F94" s="115"/>
      <c r="G94" s="115"/>
      <c r="H94" s="115"/>
      <c r="I94" s="115"/>
      <c r="J94" s="115"/>
      <c r="K94" s="115"/>
      <c r="L94" s="115"/>
      <c r="M94" s="115"/>
      <c r="N94" s="115"/>
      <c r="O94" s="115"/>
      <c r="P94" s="115"/>
      <c r="Q94" s="115"/>
      <c r="R94" s="115"/>
      <c r="S94" s="115"/>
      <c r="T94" s="115"/>
      <c r="U94" s="115"/>
      <c r="V94" s="115"/>
      <c r="W94" s="115"/>
      <c r="X94" s="115"/>
    </row>
    <row r="95" spans="1:24" ht="30.75" customHeight="1" thickTop="1" thickBot="1" x14ac:dyDescent="0.35">
      <c r="A95" s="98" t="s">
        <v>59</v>
      </c>
      <c r="B95" s="64"/>
      <c r="C95" s="65"/>
    </row>
    <row r="96" spans="1:24" ht="31.2" customHeight="1" thickTop="1" x14ac:dyDescent="0.25">
      <c r="A96" s="116" t="s">
        <v>56</v>
      </c>
      <c r="B96" s="117" t="s">
        <v>60</v>
      </c>
      <c r="C96" s="118" t="s">
        <v>61</v>
      </c>
    </row>
    <row r="97" spans="1:3" ht="15" customHeight="1" x14ac:dyDescent="0.25">
      <c r="A97" s="94">
        <f>IF('Cash Flow Analysis'!C65="","",'Cash Flow Analysis'!C65)</f>
        <v>-3</v>
      </c>
      <c r="B97" s="109">
        <f>C49</f>
        <v>0</v>
      </c>
      <c r="C97" s="119">
        <f t="shared" ref="C97:C140" si="47">IF(A97="",B97,0)</f>
        <v>0</v>
      </c>
    </row>
    <row r="98" spans="1:3" ht="15" customHeight="1" x14ac:dyDescent="0.25">
      <c r="A98" s="94">
        <f>IF('Cash Flow Analysis'!C66="","",'Cash Flow Analysis'!C66)</f>
        <v>-2</v>
      </c>
      <c r="B98" s="109">
        <f>SUM(D49,C50)</f>
        <v>0</v>
      </c>
      <c r="C98" s="119">
        <f t="shared" si="47"/>
        <v>0</v>
      </c>
    </row>
    <row r="99" spans="1:3" ht="15" customHeight="1" x14ac:dyDescent="0.25">
      <c r="A99" s="94">
        <f>IF('Cash Flow Analysis'!C67="","",'Cash Flow Analysis'!C67)</f>
        <v>-1</v>
      </c>
      <c r="B99" s="109">
        <f>SUM(E49,D50,C51)</f>
        <v>0</v>
      </c>
      <c r="C99" s="119">
        <f t="shared" si="47"/>
        <v>0</v>
      </c>
    </row>
    <row r="100" spans="1:3" ht="15" customHeight="1" x14ac:dyDescent="0.25">
      <c r="A100" s="94">
        <f>IF('Cash Flow Analysis'!C68="","",'Cash Flow Analysis'!C68)</f>
        <v>1</v>
      </c>
      <c r="B100" s="109">
        <f ca="1">SUM(F49,E50,D51,C52)</f>
        <v>63370847.820120558</v>
      </c>
      <c r="C100" s="119">
        <f t="shared" si="47"/>
        <v>0</v>
      </c>
    </row>
    <row r="101" spans="1:3" ht="15" customHeight="1" x14ac:dyDescent="0.25">
      <c r="A101" s="94">
        <f>IF('Cash Flow Analysis'!C69="","",'Cash Flow Analysis'!C69)</f>
        <v>2</v>
      </c>
      <c r="B101" s="109">
        <f ca="1">SUM(G49,F50,E51,D52,C53)</f>
        <v>123563396.68611856</v>
      </c>
      <c r="C101" s="119">
        <f t="shared" si="47"/>
        <v>0</v>
      </c>
    </row>
    <row r="102" spans="1:3" ht="15" customHeight="1" x14ac:dyDescent="0.25">
      <c r="A102" s="94">
        <f>IF('Cash Flow Analysis'!C70="","",'Cash Flow Analysis'!C70)</f>
        <v>3</v>
      </c>
      <c r="B102" s="109">
        <f ca="1">SUM(H49,G50,F51,E52,D53,C54)</f>
        <v>117456945.08399285</v>
      </c>
      <c r="C102" s="119">
        <f t="shared" si="47"/>
        <v>0</v>
      </c>
    </row>
    <row r="103" spans="1:3" ht="15" customHeight="1" x14ac:dyDescent="0.25">
      <c r="A103" s="94">
        <f>IF('Cash Flow Analysis'!C71="","",'Cash Flow Analysis'!C71)</f>
        <v>4</v>
      </c>
      <c r="B103" s="109">
        <f ca="1">SUM(I49,H50,G51,F52,E53,D54,C55)</f>
        <v>111891289.95969644</v>
      </c>
      <c r="C103" s="119">
        <f t="shared" si="47"/>
        <v>0</v>
      </c>
    </row>
    <row r="104" spans="1:3" ht="15" customHeight="1" x14ac:dyDescent="0.25">
      <c r="A104" s="94">
        <f>IF('Cash Flow Analysis'!C72="","",'Cash Flow Analysis'!C72)</f>
        <v>5</v>
      </c>
      <c r="B104" s="109">
        <f ca="1">SUM(J49,I50,H51,G52,F53,E54,D55,C56)</f>
        <v>106779415.0203627</v>
      </c>
      <c r="C104" s="119">
        <f t="shared" si="47"/>
        <v>0</v>
      </c>
    </row>
    <row r="105" spans="1:3" ht="15" customHeight="1" x14ac:dyDescent="0.25">
      <c r="A105" s="94">
        <f>IF('Cash Flow Analysis'!C73="","",'Cash Flow Analysis'!C73)</f>
        <v>6</v>
      </c>
      <c r="B105" s="109">
        <f ca="1">SUM(K49,J50,I51,H52,G53,F54,E55,D56,C57)</f>
        <v>102133458.02999188</v>
      </c>
      <c r="C105" s="119">
        <f t="shared" si="47"/>
        <v>0</v>
      </c>
    </row>
    <row r="106" spans="1:3" ht="15" customHeight="1" x14ac:dyDescent="0.25">
      <c r="A106" s="94">
        <f>IF('Cash Flow Analysis'!C74="","",'Cash Flow Analysis'!C74)</f>
        <v>7</v>
      </c>
      <c r="B106" s="109">
        <f ca="1">SUM(L49,K50,J51,I52,H53,G54,F55,E56,D57,C58)</f>
        <v>97881292.906340033</v>
      </c>
      <c r="C106" s="119">
        <f t="shared" si="47"/>
        <v>0</v>
      </c>
    </row>
    <row r="107" spans="1:3" ht="15" customHeight="1" x14ac:dyDescent="0.25">
      <c r="A107" s="94">
        <f>IF('Cash Flow Analysis'!C75="","",'Cash Flow Analysis'!C75)</f>
        <v>8</v>
      </c>
      <c r="B107" s="109">
        <f ca="1">SUM(M49,L50,K51,J52,I53,H54,G55,F56,E57,D58,C59)</f>
        <v>94033429.310293227</v>
      </c>
      <c r="C107" s="119">
        <f t="shared" si="47"/>
        <v>0</v>
      </c>
    </row>
    <row r="108" spans="1:3" ht="15" customHeight="1" x14ac:dyDescent="0.25">
      <c r="A108" s="94">
        <f>IF('Cash Flow Analysis'!C76="","",'Cash Flow Analysis'!C76)</f>
        <v>9</v>
      </c>
      <c r="B108" s="109">
        <f ca="1">SUM(N49,M50,L51,K52,J53,I54,H55,G56,F57,E58,D59,C60)</f>
        <v>95247772.0931032</v>
      </c>
      <c r="C108" s="119">
        <f t="shared" si="47"/>
        <v>0</v>
      </c>
    </row>
    <row r="109" spans="1:3" ht="15" customHeight="1" x14ac:dyDescent="0.25">
      <c r="A109" s="94">
        <f>IF('Cash Flow Analysis'!C77="","",'Cash Flow Analysis'!C77)</f>
        <v>10</v>
      </c>
      <c r="B109" s="109">
        <f ca="1">SUM(O49,N50,M51,L52,K53,J54,I55,H56,G57,F58,E59,D60,C61)</f>
        <v>97476362.160346612</v>
      </c>
      <c r="C109" s="119">
        <f t="shared" si="47"/>
        <v>0</v>
      </c>
    </row>
    <row r="110" spans="1:3" ht="15" customHeight="1" x14ac:dyDescent="0.25">
      <c r="A110" s="94">
        <f>IF('Cash Flow Analysis'!C78="","",'Cash Flow Analysis'!C78)</f>
        <v>11</v>
      </c>
      <c r="B110" s="109">
        <f ca="1">SUM(P49,O50,N51,M52,L53,K54,J55,I56,H57,G58,F59,E60,D61,C62)</f>
        <v>99780995.559358254</v>
      </c>
      <c r="C110" s="119">
        <f t="shared" si="47"/>
        <v>0</v>
      </c>
    </row>
    <row r="111" spans="1:3" ht="15" customHeight="1" x14ac:dyDescent="0.25">
      <c r="A111" s="94">
        <f>IF('Cash Flow Analysis'!C79="","",'Cash Flow Analysis'!C79)</f>
        <v>12</v>
      </c>
      <c r="B111" s="109">
        <f ca="1">SUM(Q49,P50,O51,N52,M53,L54,K55,J56,I57,H58,G59,F60,E61,D62,C63)</f>
        <v>102095716.87246047</v>
      </c>
      <c r="C111" s="119">
        <f t="shared" si="47"/>
        <v>0</v>
      </c>
    </row>
    <row r="112" spans="1:3" ht="15" customHeight="1" x14ac:dyDescent="0.25">
      <c r="A112" s="94">
        <f>IF('Cash Flow Analysis'!C80="","",'Cash Flow Analysis'!C80)</f>
        <v>13</v>
      </c>
      <c r="B112" s="109">
        <f ca="1">SUM(R49,Q50,P51,O52,N53,M54,L55,K56,J57,I58,H59,G60,F61,E62,D63,C64)</f>
        <v>104488118.01100226</v>
      </c>
      <c r="C112" s="119">
        <f t="shared" si="47"/>
        <v>0</v>
      </c>
    </row>
    <row r="113" spans="1:3" ht="15" customHeight="1" x14ac:dyDescent="0.25">
      <c r="A113" s="94">
        <f>IF('Cash Flow Analysis'!C81="","",'Cash Flow Analysis'!C81)</f>
        <v>14</v>
      </c>
      <c r="B113" s="109">
        <f ca="1">SUM(S49,R50,Q51,P52,O53,N54,M55,L56,K57,J58,I59,H60,G61,F62,E63,D64,C65)</f>
        <v>106892274.65068577</v>
      </c>
      <c r="C113" s="119">
        <f t="shared" si="47"/>
        <v>0</v>
      </c>
    </row>
    <row r="114" spans="1:3" ht="15" customHeight="1" x14ac:dyDescent="0.25">
      <c r="A114" s="94">
        <f>IF('Cash Flow Analysis'!C82="","",'Cash Flow Analysis'!C82)</f>
        <v>15</v>
      </c>
      <c r="B114" s="109">
        <f ca="1">SUM(T49,S50,R51,Q52,P53,O54,N55,M56,L57,K58,J59,I60,H61,G62,F63,E64,D65,C66)</f>
        <v>109375810.38701381</v>
      </c>
      <c r="C114" s="119">
        <f t="shared" si="47"/>
        <v>0</v>
      </c>
    </row>
    <row r="115" spans="1:3" ht="15" customHeight="1" x14ac:dyDescent="0.25">
      <c r="A115" s="94">
        <f>IF('Cash Flow Analysis'!C83="","",'Cash Flow Analysis'!C83)</f>
        <v>16</v>
      </c>
      <c r="B115" s="109">
        <f ca="1">SUM(U49,T50,S51,R52,Q53,P54,O55,N56,M57,L58,K59,J60,I61,H62,G63,F64,E65,D66,C67)</f>
        <v>111872833.18184154</v>
      </c>
      <c r="C115" s="119">
        <f t="shared" si="47"/>
        <v>0</v>
      </c>
    </row>
    <row r="116" spans="1:3" ht="15" customHeight="1" x14ac:dyDescent="0.25">
      <c r="A116" s="94">
        <f>IF('Cash Flow Analysis'!C84="","",'Cash Flow Analysis'!C84)</f>
        <v>17</v>
      </c>
      <c r="B116" s="109">
        <f ca="1">SUM(V49,U50,T51,S52,R53,Q54,P55,O56,N57,M58,L59,K60,J61,I62,H63,G64,F65,E66,D67,C68)</f>
        <v>114450999.53026155</v>
      </c>
      <c r="C116" s="119">
        <f t="shared" si="47"/>
        <v>0</v>
      </c>
    </row>
    <row r="117" spans="1:3" ht="15" customHeight="1" x14ac:dyDescent="0.25">
      <c r="A117" s="94">
        <f>IF('Cash Flow Analysis'!C85="","",'Cash Flow Analysis'!C85)</f>
        <v>18</v>
      </c>
      <c r="B117" s="109">
        <f t="shared" ref="B117:B140" ca="1" si="48">SUM(W49,V50,U51,T52,S53,R54,Q55,P56,O57,N58,M59,L60,K61,J62,I63,H64,G65,F66,E67,D68,C69)</f>
        <v>117044450.91881099</v>
      </c>
      <c r="C117" s="119">
        <f t="shared" si="47"/>
        <v>0</v>
      </c>
    </row>
    <row r="118" spans="1:3" ht="15" customHeight="1" x14ac:dyDescent="0.25">
      <c r="A118" s="94">
        <f>IF('Cash Flow Analysis'!C86="","",'Cash Flow Analysis'!C86)</f>
        <v>19</v>
      </c>
      <c r="B118" s="109">
        <f t="shared" ca="1" si="48"/>
        <v>119720878.00423342</v>
      </c>
      <c r="C118" s="119">
        <f t="shared" si="47"/>
        <v>0</v>
      </c>
    </row>
    <row r="119" spans="1:3" ht="15" customHeight="1" x14ac:dyDescent="0.25">
      <c r="A119" s="94">
        <f>IF('Cash Flow Analysis'!C87="","",'Cash Flow Analysis'!C87)</f>
        <v>20</v>
      </c>
      <c r="B119" s="109">
        <f t="shared" ca="1" si="48"/>
        <v>122414457.08378832</v>
      </c>
      <c r="C119" s="119">
        <f t="shared" si="47"/>
        <v>0</v>
      </c>
    </row>
    <row r="120" spans="1:3" ht="15" customHeight="1" x14ac:dyDescent="0.25">
      <c r="A120" s="94">
        <f>IF('Cash Flow Analysis'!C88="","",'Cash Flow Analysis'!C88)</f>
        <v>21</v>
      </c>
      <c r="B120" s="109">
        <f t="shared" ca="1" si="48"/>
        <v>87491484.556561574</v>
      </c>
      <c r="C120" s="119">
        <f t="shared" si="47"/>
        <v>0</v>
      </c>
    </row>
    <row r="121" spans="1:3" ht="15" customHeight="1" x14ac:dyDescent="0.25">
      <c r="A121" s="94">
        <f>IF('Cash Flow Analysis'!C89="","",'Cash Flow Analysis'!C89)</f>
        <v>22</v>
      </c>
      <c r="B121" s="109">
        <f t="shared" ca="1" si="48"/>
        <v>51670283.678465798</v>
      </c>
      <c r="C121" s="119">
        <f t="shared" si="47"/>
        <v>0</v>
      </c>
    </row>
    <row r="122" spans="1:3" ht="15" customHeight="1" x14ac:dyDescent="0.25">
      <c r="A122" s="94">
        <f>IF('Cash Flow Analysis'!C90="","",'Cash Flow Analysis'!C90)</f>
        <v>23</v>
      </c>
      <c r="B122" s="109">
        <f t="shared" ca="1" si="48"/>
        <v>52652019.068356648</v>
      </c>
      <c r="C122" s="119">
        <f t="shared" si="47"/>
        <v>0</v>
      </c>
    </row>
    <row r="123" spans="1:3" ht="15" customHeight="1" x14ac:dyDescent="0.25">
      <c r="A123" s="94">
        <f>IF('Cash Flow Analysis'!C91="","",'Cash Flow Analysis'!C91)</f>
        <v>24</v>
      </c>
      <c r="B123" s="109">
        <f t="shared" ca="1" si="48"/>
        <v>53652407.430655412</v>
      </c>
      <c r="C123" s="119">
        <f t="shared" si="47"/>
        <v>0</v>
      </c>
    </row>
    <row r="124" spans="1:3" ht="15" customHeight="1" x14ac:dyDescent="0.25">
      <c r="A124" s="94">
        <f>IF('Cash Flow Analysis'!C92="","",'Cash Flow Analysis'!C92)</f>
        <v>25</v>
      </c>
      <c r="B124" s="109">
        <f t="shared" ca="1" si="48"/>
        <v>54671803.171837866</v>
      </c>
      <c r="C124" s="119">
        <f t="shared" si="47"/>
        <v>0</v>
      </c>
    </row>
    <row r="125" spans="1:3" ht="15" customHeight="1" x14ac:dyDescent="0.25">
      <c r="A125" s="94">
        <f>IF('Cash Flow Analysis'!C93="","",'Cash Flow Analysis'!C93)</f>
        <v>26</v>
      </c>
      <c r="B125" s="109">
        <f t="shared" ca="1" si="48"/>
        <v>55710567.432102785</v>
      </c>
      <c r="C125" s="119">
        <f t="shared" si="47"/>
        <v>0</v>
      </c>
    </row>
    <row r="126" spans="1:3" ht="15" customHeight="1" x14ac:dyDescent="0.25">
      <c r="A126" s="94">
        <f>IF('Cash Flow Analysis'!C94="","",'Cash Flow Analysis'!C94)</f>
        <v>27</v>
      </c>
      <c r="B126" s="109">
        <f t="shared" ca="1" si="48"/>
        <v>56769068.213312723</v>
      </c>
      <c r="C126" s="119">
        <f t="shared" si="47"/>
        <v>0</v>
      </c>
    </row>
    <row r="127" spans="1:3" ht="15" customHeight="1" x14ac:dyDescent="0.25">
      <c r="A127" s="94">
        <f>IF('Cash Flow Analysis'!C95="","",'Cash Flow Analysis'!C95)</f>
        <v>28</v>
      </c>
      <c r="B127" s="109">
        <f t="shared" ca="1" si="48"/>
        <v>57847680.50936567</v>
      </c>
      <c r="C127" s="119">
        <f t="shared" si="47"/>
        <v>0</v>
      </c>
    </row>
    <row r="128" spans="1:3" ht="15" customHeight="1" x14ac:dyDescent="0.25">
      <c r="A128" s="94">
        <f>IF('Cash Flow Analysis'!C96="","",'Cash Flow Analysis'!C96)</f>
        <v>29</v>
      </c>
      <c r="B128" s="109">
        <f t="shared" ca="1" si="48"/>
        <v>58946786.439043626</v>
      </c>
      <c r="C128" s="119">
        <f t="shared" si="47"/>
        <v>0</v>
      </c>
    </row>
    <row r="129" spans="1:3" ht="15" customHeight="1" x14ac:dyDescent="0.25">
      <c r="A129" s="94">
        <f>IF('Cash Flow Analysis'!C97="","",'Cash Flow Analysis'!C97)</f>
        <v>30</v>
      </c>
      <c r="B129" s="109">
        <f t="shared" ca="1" si="48"/>
        <v>60066775.381385453</v>
      </c>
      <c r="C129" s="119">
        <f t="shared" si="47"/>
        <v>0</v>
      </c>
    </row>
    <row r="130" spans="1:3" ht="15" customHeight="1" x14ac:dyDescent="0.25">
      <c r="A130" s="94" t="str">
        <f>IF('Cash Flow Analysis'!C98="","",'Cash Flow Analysis'!C98)</f>
        <v/>
      </c>
      <c r="B130" s="109">
        <f t="shared" ca="1" si="48"/>
        <v>58497657.922121458</v>
      </c>
      <c r="C130" s="119">
        <f t="shared" ca="1" si="47"/>
        <v>58497657.922121458</v>
      </c>
    </row>
    <row r="131" spans="1:3" ht="15" customHeight="1" x14ac:dyDescent="0.25">
      <c r="A131" s="94" t="str">
        <f>IF('Cash Flow Analysis'!C99="","",'Cash Flow Analysis'!C99)</f>
        <v/>
      </c>
      <c r="B131" s="109">
        <f t="shared" ca="1" si="48"/>
        <v>54391439.311571658</v>
      </c>
      <c r="C131" s="119">
        <f t="shared" ca="1" si="47"/>
        <v>54391439.311571658</v>
      </c>
    </row>
    <row r="132" spans="1:3" ht="15" customHeight="1" x14ac:dyDescent="0.25">
      <c r="A132" s="94" t="str">
        <f>IF('Cash Flow Analysis'!C100="","",'Cash Flow Analysis'!C100)</f>
        <v/>
      </c>
      <c r="B132" s="109">
        <f t="shared" ca="1" si="48"/>
        <v>50598943.698301032</v>
      </c>
      <c r="C132" s="119">
        <f t="shared" ca="1" si="47"/>
        <v>50598943.698301032</v>
      </c>
    </row>
    <row r="133" spans="1:3" ht="15" customHeight="1" x14ac:dyDescent="0.25">
      <c r="A133" s="94" t="str">
        <f>IF('Cash Flow Analysis'!C101="","",'Cash Flow Analysis'!C101)</f>
        <v/>
      </c>
      <c r="B133" s="109">
        <f t="shared" ca="1" si="48"/>
        <v>47095775.493912973</v>
      </c>
      <c r="C133" s="119">
        <f t="shared" ca="1" si="47"/>
        <v>47095775.493912973</v>
      </c>
    </row>
    <row r="134" spans="1:3" ht="15" customHeight="1" x14ac:dyDescent="0.25">
      <c r="A134" s="94" t="str">
        <f>IF('Cash Flow Analysis'!C102="","",'Cash Flow Analysis'!C102)</f>
        <v/>
      </c>
      <c r="B134" s="109">
        <f t="shared" ca="1" si="48"/>
        <v>43861412.211737737</v>
      </c>
      <c r="C134" s="119">
        <f t="shared" ca="1" si="47"/>
        <v>43861412.211737737</v>
      </c>
    </row>
    <row r="135" spans="1:3" ht="15" customHeight="1" x14ac:dyDescent="0.25">
      <c r="A135" s="94" t="str">
        <f>IF('Cash Flow Analysis'!C103="","",'Cash Flow Analysis'!C103)</f>
        <v/>
      </c>
      <c r="B135" s="109">
        <f t="shared" ca="1" si="48"/>
        <v>40874941.437858902</v>
      </c>
      <c r="C135" s="119">
        <f t="shared" ca="1" si="47"/>
        <v>40874941.437858902</v>
      </c>
    </row>
    <row r="136" spans="1:3" ht="15" customHeight="1" x14ac:dyDescent="0.25">
      <c r="A136" s="94" t="str">
        <f>IF('Cash Flow Analysis'!C104="","",'Cash Flow Analysis'!C104)</f>
        <v/>
      </c>
      <c r="B136" s="109">
        <f t="shared" ca="1" si="48"/>
        <v>38118667.270750917</v>
      </c>
      <c r="C136" s="119">
        <f t="shared" ca="1" si="47"/>
        <v>38118667.270750917</v>
      </c>
    </row>
    <row r="137" spans="1:3" ht="15" customHeight="1" x14ac:dyDescent="0.25">
      <c r="A137" s="94" t="str">
        <f>IF('Cash Flow Analysis'!C105="","",'Cash Flow Analysis'!C105)</f>
        <v/>
      </c>
      <c r="B137" s="109">
        <f t="shared" ca="1" si="48"/>
        <v>35574557.586759284</v>
      </c>
      <c r="C137" s="119">
        <f t="shared" ca="1" si="47"/>
        <v>35574557.586759284</v>
      </c>
    </row>
    <row r="138" spans="1:3" ht="15" customHeight="1" x14ac:dyDescent="0.25">
      <c r="A138" s="94" t="str">
        <f>IF('Cash Flow Analysis'!C106="","",'Cash Flow Analysis'!C106)</f>
        <v/>
      </c>
      <c r="B138" s="109">
        <f t="shared" ca="1" si="48"/>
        <v>33025475.997835979</v>
      </c>
      <c r="C138" s="119">
        <f t="shared" ca="1" si="47"/>
        <v>33025475.997835979</v>
      </c>
    </row>
    <row r="139" spans="1:3" ht="15" customHeight="1" x14ac:dyDescent="0.25">
      <c r="A139" s="94" t="str">
        <f>IF('Cash Flow Analysis'!C107="","",'Cash Flow Analysis'!C107)</f>
        <v/>
      </c>
      <c r="B139" s="109">
        <f t="shared" ca="1" si="48"/>
        <v>30428684.6283742</v>
      </c>
      <c r="C139" s="119">
        <f t="shared" ca="1" si="47"/>
        <v>30428684.6283742</v>
      </c>
    </row>
    <row r="140" spans="1:3" ht="15" customHeight="1" thickBot="1" x14ac:dyDescent="0.3">
      <c r="A140" s="120" t="str">
        <f>IF('Cash Flow Analysis'!C108="","",'Cash Flow Analysis'!C108)</f>
        <v/>
      </c>
      <c r="B140" s="121">
        <f t="shared" ca="1" si="48"/>
        <v>27781831.453241576</v>
      </c>
      <c r="C140" s="122">
        <f t="shared" ca="1" si="47"/>
        <v>27781831.453241576</v>
      </c>
    </row>
    <row r="141" spans="1:3" ht="15" customHeight="1" thickTop="1" thickBot="1" x14ac:dyDescent="0.3">
      <c r="A141" s="123" t="s">
        <v>62</v>
      </c>
      <c r="B141" s="124">
        <f ca="1">SUM(B97:B140)</f>
        <v>3167699006.1633749</v>
      </c>
      <c r="C141" s="125">
        <f ca="1">SUM(C97:C140)</f>
        <v>460249387.01246572</v>
      </c>
    </row>
    <row r="142" spans="1:3" ht="15" customHeight="1" thickTop="1" x14ac:dyDescent="0.25">
      <c r="A142" s="126"/>
      <c r="B142" s="127"/>
      <c r="C142" s="128"/>
    </row>
    <row r="143" spans="1:3" ht="15" customHeight="1" thickBot="1" x14ac:dyDescent="0.3">
      <c r="A143" s="38" t="str">
        <f>IF('Cash Flow Analysis'!C109="","",'Cash Flow Analysis'!C109)</f>
        <v/>
      </c>
      <c r="B143" s="115"/>
    </row>
    <row r="144" spans="1:3" ht="31.5" customHeight="1" thickTop="1" x14ac:dyDescent="0.3">
      <c r="A144" s="1767" t="s">
        <v>63</v>
      </c>
      <c r="B144" s="1768"/>
    </row>
    <row r="145" spans="1:2" ht="16.5" customHeight="1" thickBot="1" x14ac:dyDescent="0.3">
      <c r="A145" s="129" t="s">
        <v>64</v>
      </c>
      <c r="B145" s="130" t="s">
        <v>60</v>
      </c>
    </row>
    <row r="146" spans="1:2" ht="15" customHeight="1" thickTop="1" x14ac:dyDescent="0.25">
      <c r="A146" s="131">
        <v>1</v>
      </c>
      <c r="B146" s="105">
        <f ca="1">SUM(D92,E91,F90,G89,H88,I87,J86,K85,L84,M83,N82,O81,P80,Q79,R78,S77,T76,U75,V74,W73)</f>
        <v>25085410.837432507</v>
      </c>
    </row>
    <row r="147" spans="1:2" ht="15" customHeight="1" x14ac:dyDescent="0.25">
      <c r="A147" s="94">
        <v>2</v>
      </c>
      <c r="B147" s="110">
        <f ca="1">SUM(E92,F91,G90,H89,I88,J87,K86,L85,M84,N83,O82,P81,Q80,R79,S78,T77,U76,V75,W74)</f>
        <v>22337035.460271996</v>
      </c>
    </row>
    <row r="148" spans="1:2" ht="15" customHeight="1" x14ac:dyDescent="0.25">
      <c r="A148" s="94">
        <v>3</v>
      </c>
      <c r="B148" s="110">
        <f ca="1">SUM(F92,G91,H90,I89,J88,K87,L86,M85,N84,O83,P82,Q81,R80,S79,T78,U77,V76,W75)</f>
        <v>19537163.7205965</v>
      </c>
    </row>
    <row r="149" spans="1:2" ht="15" customHeight="1" x14ac:dyDescent="0.25">
      <c r="A149" s="94">
        <v>4</v>
      </c>
      <c r="B149" s="110">
        <f ca="1">SUM(G92,H91,I90,J89,K88,L87,M86,N85,O84,P83,Q82,R81,S80,T79,U78,V77,W76)</f>
        <v>16683371.648216102</v>
      </c>
    </row>
    <row r="150" spans="1:2" ht="15" customHeight="1" x14ac:dyDescent="0.25">
      <c r="A150" s="94">
        <v>5</v>
      </c>
      <c r="B150" s="110">
        <f ca="1">SUM(H92,I91,J90,K89,L88,M87,N86,O85,P84,Q83,R82,S81,T80,U79,V78,W77)</f>
        <v>13776080.296111546</v>
      </c>
    </row>
    <row r="151" spans="1:2" ht="15" customHeight="1" x14ac:dyDescent="0.25">
      <c r="A151" s="94">
        <v>6</v>
      </c>
      <c r="B151" s="110">
        <f ca="1">SUM(I92,J91,K90,L89,M88,N87,O86,P85,Q84,R83,S82,T81,U80,V79,W78)</f>
        <v>10812827.638665933</v>
      </c>
    </row>
    <row r="152" spans="1:2" ht="15" customHeight="1" x14ac:dyDescent="0.25">
      <c r="A152" s="94">
        <v>7</v>
      </c>
      <c r="B152" s="110">
        <f ca="1">SUM(J92,K91,L90,M89,N88,O87,P86,Q85,R84,S83,T82,U81,V80,W79)</f>
        <v>7793995.9503799248</v>
      </c>
    </row>
    <row r="153" spans="1:2" ht="15" customHeight="1" x14ac:dyDescent="0.25">
      <c r="A153" s="94">
        <v>8</v>
      </c>
      <c r="B153" s="110">
        <f ca="1">SUM(K92,L91,M90,N89,O88,P87,Q86,R85,S84,T83,U82,V81,W80)</f>
        <v>4717083.6903654113</v>
      </c>
    </row>
    <row r="154" spans="1:2" ht="15" customHeight="1" x14ac:dyDescent="0.25">
      <c r="A154" s="94">
        <v>9</v>
      </c>
      <c r="B154" s="110">
        <f ca="1">SUM(L92,M91,N90,O89,P88,Q87,R86,S85,T84,U83,V82,W81)</f>
        <v>1582432.8670616932</v>
      </c>
    </row>
    <row r="155" spans="1:2" ht="15" customHeight="1" x14ac:dyDescent="0.25">
      <c r="A155" s="94">
        <v>10</v>
      </c>
      <c r="B155" s="110">
        <f>SUM(M92,N91,O90,P89,Q88,R87,S86,T85,U84,V83,W82)</f>
        <v>0</v>
      </c>
    </row>
    <row r="156" spans="1:2" ht="15" customHeight="1" x14ac:dyDescent="0.25">
      <c r="A156" s="94">
        <v>11</v>
      </c>
      <c r="B156" s="110">
        <f>SUM(N92,O91,P90,Q89,R88,S87,T86,U85,V84,W83)</f>
        <v>0</v>
      </c>
    </row>
    <row r="157" spans="1:2" ht="15" customHeight="1" x14ac:dyDescent="0.25">
      <c r="A157" s="94">
        <v>12</v>
      </c>
      <c r="B157" s="110">
        <f>SUM(O92,P91,Q90,R89,S88,T87,U86,V85,W84)</f>
        <v>0</v>
      </c>
    </row>
    <row r="158" spans="1:2" ht="15" customHeight="1" x14ac:dyDescent="0.25">
      <c r="A158" s="94">
        <v>13</v>
      </c>
      <c r="B158" s="110">
        <f>SUM(P92,Q91,R90,S89,T88,U87,V86,W85)</f>
        <v>0</v>
      </c>
    </row>
    <row r="159" spans="1:2" ht="15" customHeight="1" x14ac:dyDescent="0.25">
      <c r="A159" s="94">
        <v>14</v>
      </c>
      <c r="B159" s="110">
        <f>SUM(Q92,R91,S90,T89,U88,V87,W86)</f>
        <v>0</v>
      </c>
    </row>
    <row r="160" spans="1:2" ht="15" customHeight="1" x14ac:dyDescent="0.25">
      <c r="A160" s="94">
        <v>15</v>
      </c>
      <c r="B160" s="110">
        <f>SUM(R92,S91,T90,U89,V88,W87)</f>
        <v>0</v>
      </c>
    </row>
    <row r="161" spans="1:2" ht="15" customHeight="1" x14ac:dyDescent="0.25">
      <c r="A161" s="94">
        <v>16</v>
      </c>
      <c r="B161" s="110">
        <f>SUM(S92,T91,U90,V89,W88)</f>
        <v>0</v>
      </c>
    </row>
    <row r="162" spans="1:2" ht="15" customHeight="1" x14ac:dyDescent="0.25">
      <c r="A162" s="94">
        <v>17</v>
      </c>
      <c r="B162" s="110">
        <f>SUM(T92,U91,V90,W89)</f>
        <v>0</v>
      </c>
    </row>
    <row r="163" spans="1:2" ht="15" customHeight="1" x14ac:dyDescent="0.25">
      <c r="A163" s="94">
        <v>18</v>
      </c>
      <c r="B163" s="110">
        <f>SUM(U92,V91,W90)</f>
        <v>0</v>
      </c>
    </row>
    <row r="164" spans="1:2" ht="15" customHeight="1" x14ac:dyDescent="0.25">
      <c r="A164" s="94">
        <v>19</v>
      </c>
      <c r="B164" s="110">
        <f>SUM(V92,W91)</f>
        <v>0</v>
      </c>
    </row>
    <row r="165" spans="1:2" ht="15" customHeight="1" thickBot="1" x14ac:dyDescent="0.3">
      <c r="A165" s="96">
        <v>20</v>
      </c>
      <c r="B165" s="97">
        <f>SUM(W92)</f>
        <v>0</v>
      </c>
    </row>
    <row r="166" spans="1:2" ht="14.4" thickTop="1" thickBot="1" x14ac:dyDescent="0.3">
      <c r="A166" s="123" t="s">
        <v>62</v>
      </c>
      <c r="B166" s="132">
        <f ca="1">SUM(B146:B165)</f>
        <v>122325402.10910161</v>
      </c>
    </row>
    <row r="167" spans="1:2" ht="13.8" thickTop="1" x14ac:dyDescent="0.25"/>
  </sheetData>
  <mergeCells count="2">
    <mergeCell ref="C13:H13"/>
    <mergeCell ref="A144:B144"/>
  </mergeCells>
  <phoneticPr fontId="0" type="noConversion"/>
  <pageMargins left="0.75" right="0.75" top="1" bottom="1" header="0.5" footer="0.5"/>
  <pageSetup scale="46" fitToHeight="0" orientation="landscape" r:id="rId1"/>
  <headerFooter alignWithMargins="0"/>
  <rowBreaks count="1" manualBreakCount="1">
    <brk id="60" max="16383" man="1"/>
  </rowBreaks>
  <colBreaks count="1" manualBreakCount="1">
    <brk id="11"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18"/>
  </sheetPr>
  <dimension ref="A1:E31"/>
  <sheetViews>
    <sheetView workbookViewId="0"/>
  </sheetViews>
  <sheetFormatPr defaultRowHeight="13.2" x14ac:dyDescent="0.25"/>
  <cols>
    <col min="1" max="1" width="33" customWidth="1"/>
    <col min="2" max="2" width="10" customWidth="1"/>
    <col min="3" max="3" width="14" customWidth="1"/>
    <col min="4" max="4" width="11.109375" customWidth="1"/>
    <col min="5" max="5" width="60.88671875" customWidth="1"/>
    <col min="7" max="8" width="14" customWidth="1"/>
    <col min="11" max="11" width="14.109375" customWidth="1"/>
    <col min="12" max="12" width="18.33203125" customWidth="1"/>
    <col min="15" max="15" width="12.44140625" bestFit="1" customWidth="1"/>
    <col min="16" max="16" width="14.33203125" customWidth="1"/>
  </cols>
  <sheetData>
    <row r="1" spans="1:5" s="2" customFormat="1" ht="13.8" x14ac:dyDescent="0.25">
      <c r="A1" s="2" t="s">
        <v>284</v>
      </c>
      <c r="B1" s="2" t="s">
        <v>285</v>
      </c>
      <c r="C1" s="2" t="s">
        <v>286</v>
      </c>
    </row>
    <row r="2" spans="1:5" ht="13.8" x14ac:dyDescent="0.25">
      <c r="A2" s="2" t="s">
        <v>287</v>
      </c>
    </row>
    <row r="3" spans="1:5" x14ac:dyDescent="0.25">
      <c r="A3" t="s">
        <v>288</v>
      </c>
      <c r="B3" t="s">
        <v>289</v>
      </c>
      <c r="C3">
        <v>1.6093</v>
      </c>
      <c r="D3" t="s">
        <v>642</v>
      </c>
    </row>
    <row r="4" spans="1:5" x14ac:dyDescent="0.25">
      <c r="A4" t="s">
        <v>290</v>
      </c>
      <c r="B4" t="s">
        <v>291</v>
      </c>
      <c r="C4">
        <v>3.7850000000000001</v>
      </c>
      <c r="D4" t="s">
        <v>643</v>
      </c>
    </row>
    <row r="5" spans="1:5" x14ac:dyDescent="0.25">
      <c r="A5" t="s">
        <v>292</v>
      </c>
      <c r="B5" t="s">
        <v>293</v>
      </c>
      <c r="C5">
        <v>1.8263969224024776E-2</v>
      </c>
      <c r="D5" t="s">
        <v>644</v>
      </c>
    </row>
    <row r="6" spans="1:5" x14ac:dyDescent="0.25">
      <c r="A6" t="s">
        <v>851</v>
      </c>
      <c r="B6" t="s">
        <v>1009</v>
      </c>
      <c r="C6">
        <v>2.6852999999999998E-2</v>
      </c>
      <c r="D6" t="s">
        <v>645</v>
      </c>
      <c r="E6" t="s">
        <v>709</v>
      </c>
    </row>
    <row r="7" spans="1:5" x14ac:dyDescent="0.25">
      <c r="A7" t="s">
        <v>859</v>
      </c>
      <c r="B7" t="s">
        <v>268</v>
      </c>
      <c r="C7">
        <f>1/2.205</f>
        <v>0.45351473922902491</v>
      </c>
      <c r="D7" t="s">
        <v>646</v>
      </c>
    </row>
    <row r="8" spans="1:5" x14ac:dyDescent="0.25">
      <c r="A8" t="s">
        <v>916</v>
      </c>
      <c r="B8" t="s">
        <v>1009</v>
      </c>
      <c r="C8">
        <v>2.8316999999999998E-2</v>
      </c>
      <c r="D8" t="s">
        <v>647</v>
      </c>
      <c r="E8" t="s">
        <v>710</v>
      </c>
    </row>
    <row r="9" spans="1:5" x14ac:dyDescent="0.25">
      <c r="A9" t="s">
        <v>377</v>
      </c>
      <c r="B9" t="s">
        <v>415</v>
      </c>
      <c r="C9">
        <v>145.03800000000001</v>
      </c>
      <c r="D9" t="s">
        <v>551</v>
      </c>
    </row>
    <row r="11" spans="1:5" ht="13.8" x14ac:dyDescent="0.25">
      <c r="A11" s="2" t="s">
        <v>294</v>
      </c>
    </row>
    <row r="12" spans="1:5" x14ac:dyDescent="0.25">
      <c r="A12" t="s">
        <v>295</v>
      </c>
      <c r="B12" t="s">
        <v>296</v>
      </c>
      <c r="C12">
        <v>0.27777777777777779</v>
      </c>
    </row>
    <row r="13" spans="1:5" x14ac:dyDescent="0.25">
      <c r="A13" t="s">
        <v>297</v>
      </c>
      <c r="B13" t="s">
        <v>296</v>
      </c>
      <c r="C13">
        <v>34.022625288888882</v>
      </c>
    </row>
    <row r="14" spans="1:5" x14ac:dyDescent="0.25">
      <c r="A14" t="s">
        <v>298</v>
      </c>
      <c r="B14" t="s">
        <v>299</v>
      </c>
      <c r="C14">
        <v>0.97933196399532141</v>
      </c>
    </row>
    <row r="15" spans="1:5" x14ac:dyDescent="0.25">
      <c r="A15" t="s">
        <v>298</v>
      </c>
      <c r="B15" t="s">
        <v>296</v>
      </c>
      <c r="C15">
        <f>kgH2_to_GJ*MJ_to_kWh*1000</f>
        <v>33.392121748655818</v>
      </c>
    </row>
    <row r="16" spans="1:5" x14ac:dyDescent="0.25">
      <c r="A16" t="s">
        <v>298</v>
      </c>
      <c r="B16" t="s">
        <v>1075</v>
      </c>
      <c r="C16">
        <f>H2_LHV_MJ_p_kg/1000</f>
        <v>0.12021163829516093</v>
      </c>
    </row>
    <row r="17" spans="1:3" x14ac:dyDescent="0.25">
      <c r="A17" t="s">
        <v>300</v>
      </c>
      <c r="B17" t="s">
        <v>296</v>
      </c>
      <c r="C17">
        <v>2.9308323563892143E-4</v>
      </c>
    </row>
    <row r="18" spans="1:3" x14ac:dyDescent="0.25">
      <c r="A18" t="s">
        <v>1074</v>
      </c>
      <c r="B18" t="s">
        <v>1075</v>
      </c>
      <c r="C18">
        <v>1.0549999999999999</v>
      </c>
    </row>
    <row r="21" spans="1:3" ht="13.8" x14ac:dyDescent="0.25">
      <c r="A21" s="2" t="s">
        <v>537</v>
      </c>
      <c r="C21" s="463" t="s">
        <v>841</v>
      </c>
    </row>
    <row r="22" spans="1:3" x14ac:dyDescent="0.25">
      <c r="A22" t="s">
        <v>403</v>
      </c>
      <c r="B22">
        <v>1</v>
      </c>
    </row>
    <row r="23" spans="1:3" x14ac:dyDescent="0.25">
      <c r="A23" t="s">
        <v>404</v>
      </c>
      <c r="B23">
        <v>25</v>
      </c>
    </row>
    <row r="24" spans="1:3" x14ac:dyDescent="0.25">
      <c r="A24" t="s">
        <v>405</v>
      </c>
      <c r="B24">
        <v>298</v>
      </c>
    </row>
    <row r="27" spans="1:3" ht="13.8" x14ac:dyDescent="0.25">
      <c r="A27" s="2" t="s">
        <v>704</v>
      </c>
    </row>
    <row r="28" spans="1:3" x14ac:dyDescent="0.25">
      <c r="A28" t="s">
        <v>705</v>
      </c>
      <c r="B28" t="s">
        <v>706</v>
      </c>
    </row>
    <row r="29" spans="1:3" x14ac:dyDescent="0.25">
      <c r="A29" t="s">
        <v>865</v>
      </c>
      <c r="B29">
        <f>mmBTU_to_GJ</f>
        <v>1.0549999999999999</v>
      </c>
    </row>
    <row r="30" spans="1:3" x14ac:dyDescent="0.25">
      <c r="A30" t="s">
        <v>296</v>
      </c>
      <c r="B30">
        <f>1/MJ_to_kWh/1000</f>
        <v>3.5999999999999995E-3</v>
      </c>
    </row>
    <row r="31" spans="1:3" x14ac:dyDescent="0.25">
      <c r="A31" t="s">
        <v>1075</v>
      </c>
      <c r="B31">
        <v>1</v>
      </c>
    </row>
  </sheetData>
  <phoneticPr fontId="4"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indexed="18"/>
  </sheetPr>
  <dimension ref="A1:AC80"/>
  <sheetViews>
    <sheetView workbookViewId="0">
      <selection activeCell="G33" sqref="G33:H33"/>
    </sheetView>
  </sheetViews>
  <sheetFormatPr defaultRowHeight="13.2" x14ac:dyDescent="0.25"/>
  <cols>
    <col min="1" max="1" width="17" customWidth="1"/>
    <col min="3" max="3" width="13.6640625" customWidth="1"/>
    <col min="5" max="5" width="16" customWidth="1"/>
    <col min="7" max="7" width="56.44140625" customWidth="1"/>
    <col min="8" max="8" width="18.88671875" customWidth="1"/>
    <col min="10" max="10" width="22.33203125" customWidth="1"/>
    <col min="11" max="11" width="33.88671875" customWidth="1"/>
    <col min="13" max="13" width="21" customWidth="1"/>
    <col min="15" max="15" width="20.6640625" customWidth="1"/>
    <col min="16" max="16" width="17.109375" customWidth="1"/>
    <col min="18" max="18" width="21" customWidth="1"/>
    <col min="20" max="20" width="14.5546875" customWidth="1"/>
    <col min="22" max="22" width="18.5546875" customWidth="1"/>
    <col min="25" max="25" width="22.5546875" customWidth="1"/>
    <col min="26" max="26" width="15.109375" customWidth="1"/>
    <col min="28" max="28" width="18.6640625" customWidth="1"/>
    <col min="29" max="29" width="18.5546875" customWidth="1"/>
  </cols>
  <sheetData>
    <row r="1" spans="1:29" x14ac:dyDescent="0.25">
      <c r="A1" s="1" t="s">
        <v>1092</v>
      </c>
    </row>
    <row r="2" spans="1:29" x14ac:dyDescent="0.25">
      <c r="J2" s="1" t="s">
        <v>814</v>
      </c>
    </row>
    <row r="3" spans="1:29" x14ac:dyDescent="0.25">
      <c r="A3" s="1" t="s">
        <v>1006</v>
      </c>
      <c r="C3" s="1" t="s">
        <v>22</v>
      </c>
      <c r="E3" s="1" t="s">
        <v>166</v>
      </c>
      <c r="G3" s="1" t="s">
        <v>11</v>
      </c>
      <c r="J3" s="969" t="s">
        <v>1118</v>
      </c>
      <c r="M3" s="1" t="s">
        <v>75</v>
      </c>
      <c r="O3" s="1" t="s">
        <v>439</v>
      </c>
      <c r="R3" s="1" t="s">
        <v>666</v>
      </c>
      <c r="T3" s="1" t="s">
        <v>434</v>
      </c>
      <c r="V3" s="1" t="s">
        <v>436</v>
      </c>
      <c r="Y3" s="1" t="s">
        <v>346</v>
      </c>
      <c r="AB3" s="1" t="s">
        <v>1067</v>
      </c>
    </row>
    <row r="4" spans="1:29" x14ac:dyDescent="0.25">
      <c r="A4" t="s">
        <v>1007</v>
      </c>
      <c r="C4" t="s">
        <v>23</v>
      </c>
      <c r="E4" s="1">
        <v>100000</v>
      </c>
      <c r="G4" t="s">
        <v>324</v>
      </c>
      <c r="H4" t="s">
        <v>8</v>
      </c>
      <c r="J4" s="969" t="s">
        <v>1106</v>
      </c>
      <c r="M4" t="s">
        <v>1043</v>
      </c>
      <c r="O4" t="str">
        <f>M7</f>
        <v>ref_year</v>
      </c>
      <c r="P4">
        <v>2016</v>
      </c>
      <c r="R4" s="463" t="s">
        <v>1043</v>
      </c>
      <c r="T4">
        <v>1</v>
      </c>
      <c r="U4" t="s">
        <v>435</v>
      </c>
      <c r="V4" t="s">
        <v>417</v>
      </c>
      <c r="W4">
        <v>1.1000000000000001</v>
      </c>
      <c r="Y4" t="s">
        <v>339</v>
      </c>
      <c r="Z4">
        <v>0.9</v>
      </c>
      <c r="AB4" t="s">
        <v>27</v>
      </c>
      <c r="AC4" s="463" t="s">
        <v>825</v>
      </c>
    </row>
    <row r="5" spans="1:29" x14ac:dyDescent="0.25">
      <c r="A5" t="s">
        <v>1008</v>
      </c>
      <c r="C5" t="s">
        <v>282</v>
      </c>
      <c r="G5" t="s">
        <v>335</v>
      </c>
      <c r="H5" t="s">
        <v>26</v>
      </c>
      <c r="J5" s="969" t="s">
        <v>1107</v>
      </c>
      <c r="M5" t="s">
        <v>8</v>
      </c>
      <c r="O5" t="str">
        <f>M18</f>
        <v>depr_type</v>
      </c>
      <c r="P5" t="s">
        <v>438</v>
      </c>
      <c r="R5" s="463" t="s">
        <v>937</v>
      </c>
      <c r="T5">
        <v>1.2</v>
      </c>
      <c r="U5" t="s">
        <v>424</v>
      </c>
      <c r="V5" t="s">
        <v>418</v>
      </c>
      <c r="W5">
        <v>1</v>
      </c>
      <c r="Y5" t="s">
        <v>340</v>
      </c>
      <c r="Z5">
        <v>0.04</v>
      </c>
      <c r="AB5" t="s">
        <v>179</v>
      </c>
      <c r="AC5" s="463" t="s">
        <v>825</v>
      </c>
    </row>
    <row r="6" spans="1:29" x14ac:dyDescent="0.25">
      <c r="G6" t="s">
        <v>373</v>
      </c>
      <c r="H6" t="s">
        <v>182</v>
      </c>
      <c r="J6" s="969" t="s">
        <v>1108</v>
      </c>
      <c r="M6" t="s">
        <v>26</v>
      </c>
      <c r="O6" t="str">
        <f>M19</f>
        <v>equity</v>
      </c>
      <c r="P6" s="1476">
        <v>0.4</v>
      </c>
      <c r="R6" s="463" t="s">
        <v>938</v>
      </c>
      <c r="V6" t="s">
        <v>419</v>
      </c>
      <c r="W6">
        <v>1.05</v>
      </c>
      <c r="Y6" t="s">
        <v>550</v>
      </c>
      <c r="Z6">
        <v>14.7</v>
      </c>
      <c r="AB6" t="s">
        <v>171</v>
      </c>
      <c r="AC6" s="463" t="s">
        <v>825</v>
      </c>
    </row>
    <row r="7" spans="1:29" x14ac:dyDescent="0.25">
      <c r="A7" s="1" t="s">
        <v>270</v>
      </c>
      <c r="C7" s="1" t="s">
        <v>1058</v>
      </c>
      <c r="G7" t="s">
        <v>374</v>
      </c>
      <c r="H7" t="s">
        <v>10</v>
      </c>
      <c r="J7" s="1387" t="s">
        <v>1292</v>
      </c>
      <c r="M7" t="s">
        <v>1026</v>
      </c>
      <c r="O7" t="str">
        <f t="shared" ref="O7:O13" si="0">M25</f>
        <v>decom_percent</v>
      </c>
      <c r="P7">
        <v>0.1</v>
      </c>
      <c r="R7" s="463" t="s">
        <v>939</v>
      </c>
      <c r="V7" t="s">
        <v>420</v>
      </c>
      <c r="W7">
        <v>1.1000000000000001</v>
      </c>
      <c r="Y7" t="s">
        <v>963</v>
      </c>
      <c r="Z7">
        <v>0</v>
      </c>
      <c r="AB7" t="s">
        <v>173</v>
      </c>
      <c r="AC7" s="463" t="s">
        <v>825</v>
      </c>
    </row>
    <row r="8" spans="1:29" x14ac:dyDescent="0.25">
      <c r="A8" t="s">
        <v>248</v>
      </c>
      <c r="C8" t="s">
        <v>1053</v>
      </c>
      <c r="G8" t="s">
        <v>378</v>
      </c>
      <c r="H8" t="s">
        <v>181</v>
      </c>
      <c r="M8" t="s">
        <v>182</v>
      </c>
      <c r="O8" t="str">
        <f t="shared" si="0"/>
        <v>salvage_perct</v>
      </c>
      <c r="P8">
        <v>0.1</v>
      </c>
      <c r="R8" s="463" t="s">
        <v>940</v>
      </c>
      <c r="V8" t="s">
        <v>422</v>
      </c>
      <c r="W8">
        <v>1.1000000000000001</v>
      </c>
      <c r="Y8" s="305" t="s">
        <v>1272</v>
      </c>
      <c r="Z8" s="305">
        <v>1</v>
      </c>
      <c r="AB8" t="s">
        <v>29</v>
      </c>
      <c r="AC8" s="463" t="s">
        <v>825</v>
      </c>
    </row>
    <row r="9" spans="1:29" x14ac:dyDescent="0.25">
      <c r="A9" t="s">
        <v>271</v>
      </c>
      <c r="C9" t="s">
        <v>271</v>
      </c>
      <c r="G9" t="s">
        <v>379</v>
      </c>
      <c r="H9" t="s">
        <v>170</v>
      </c>
      <c r="M9" t="s">
        <v>10</v>
      </c>
      <c r="O9" t="str">
        <f t="shared" si="0"/>
        <v>inflation_rate</v>
      </c>
      <c r="P9">
        <v>1.9E-2</v>
      </c>
      <c r="R9" s="463" t="s">
        <v>941</v>
      </c>
      <c r="V9" t="s">
        <v>421</v>
      </c>
      <c r="W9">
        <v>1.3</v>
      </c>
      <c r="Y9" s="305" t="s">
        <v>345</v>
      </c>
      <c r="Z9" s="305">
        <v>100</v>
      </c>
      <c r="AB9" t="s">
        <v>159</v>
      </c>
      <c r="AC9" s="463" t="s">
        <v>825</v>
      </c>
    </row>
    <row r="10" spans="1:29" x14ac:dyDescent="0.25">
      <c r="A10" t="s">
        <v>272</v>
      </c>
      <c r="C10" t="s">
        <v>1059</v>
      </c>
      <c r="G10" t="s">
        <v>325</v>
      </c>
      <c r="H10" t="s">
        <v>18</v>
      </c>
      <c r="M10" t="s">
        <v>161</v>
      </c>
      <c r="O10" t="str">
        <f t="shared" si="0"/>
        <v>real_irr</v>
      </c>
      <c r="P10" s="1476">
        <v>0.08</v>
      </c>
      <c r="R10" s="463" t="s">
        <v>942</v>
      </c>
      <c r="V10" t="s">
        <v>423</v>
      </c>
      <c r="W10">
        <v>1.5</v>
      </c>
      <c r="Y10" s="305" t="s">
        <v>1254</v>
      </c>
      <c r="Z10" s="305">
        <v>0.75</v>
      </c>
      <c r="AB10" t="s">
        <v>169</v>
      </c>
      <c r="AC10" s="463" t="s">
        <v>825</v>
      </c>
    </row>
    <row r="11" spans="1:29" x14ac:dyDescent="0.25">
      <c r="C11" t="s">
        <v>1072</v>
      </c>
      <c r="G11" t="s">
        <v>326</v>
      </c>
      <c r="H11" t="s">
        <v>178</v>
      </c>
      <c r="J11" s="1" t="s">
        <v>693</v>
      </c>
      <c r="K11" s="1" t="s">
        <v>694</v>
      </c>
      <c r="M11" t="s">
        <v>162</v>
      </c>
      <c r="O11" t="str">
        <f t="shared" si="0"/>
        <v>state_tax_rate</v>
      </c>
      <c r="P11">
        <v>0.06</v>
      </c>
      <c r="R11" s="463" t="s">
        <v>943</v>
      </c>
      <c r="Y11" s="305" t="s">
        <v>1255</v>
      </c>
      <c r="Z11" s="1324" t="s">
        <v>23</v>
      </c>
      <c r="AB11" t="s">
        <v>1094</v>
      </c>
      <c r="AC11" t="s">
        <v>840</v>
      </c>
    </row>
    <row r="12" spans="1:29" x14ac:dyDescent="0.25">
      <c r="C12" t="s">
        <v>272</v>
      </c>
      <c r="G12" t="s">
        <v>327</v>
      </c>
      <c r="H12" t="s">
        <v>30</v>
      </c>
      <c r="J12" s="886" t="str">
        <f>TMP_PriceTable</f>
        <v>AEO_2017_Reference_Case</v>
      </c>
      <c r="K12" t="str">
        <f>J12&amp;"_Feeds"</f>
        <v>AEO_2017_Reference_Case_Feeds</v>
      </c>
      <c r="M12" t="s">
        <v>163</v>
      </c>
      <c r="O12" t="str">
        <f t="shared" si="0"/>
        <v>fed_tax_rate</v>
      </c>
      <c r="P12" s="1476">
        <v>0.21</v>
      </c>
      <c r="R12" s="463" t="s">
        <v>944</v>
      </c>
      <c r="Y12" s="305" t="s">
        <v>1256</v>
      </c>
      <c r="Z12" s="1324" t="s">
        <v>23</v>
      </c>
      <c r="AB12" t="s">
        <v>1095</v>
      </c>
      <c r="AC12" t="s">
        <v>1063</v>
      </c>
    </row>
    <row r="13" spans="1:29" x14ac:dyDescent="0.25">
      <c r="G13" t="s">
        <v>328</v>
      </c>
      <c r="H13" t="s">
        <v>174</v>
      </c>
      <c r="K13" s="1" t="s">
        <v>695</v>
      </c>
      <c r="M13" t="s">
        <v>164</v>
      </c>
      <c r="O13" t="str">
        <f t="shared" si="0"/>
        <v>WorkingCap</v>
      </c>
      <c r="P13">
        <v>0.15</v>
      </c>
      <c r="R13" s="463" t="s">
        <v>945</v>
      </c>
      <c r="Y13" s="305" t="s">
        <v>1257</v>
      </c>
      <c r="Z13" s="305">
        <v>0</v>
      </c>
      <c r="AB13" t="s">
        <v>1023</v>
      </c>
      <c r="AC13">
        <v>0.25</v>
      </c>
    </row>
    <row r="14" spans="1:29" x14ac:dyDescent="0.25">
      <c r="A14" s="1" t="s">
        <v>16</v>
      </c>
      <c r="C14" s="1" t="s">
        <v>199</v>
      </c>
      <c r="G14" t="s">
        <v>329</v>
      </c>
      <c r="H14" t="s">
        <v>184</v>
      </c>
      <c r="K14" t="str">
        <f>J12&amp;"_Years"</f>
        <v>AEO_2017_Reference_Case_Years</v>
      </c>
      <c r="M14" t="s">
        <v>181</v>
      </c>
      <c r="O14" t="s">
        <v>160</v>
      </c>
      <c r="P14">
        <v>0.2</v>
      </c>
      <c r="R14" t="s">
        <v>8</v>
      </c>
      <c r="Y14" s="305" t="s">
        <v>1258</v>
      </c>
      <c r="Z14" s="305">
        <v>53</v>
      </c>
      <c r="AB14" t="s">
        <v>1024</v>
      </c>
      <c r="AC14" t="s">
        <v>840</v>
      </c>
    </row>
    <row r="15" spans="1:29" x14ac:dyDescent="0.25">
      <c r="A15" t="s">
        <v>191</v>
      </c>
      <c r="C15" s="774" t="s">
        <v>200</v>
      </c>
      <c r="G15" t="s">
        <v>330</v>
      </c>
      <c r="H15" t="s">
        <v>28</v>
      </c>
      <c r="M15" t="s">
        <v>170</v>
      </c>
      <c r="O15" t="s">
        <v>186</v>
      </c>
      <c r="P15">
        <v>0.02</v>
      </c>
      <c r="R15" t="s">
        <v>26</v>
      </c>
      <c r="Y15" s="1320"/>
      <c r="Z15" s="1320"/>
      <c r="AB15" t="s">
        <v>31</v>
      </c>
      <c r="AC15" t="s">
        <v>1063</v>
      </c>
    </row>
    <row r="16" spans="1:29" ht="13.8" x14ac:dyDescent="0.25">
      <c r="A16" t="s">
        <v>192</v>
      </c>
      <c r="C16" s="775" t="s">
        <v>201</v>
      </c>
      <c r="G16" t="s">
        <v>331</v>
      </c>
      <c r="H16" t="s">
        <v>189</v>
      </c>
      <c r="M16" t="s">
        <v>7</v>
      </c>
      <c r="O16" t="s">
        <v>177</v>
      </c>
      <c r="P16">
        <v>0</v>
      </c>
      <c r="R16" t="s">
        <v>1026</v>
      </c>
      <c r="Y16" s="1320"/>
      <c r="Z16" s="1321"/>
      <c r="AB16" t="s">
        <v>175</v>
      </c>
      <c r="AC16" t="s">
        <v>1063</v>
      </c>
    </row>
    <row r="17" spans="1:29" x14ac:dyDescent="0.25">
      <c r="A17" t="s">
        <v>243</v>
      </c>
      <c r="C17" s="831" t="s">
        <v>501</v>
      </c>
      <c r="G17" t="s">
        <v>12</v>
      </c>
      <c r="H17" t="s">
        <v>246</v>
      </c>
      <c r="M17" t="s">
        <v>24</v>
      </c>
      <c r="O17" t="s">
        <v>156</v>
      </c>
      <c r="P17">
        <v>0</v>
      </c>
      <c r="R17" t="s">
        <v>182</v>
      </c>
      <c r="AB17" t="s">
        <v>1025</v>
      </c>
      <c r="AC17" t="s">
        <v>1063</v>
      </c>
    </row>
    <row r="18" spans="1:29" x14ac:dyDescent="0.25">
      <c r="A18" t="s">
        <v>244</v>
      </c>
      <c r="C18" s="776" t="s">
        <v>1033</v>
      </c>
      <c r="G18" t="s">
        <v>117</v>
      </c>
      <c r="H18" t="s">
        <v>975</v>
      </c>
      <c r="M18" t="s">
        <v>25</v>
      </c>
      <c r="O18" t="s">
        <v>185</v>
      </c>
      <c r="P18">
        <v>0</v>
      </c>
      <c r="R18" t="s">
        <v>10</v>
      </c>
      <c r="Y18" s="1320"/>
      <c r="Z18" s="1320"/>
      <c r="AB18" t="s">
        <v>172</v>
      </c>
      <c r="AC18" t="s">
        <v>1063</v>
      </c>
    </row>
    <row r="19" spans="1:29" x14ac:dyDescent="0.25">
      <c r="A19" t="s">
        <v>245</v>
      </c>
      <c r="C19" s="479" t="s">
        <v>202</v>
      </c>
      <c r="G19" t="s">
        <v>634</v>
      </c>
      <c r="H19" t="s">
        <v>635</v>
      </c>
      <c r="M19" t="s">
        <v>247</v>
      </c>
      <c r="O19" t="s">
        <v>965</v>
      </c>
      <c r="P19">
        <v>0</v>
      </c>
      <c r="R19" t="s">
        <v>161</v>
      </c>
      <c r="Y19" s="1320"/>
      <c r="Z19" s="1320"/>
      <c r="AB19" t="s">
        <v>157</v>
      </c>
      <c r="AC19" t="s">
        <v>1062</v>
      </c>
    </row>
    <row r="20" spans="1:29" x14ac:dyDescent="0.25">
      <c r="A20" t="s">
        <v>17</v>
      </c>
      <c r="G20" t="s">
        <v>352</v>
      </c>
      <c r="H20" t="s">
        <v>1094</v>
      </c>
      <c r="M20" t="s">
        <v>13</v>
      </c>
      <c r="O20" t="s">
        <v>966</v>
      </c>
      <c r="P20">
        <v>0</v>
      </c>
      <c r="R20" t="s">
        <v>162</v>
      </c>
      <c r="Y20" s="1320"/>
      <c r="Z20" s="1320"/>
      <c r="AB20" t="s">
        <v>158</v>
      </c>
      <c r="AC20" t="s">
        <v>1063</v>
      </c>
    </row>
    <row r="21" spans="1:29" x14ac:dyDescent="0.25">
      <c r="G21" t="s">
        <v>662</v>
      </c>
      <c r="H21" t="s">
        <v>1023</v>
      </c>
      <c r="M21" t="s">
        <v>14</v>
      </c>
      <c r="R21" t="s">
        <v>163</v>
      </c>
      <c r="AB21" t="s">
        <v>187</v>
      </c>
      <c r="AC21" t="s">
        <v>1062</v>
      </c>
    </row>
    <row r="22" spans="1:29" x14ac:dyDescent="0.25">
      <c r="G22" t="s">
        <v>332</v>
      </c>
      <c r="H22" t="s">
        <v>160</v>
      </c>
      <c r="M22" t="s">
        <v>165</v>
      </c>
      <c r="R22" t="s">
        <v>164</v>
      </c>
      <c r="AB22" t="s">
        <v>280</v>
      </c>
      <c r="AC22" t="s">
        <v>1062</v>
      </c>
    </row>
    <row r="23" spans="1:29" x14ac:dyDescent="0.25">
      <c r="A23" s="1" t="s">
        <v>839</v>
      </c>
      <c r="G23" t="s">
        <v>333</v>
      </c>
      <c r="H23" t="s">
        <v>186</v>
      </c>
      <c r="M23" t="s">
        <v>167</v>
      </c>
      <c r="R23" t="s">
        <v>181</v>
      </c>
      <c r="AB23" t="s">
        <v>188</v>
      </c>
      <c r="AC23" t="s">
        <v>1062</v>
      </c>
    </row>
    <row r="24" spans="1:29" x14ac:dyDescent="0.25">
      <c r="A24" s="463" t="s">
        <v>1062</v>
      </c>
      <c r="G24" t="s">
        <v>359</v>
      </c>
      <c r="H24" t="s">
        <v>175</v>
      </c>
      <c r="M24" t="s">
        <v>168</v>
      </c>
      <c r="R24" t="s">
        <v>170</v>
      </c>
      <c r="AB24" t="s">
        <v>180</v>
      </c>
      <c r="AC24" t="s">
        <v>1062</v>
      </c>
    </row>
    <row r="25" spans="1:29" x14ac:dyDescent="0.25">
      <c r="A25" s="463" t="s">
        <v>1063</v>
      </c>
      <c r="G25" t="s">
        <v>360</v>
      </c>
      <c r="H25" t="s">
        <v>1025</v>
      </c>
      <c r="M25" t="s">
        <v>18</v>
      </c>
      <c r="R25" t="s">
        <v>7</v>
      </c>
      <c r="AB25" t="s">
        <v>177</v>
      </c>
      <c r="AC25" t="s">
        <v>1062</v>
      </c>
    </row>
    <row r="26" spans="1:29" x14ac:dyDescent="0.25">
      <c r="A26" s="463" t="s">
        <v>840</v>
      </c>
      <c r="G26" t="s">
        <v>361</v>
      </c>
      <c r="H26" t="s">
        <v>172</v>
      </c>
      <c r="M26" t="s">
        <v>178</v>
      </c>
      <c r="R26" t="s">
        <v>24</v>
      </c>
      <c r="AB26" t="s">
        <v>156</v>
      </c>
      <c r="AC26" t="s">
        <v>1062</v>
      </c>
    </row>
    <row r="27" spans="1:29" x14ac:dyDescent="0.25">
      <c r="A27" s="463" t="s">
        <v>825</v>
      </c>
      <c r="G27" t="s">
        <v>365</v>
      </c>
      <c r="H27" t="s">
        <v>188</v>
      </c>
      <c r="M27" t="s">
        <v>30</v>
      </c>
      <c r="R27" t="s">
        <v>25</v>
      </c>
      <c r="AB27" t="s">
        <v>185</v>
      </c>
      <c r="AC27" t="s">
        <v>1062</v>
      </c>
    </row>
    <row r="28" spans="1:29" x14ac:dyDescent="0.25">
      <c r="A28">
        <v>0.1</v>
      </c>
      <c r="G28" t="s">
        <v>366</v>
      </c>
      <c r="H28" t="s">
        <v>180</v>
      </c>
      <c r="M28" t="s">
        <v>174</v>
      </c>
      <c r="R28" t="s">
        <v>247</v>
      </c>
      <c r="AB28" t="s">
        <v>1066</v>
      </c>
      <c r="AC28" t="s">
        <v>825</v>
      </c>
    </row>
    <row r="29" spans="1:29" x14ac:dyDescent="0.25">
      <c r="A29">
        <v>0.2</v>
      </c>
      <c r="G29" t="s">
        <v>1001</v>
      </c>
      <c r="H29" t="s">
        <v>9</v>
      </c>
      <c r="M29" t="s">
        <v>184</v>
      </c>
      <c r="R29" t="s">
        <v>13</v>
      </c>
    </row>
    <row r="30" spans="1:29" x14ac:dyDescent="0.25">
      <c r="A30">
        <v>0.25</v>
      </c>
      <c r="G30" t="s">
        <v>837</v>
      </c>
      <c r="H30" t="s">
        <v>838</v>
      </c>
      <c r="M30" t="s">
        <v>28</v>
      </c>
      <c r="R30" t="s">
        <v>14</v>
      </c>
    </row>
    <row r="31" spans="1:29" x14ac:dyDescent="0.25">
      <c r="A31">
        <v>0.3</v>
      </c>
      <c r="G31" t="s">
        <v>1316</v>
      </c>
      <c r="H31" t="s">
        <v>1317</v>
      </c>
      <c r="M31" t="s">
        <v>189</v>
      </c>
      <c r="R31" t="s">
        <v>165</v>
      </c>
    </row>
    <row r="32" spans="1:29" x14ac:dyDescent="0.25">
      <c r="A32">
        <v>0.4</v>
      </c>
      <c r="G32" t="s">
        <v>1439</v>
      </c>
      <c r="H32" t="s">
        <v>1440</v>
      </c>
      <c r="M32" t="s">
        <v>1094</v>
      </c>
      <c r="R32" t="s">
        <v>167</v>
      </c>
    </row>
    <row r="33" spans="1:18" x14ac:dyDescent="0.25">
      <c r="A33">
        <v>0.5</v>
      </c>
      <c r="M33" t="s">
        <v>1095</v>
      </c>
      <c r="R33" t="s">
        <v>168</v>
      </c>
    </row>
    <row r="34" spans="1:18" x14ac:dyDescent="0.25">
      <c r="A34">
        <v>0.6</v>
      </c>
      <c r="M34" t="s">
        <v>1023</v>
      </c>
      <c r="R34" t="s">
        <v>18</v>
      </c>
    </row>
    <row r="35" spans="1:18" x14ac:dyDescent="0.25">
      <c r="A35">
        <v>0.7</v>
      </c>
      <c r="M35" t="s">
        <v>1024</v>
      </c>
      <c r="R35" t="s">
        <v>178</v>
      </c>
    </row>
    <row r="36" spans="1:18" x14ac:dyDescent="0.25">
      <c r="A36">
        <v>0.8</v>
      </c>
      <c r="M36" t="s">
        <v>160</v>
      </c>
      <c r="R36" t="s">
        <v>30</v>
      </c>
    </row>
    <row r="37" spans="1:18" x14ac:dyDescent="0.25">
      <c r="A37">
        <v>0.9</v>
      </c>
      <c r="M37" t="s">
        <v>186</v>
      </c>
      <c r="R37" t="s">
        <v>174</v>
      </c>
    </row>
    <row r="38" spans="1:18" x14ac:dyDescent="0.25">
      <c r="M38" t="s">
        <v>175</v>
      </c>
      <c r="R38" t="s">
        <v>184</v>
      </c>
    </row>
    <row r="39" spans="1:18" x14ac:dyDescent="0.25">
      <c r="M39" t="s">
        <v>1025</v>
      </c>
      <c r="R39" t="s">
        <v>28</v>
      </c>
    </row>
    <row r="40" spans="1:18" x14ac:dyDescent="0.25">
      <c r="M40" t="s">
        <v>172</v>
      </c>
      <c r="R40" t="s">
        <v>189</v>
      </c>
    </row>
    <row r="41" spans="1:18" x14ac:dyDescent="0.25">
      <c r="M41" t="s">
        <v>157</v>
      </c>
      <c r="R41" t="s">
        <v>246</v>
      </c>
    </row>
    <row r="42" spans="1:18" x14ac:dyDescent="0.25">
      <c r="M42" t="s">
        <v>158</v>
      </c>
      <c r="R42" t="s">
        <v>27</v>
      </c>
    </row>
    <row r="43" spans="1:18" x14ac:dyDescent="0.25">
      <c r="M43" t="s">
        <v>280</v>
      </c>
      <c r="R43" t="s">
        <v>179</v>
      </c>
    </row>
    <row r="44" spans="1:18" x14ac:dyDescent="0.25">
      <c r="M44" t="s">
        <v>187</v>
      </c>
      <c r="R44" t="s">
        <v>171</v>
      </c>
    </row>
    <row r="45" spans="1:18" x14ac:dyDescent="0.25">
      <c r="M45" t="s">
        <v>188</v>
      </c>
      <c r="R45" t="s">
        <v>173</v>
      </c>
    </row>
    <row r="46" spans="1:18" x14ac:dyDescent="0.25">
      <c r="M46" t="s">
        <v>180</v>
      </c>
      <c r="R46" t="s">
        <v>29</v>
      </c>
    </row>
    <row r="47" spans="1:18" x14ac:dyDescent="0.25">
      <c r="M47" t="s">
        <v>176</v>
      </c>
      <c r="R47" t="s">
        <v>159</v>
      </c>
    </row>
    <row r="48" spans="1:18" x14ac:dyDescent="0.25">
      <c r="M48" t="s">
        <v>177</v>
      </c>
      <c r="R48" t="s">
        <v>169</v>
      </c>
    </row>
    <row r="49" spans="13:18" x14ac:dyDescent="0.25">
      <c r="M49" t="s">
        <v>156</v>
      </c>
      <c r="R49" t="s">
        <v>1094</v>
      </c>
    </row>
    <row r="50" spans="13:18" x14ac:dyDescent="0.25">
      <c r="M50" t="s">
        <v>185</v>
      </c>
      <c r="R50" t="s">
        <v>1095</v>
      </c>
    </row>
    <row r="51" spans="13:18" x14ac:dyDescent="0.25">
      <c r="M51" t="s">
        <v>9</v>
      </c>
      <c r="R51" t="s">
        <v>1023</v>
      </c>
    </row>
    <row r="52" spans="13:18" x14ac:dyDescent="0.25">
      <c r="M52" t="s">
        <v>1066</v>
      </c>
      <c r="R52" t="s">
        <v>1024</v>
      </c>
    </row>
    <row r="53" spans="13:18" x14ac:dyDescent="0.25">
      <c r="M53" t="s">
        <v>587</v>
      </c>
      <c r="R53" t="s">
        <v>160</v>
      </c>
    </row>
    <row r="54" spans="13:18" x14ac:dyDescent="0.25">
      <c r="M54" t="s">
        <v>340</v>
      </c>
      <c r="R54" t="s">
        <v>186</v>
      </c>
    </row>
    <row r="55" spans="13:18" x14ac:dyDescent="0.25">
      <c r="M55" t="s">
        <v>341</v>
      </c>
      <c r="R55" t="s">
        <v>175</v>
      </c>
    </row>
    <row r="56" spans="13:18" x14ac:dyDescent="0.25">
      <c r="M56" t="s">
        <v>342</v>
      </c>
      <c r="R56" t="s">
        <v>1025</v>
      </c>
    </row>
    <row r="57" spans="13:18" x14ac:dyDescent="0.25">
      <c r="M57" t="s">
        <v>588</v>
      </c>
      <c r="R57" t="s">
        <v>172</v>
      </c>
    </row>
    <row r="58" spans="13:18" x14ac:dyDescent="0.25">
      <c r="M58" t="s">
        <v>343</v>
      </c>
      <c r="R58" t="s">
        <v>157</v>
      </c>
    </row>
    <row r="59" spans="13:18" x14ac:dyDescent="0.25">
      <c r="M59" t="s">
        <v>589</v>
      </c>
      <c r="R59" t="s">
        <v>158</v>
      </c>
    </row>
    <row r="60" spans="13:18" x14ac:dyDescent="0.25">
      <c r="M60" t="s">
        <v>344</v>
      </c>
      <c r="R60" t="s">
        <v>280</v>
      </c>
    </row>
    <row r="61" spans="13:18" x14ac:dyDescent="0.25">
      <c r="M61" t="s">
        <v>345</v>
      </c>
      <c r="R61" t="s">
        <v>281</v>
      </c>
    </row>
    <row r="62" spans="13:18" x14ac:dyDescent="0.25">
      <c r="R62" t="s">
        <v>259</v>
      </c>
    </row>
    <row r="63" spans="13:18" x14ac:dyDescent="0.25">
      <c r="R63" t="s">
        <v>187</v>
      </c>
    </row>
    <row r="64" spans="13:18" x14ac:dyDescent="0.25">
      <c r="R64" t="s">
        <v>188</v>
      </c>
    </row>
    <row r="65" spans="18:18" x14ac:dyDescent="0.25">
      <c r="R65" t="s">
        <v>180</v>
      </c>
    </row>
    <row r="66" spans="18:18" x14ac:dyDescent="0.25">
      <c r="R66" t="s">
        <v>176</v>
      </c>
    </row>
    <row r="67" spans="18:18" x14ac:dyDescent="0.25">
      <c r="R67" t="s">
        <v>177</v>
      </c>
    </row>
    <row r="68" spans="18:18" x14ac:dyDescent="0.25">
      <c r="R68" t="s">
        <v>156</v>
      </c>
    </row>
    <row r="69" spans="18:18" x14ac:dyDescent="0.25">
      <c r="R69" t="s">
        <v>185</v>
      </c>
    </row>
    <row r="70" spans="18:18" x14ac:dyDescent="0.25">
      <c r="R70" t="s">
        <v>9</v>
      </c>
    </row>
    <row r="71" spans="18:18" x14ac:dyDescent="0.25">
      <c r="R71" t="s">
        <v>1066</v>
      </c>
    </row>
    <row r="72" spans="18:18" x14ac:dyDescent="0.25">
      <c r="R72" t="s">
        <v>587</v>
      </c>
    </row>
    <row r="73" spans="18:18" x14ac:dyDescent="0.25">
      <c r="R73" t="s">
        <v>340</v>
      </c>
    </row>
    <row r="74" spans="18:18" x14ac:dyDescent="0.25">
      <c r="R74" t="s">
        <v>341</v>
      </c>
    </row>
    <row r="75" spans="18:18" x14ac:dyDescent="0.25">
      <c r="R75" t="s">
        <v>342</v>
      </c>
    </row>
    <row r="76" spans="18:18" x14ac:dyDescent="0.25">
      <c r="R76" t="s">
        <v>588</v>
      </c>
    </row>
    <row r="77" spans="18:18" x14ac:dyDescent="0.25">
      <c r="R77" t="s">
        <v>343</v>
      </c>
    </row>
    <row r="78" spans="18:18" x14ac:dyDescent="0.25">
      <c r="R78" t="s">
        <v>589</v>
      </c>
    </row>
    <row r="79" spans="18:18" x14ac:dyDescent="0.25">
      <c r="R79" t="s">
        <v>344</v>
      </c>
    </row>
    <row r="80" spans="18:18" x14ac:dyDescent="0.25">
      <c r="R80" t="s">
        <v>345</v>
      </c>
    </row>
  </sheetData>
  <phoneticPr fontId="4"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indexed="42"/>
  </sheetPr>
  <dimension ref="B2:B90"/>
  <sheetViews>
    <sheetView workbookViewId="0"/>
  </sheetViews>
  <sheetFormatPr defaultRowHeight="13.2" x14ac:dyDescent="0.25"/>
  <cols>
    <col min="2" max="2" width="122" customWidth="1"/>
    <col min="3" max="3" width="12" customWidth="1"/>
    <col min="4" max="4" width="47.44140625" customWidth="1"/>
    <col min="5" max="5" width="17.33203125" customWidth="1"/>
  </cols>
  <sheetData>
    <row r="2" spans="2:2" ht="21" x14ac:dyDescent="0.5">
      <c r="B2" s="777" t="s">
        <v>409</v>
      </c>
    </row>
    <row r="6" spans="2:2" x14ac:dyDescent="0.25">
      <c r="B6" s="778" t="s">
        <v>204</v>
      </c>
    </row>
    <row r="7" spans="2:2" x14ac:dyDescent="0.25">
      <c r="B7" s="746"/>
    </row>
    <row r="8" spans="2:2" x14ac:dyDescent="0.25">
      <c r="B8" s="779"/>
    </row>
    <row r="9" spans="2:2" x14ac:dyDescent="0.25">
      <c r="B9" s="779"/>
    </row>
    <row r="10" spans="2:2" x14ac:dyDescent="0.25">
      <c r="B10" s="779"/>
    </row>
    <row r="11" spans="2:2" x14ac:dyDescent="0.25">
      <c r="B11" s="779"/>
    </row>
    <row r="12" spans="2:2" x14ac:dyDescent="0.25">
      <c r="B12" s="779"/>
    </row>
    <row r="13" spans="2:2" x14ac:dyDescent="0.25">
      <c r="B13" s="779"/>
    </row>
    <row r="14" spans="2:2" x14ac:dyDescent="0.25">
      <c r="B14" s="779"/>
    </row>
    <row r="15" spans="2:2" x14ac:dyDescent="0.25">
      <c r="B15" s="779"/>
    </row>
    <row r="16" spans="2:2" x14ac:dyDescent="0.25">
      <c r="B16" s="779"/>
    </row>
    <row r="17" spans="2:2" x14ac:dyDescent="0.25">
      <c r="B17" s="779"/>
    </row>
    <row r="18" spans="2:2" x14ac:dyDescent="0.25">
      <c r="B18" s="779"/>
    </row>
    <row r="19" spans="2:2" x14ac:dyDescent="0.25">
      <c r="B19" s="779"/>
    </row>
    <row r="20" spans="2:2" x14ac:dyDescent="0.25">
      <c r="B20" s="779"/>
    </row>
    <row r="21" spans="2:2" x14ac:dyDescent="0.25">
      <c r="B21" s="779"/>
    </row>
    <row r="22" spans="2:2" x14ac:dyDescent="0.25">
      <c r="B22" s="779"/>
    </row>
    <row r="23" spans="2:2" x14ac:dyDescent="0.25">
      <c r="B23" s="779"/>
    </row>
    <row r="24" spans="2:2" x14ac:dyDescent="0.25">
      <c r="B24" s="779"/>
    </row>
    <row r="25" spans="2:2" x14ac:dyDescent="0.25">
      <c r="B25" s="779"/>
    </row>
    <row r="26" spans="2:2" x14ac:dyDescent="0.25">
      <c r="B26" s="779"/>
    </row>
    <row r="27" spans="2:2" x14ac:dyDescent="0.25">
      <c r="B27" s="779"/>
    </row>
    <row r="28" spans="2:2" x14ac:dyDescent="0.25">
      <c r="B28" s="779"/>
    </row>
    <row r="29" spans="2:2" x14ac:dyDescent="0.25">
      <c r="B29" s="780" t="s">
        <v>205</v>
      </c>
    </row>
    <row r="30" spans="2:2" x14ac:dyDescent="0.25">
      <c r="B30" s="746"/>
    </row>
    <row r="31" spans="2:2" x14ac:dyDescent="0.25">
      <c r="B31" s="209"/>
    </row>
    <row r="32" spans="2:2" x14ac:dyDescent="0.25">
      <c r="B32" s="779"/>
    </row>
    <row r="80" ht="81" customHeight="1" x14ac:dyDescent="0.25"/>
    <row r="82" ht="97.5" customHeight="1" x14ac:dyDescent="0.25"/>
    <row r="84" ht="68.25" customHeight="1" x14ac:dyDescent="0.25"/>
    <row r="86" ht="63" customHeight="1" x14ac:dyDescent="0.25"/>
    <row r="88" ht="63.75" customHeight="1" x14ac:dyDescent="0.25"/>
    <row r="90" ht="37.5" customHeight="1" x14ac:dyDescent="0.25"/>
  </sheetData>
  <phoneticPr fontId="4" type="noConversion"/>
  <pageMargins left="0.75" right="0.75" top="1" bottom="1" header="0.5" footer="0.5"/>
  <headerFooter alignWithMargins="0"/>
  <drawing r:id="rId1"/>
  <legacyDrawing r:id="rId2"/>
  <controls>
    <mc:AlternateContent xmlns:mc="http://schemas.openxmlformats.org/markup-compatibility/2006">
      <mc:Choice Requires="x14">
        <control shapeId="30721" r:id="rId3" name="cmdInputSheet5">
          <controlPr defaultSize="0" autoLine="0" r:id="rId4">
            <anchor moveWithCells="1">
              <from>
                <xdr:col>1</xdr:col>
                <xdr:colOff>7040880</xdr:colOff>
                <xdr:row>0</xdr:row>
                <xdr:rowOff>99060</xdr:rowOff>
              </from>
              <to>
                <xdr:col>1</xdr:col>
                <xdr:colOff>8191500</xdr:colOff>
                <xdr:row>2</xdr:row>
                <xdr:rowOff>114300</xdr:rowOff>
              </to>
            </anchor>
          </controlPr>
        </control>
      </mc:Choice>
      <mc:Fallback>
        <control shapeId="30721" r:id="rId3" name="cmdInputSheet5"/>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indexed="42"/>
  </sheetPr>
  <dimension ref="B2:B85"/>
  <sheetViews>
    <sheetView workbookViewId="0"/>
  </sheetViews>
  <sheetFormatPr defaultRowHeight="13.2" x14ac:dyDescent="0.25"/>
  <cols>
    <col min="2" max="2" width="122" customWidth="1"/>
    <col min="3" max="3" width="12" customWidth="1"/>
    <col min="4" max="4" width="47.44140625" customWidth="1"/>
    <col min="5" max="5" width="17.33203125" customWidth="1"/>
  </cols>
  <sheetData>
    <row r="2" spans="2:2" ht="21" x14ac:dyDescent="0.5">
      <c r="B2" s="777" t="s">
        <v>408</v>
      </c>
    </row>
    <row r="6" spans="2:2" x14ac:dyDescent="0.25">
      <c r="B6" s="778" t="s">
        <v>206</v>
      </c>
    </row>
    <row r="7" spans="2:2" x14ac:dyDescent="0.25">
      <c r="B7" s="746"/>
    </row>
    <row r="8" spans="2:2" x14ac:dyDescent="0.25">
      <c r="B8" s="779"/>
    </row>
    <row r="9" spans="2:2" x14ac:dyDescent="0.25">
      <c r="B9" s="779"/>
    </row>
    <row r="10" spans="2:2" x14ac:dyDescent="0.25">
      <c r="B10" s="780" t="s">
        <v>207</v>
      </c>
    </row>
    <row r="11" spans="2:2" x14ac:dyDescent="0.25">
      <c r="B11" s="746"/>
    </row>
    <row r="12" spans="2:2" x14ac:dyDescent="0.25">
      <c r="B12" s="209"/>
    </row>
    <row r="13" spans="2:2" x14ac:dyDescent="0.25">
      <c r="B13" s="779"/>
    </row>
    <row r="14" spans="2:2" x14ac:dyDescent="0.25">
      <c r="B14" s="780" t="s">
        <v>208</v>
      </c>
    </row>
    <row r="15" spans="2:2" x14ac:dyDescent="0.25">
      <c r="B15" s="746"/>
    </row>
    <row r="16" spans="2:2" x14ac:dyDescent="0.25">
      <c r="B16" s="779"/>
    </row>
    <row r="17" spans="2:2" x14ac:dyDescent="0.25">
      <c r="B17" s="779"/>
    </row>
    <row r="18" spans="2:2" x14ac:dyDescent="0.25">
      <c r="B18" s="780" t="s">
        <v>209</v>
      </c>
    </row>
    <row r="19" spans="2:2" x14ac:dyDescent="0.25">
      <c r="B19" s="746"/>
    </row>
    <row r="20" spans="2:2" x14ac:dyDescent="0.25">
      <c r="B20" s="779"/>
    </row>
    <row r="21" spans="2:2" x14ac:dyDescent="0.25">
      <c r="B21" s="781" t="s">
        <v>210</v>
      </c>
    </row>
    <row r="22" spans="2:2" x14ac:dyDescent="0.25">
      <c r="B22" s="782"/>
    </row>
    <row r="23" spans="2:2" x14ac:dyDescent="0.25">
      <c r="B23" s="746"/>
    </row>
    <row r="24" spans="2:2" x14ac:dyDescent="0.25">
      <c r="B24" s="746"/>
    </row>
    <row r="25" spans="2:2" x14ac:dyDescent="0.25">
      <c r="B25" s="746"/>
    </row>
    <row r="26" spans="2:2" x14ac:dyDescent="0.25">
      <c r="B26" s="782"/>
    </row>
    <row r="75" ht="81" customHeight="1" x14ac:dyDescent="0.25"/>
    <row r="77" ht="97.5" customHeight="1" x14ac:dyDescent="0.25"/>
    <row r="79" ht="68.25" customHeight="1" x14ac:dyDescent="0.25"/>
    <row r="81" ht="63" customHeight="1" x14ac:dyDescent="0.25"/>
    <row r="83" ht="63.75" customHeight="1" x14ac:dyDescent="0.25"/>
    <row r="85" ht="37.5" customHeight="1" x14ac:dyDescent="0.25"/>
  </sheetData>
  <phoneticPr fontId="4" type="noConversion"/>
  <pageMargins left="0.75" right="0.75" top="1" bottom="1" header="0.5" footer="0.5"/>
  <headerFooter alignWithMargins="0"/>
  <drawing r:id="rId1"/>
  <legacyDrawing r:id="rId2"/>
  <controls>
    <mc:AlternateContent xmlns:mc="http://schemas.openxmlformats.org/markup-compatibility/2006">
      <mc:Choice Requires="x14">
        <control shapeId="31745" r:id="rId3" name="cmdInputSheet4">
          <controlPr defaultSize="0" autoLine="0" r:id="rId4">
            <anchor moveWithCells="1">
              <from>
                <xdr:col>1</xdr:col>
                <xdr:colOff>5760720</xdr:colOff>
                <xdr:row>0</xdr:row>
                <xdr:rowOff>99060</xdr:rowOff>
              </from>
              <to>
                <xdr:col>1</xdr:col>
                <xdr:colOff>6911340</xdr:colOff>
                <xdr:row>2</xdr:row>
                <xdr:rowOff>114300</xdr:rowOff>
              </to>
            </anchor>
          </controlPr>
        </control>
      </mc:Choice>
      <mc:Fallback>
        <control shapeId="31745" r:id="rId3" name="cmdInputSheet4"/>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tabColor indexed="42"/>
  </sheetPr>
  <dimension ref="B2:D33"/>
  <sheetViews>
    <sheetView workbookViewId="0"/>
  </sheetViews>
  <sheetFormatPr defaultRowHeight="13.2" x14ac:dyDescent="0.25"/>
  <cols>
    <col min="2" max="2" width="36.88671875" customWidth="1"/>
    <col min="3" max="3" width="44.6640625" customWidth="1"/>
    <col min="4" max="4" width="53.88671875" customWidth="1"/>
    <col min="5" max="5" width="126.44140625" customWidth="1"/>
  </cols>
  <sheetData>
    <row r="2" spans="2:4" ht="39" customHeight="1" x14ac:dyDescent="0.5">
      <c r="B2" s="777" t="s">
        <v>407</v>
      </c>
    </row>
    <row r="4" spans="2:4" ht="13.8" thickBot="1" x14ac:dyDescent="0.3"/>
    <row r="5" spans="2:4" ht="13.8" thickTop="1" x14ac:dyDescent="0.25">
      <c r="B5" s="783" t="s">
        <v>211</v>
      </c>
      <c r="C5" s="784"/>
      <c r="D5" s="785"/>
    </row>
    <row r="6" spans="2:4" x14ac:dyDescent="0.25">
      <c r="B6" s="786" t="s">
        <v>212</v>
      </c>
      <c r="C6" s="522"/>
      <c r="D6" s="785"/>
    </row>
    <row r="7" spans="2:4" x14ac:dyDescent="0.25">
      <c r="B7" s="786" t="s">
        <v>213</v>
      </c>
      <c r="C7" s="522"/>
      <c r="D7" s="785"/>
    </row>
    <row r="8" spans="2:4" x14ac:dyDescent="0.25">
      <c r="B8" s="786" t="s">
        <v>214</v>
      </c>
      <c r="C8" s="522"/>
      <c r="D8" s="785"/>
    </row>
    <row r="9" spans="2:4" x14ac:dyDescent="0.25">
      <c r="B9" s="786" t="s">
        <v>215</v>
      </c>
      <c r="C9" s="787"/>
      <c r="D9" s="788"/>
    </row>
    <row r="10" spans="2:4" x14ac:dyDescent="0.25">
      <c r="B10" s="786" t="s">
        <v>216</v>
      </c>
      <c r="C10" s="522"/>
      <c r="D10" s="785"/>
    </row>
    <row r="11" spans="2:4" x14ac:dyDescent="0.25">
      <c r="B11" s="786" t="s">
        <v>217</v>
      </c>
      <c r="C11" s="789"/>
      <c r="D11" s="790"/>
    </row>
    <row r="12" spans="2:4" ht="13.8" thickBot="1" x14ac:dyDescent="0.3">
      <c r="B12" s="791" t="s">
        <v>218</v>
      </c>
      <c r="C12" s="523"/>
      <c r="D12" s="785"/>
    </row>
    <row r="13" spans="2:4" ht="14.4" thickTop="1" thickBot="1" x14ac:dyDescent="0.3">
      <c r="B13" s="792"/>
      <c r="C13" s="785"/>
      <c r="D13" s="793"/>
    </row>
    <row r="14" spans="2:4" ht="13.8" thickTop="1" x14ac:dyDescent="0.25">
      <c r="B14" s="783" t="s">
        <v>219</v>
      </c>
      <c r="C14" s="794"/>
      <c r="D14" s="795"/>
    </row>
    <row r="15" spans="2:4" x14ac:dyDescent="0.25">
      <c r="B15" s="786" t="s">
        <v>220</v>
      </c>
      <c r="C15" s="796"/>
      <c r="D15" s="797"/>
    </row>
    <row r="16" spans="2:4" x14ac:dyDescent="0.25">
      <c r="B16" s="786" t="s">
        <v>221</v>
      </c>
      <c r="C16" s="736"/>
      <c r="D16" s="795"/>
    </row>
    <row r="17" spans="2:4" x14ac:dyDescent="0.25">
      <c r="B17" s="786" t="s">
        <v>222</v>
      </c>
      <c r="C17" s="736"/>
      <c r="D17" s="795"/>
    </row>
    <row r="18" spans="2:4" x14ac:dyDescent="0.25">
      <c r="B18" s="786" t="s">
        <v>223</v>
      </c>
      <c r="C18" s="736"/>
      <c r="D18" s="798"/>
    </row>
    <row r="19" spans="2:4" x14ac:dyDescent="0.25">
      <c r="B19" s="786" t="s">
        <v>224</v>
      </c>
      <c r="C19" s="736"/>
      <c r="D19" s="795"/>
    </row>
    <row r="20" spans="2:4" x14ac:dyDescent="0.25">
      <c r="B20" s="786" t="s">
        <v>225</v>
      </c>
      <c r="C20" s="736"/>
      <c r="D20" s="795"/>
    </row>
    <row r="21" spans="2:4" x14ac:dyDescent="0.25">
      <c r="B21" s="786" t="s">
        <v>226</v>
      </c>
      <c r="C21" s="736"/>
      <c r="D21" s="795"/>
    </row>
    <row r="22" spans="2:4" ht="26.4" x14ac:dyDescent="0.25">
      <c r="B22" s="799" t="s">
        <v>227</v>
      </c>
      <c r="C22" s="796"/>
      <c r="D22" s="795"/>
    </row>
    <row r="23" spans="2:4" x14ac:dyDescent="0.25">
      <c r="B23" s="799" t="s">
        <v>228</v>
      </c>
      <c r="C23" s="736"/>
      <c r="D23" s="795"/>
    </row>
    <row r="24" spans="2:4" ht="13.8" thickBot="1" x14ac:dyDescent="0.3">
      <c r="B24" s="791" t="s">
        <v>229</v>
      </c>
      <c r="C24" s="800"/>
      <c r="D24" s="795"/>
    </row>
    <row r="25" spans="2:4" ht="14.4" thickTop="1" thickBot="1" x14ac:dyDescent="0.3">
      <c r="B25" s="801"/>
      <c r="C25" s="795"/>
      <c r="D25" s="795"/>
    </row>
    <row r="26" spans="2:4" ht="13.8" thickTop="1" x14ac:dyDescent="0.25">
      <c r="B26" s="1769" t="s">
        <v>230</v>
      </c>
      <c r="C26" s="1770"/>
      <c r="D26" s="1771"/>
    </row>
    <row r="27" spans="2:4" x14ac:dyDescent="0.25">
      <c r="B27" s="802" t="s">
        <v>231</v>
      </c>
      <c r="C27" s="803" t="s">
        <v>232</v>
      </c>
      <c r="D27" s="804" t="s">
        <v>1031</v>
      </c>
    </row>
    <row r="28" spans="2:4" x14ac:dyDescent="0.25">
      <c r="B28" s="805"/>
      <c r="C28" s="806"/>
      <c r="D28" s="736"/>
    </row>
    <row r="29" spans="2:4" x14ac:dyDescent="0.25">
      <c r="B29" s="807"/>
      <c r="C29" s="806"/>
      <c r="D29" s="736"/>
    </row>
    <row r="30" spans="2:4" x14ac:dyDescent="0.25">
      <c r="B30" s="807"/>
      <c r="C30" s="806"/>
      <c r="D30" s="736"/>
    </row>
    <row r="31" spans="2:4" x14ac:dyDescent="0.25">
      <c r="B31" s="807"/>
      <c r="C31" s="806"/>
      <c r="D31" s="736"/>
    </row>
    <row r="32" spans="2:4" x14ac:dyDescent="0.25">
      <c r="B32" s="807"/>
      <c r="C32" s="806"/>
      <c r="D32" s="736"/>
    </row>
    <row r="33" spans="2:4" ht="13.8" thickBot="1" x14ac:dyDescent="0.3">
      <c r="B33" s="808"/>
      <c r="C33" s="809"/>
      <c r="D33" s="800"/>
    </row>
  </sheetData>
  <mergeCells count="1">
    <mergeCell ref="B26:D26"/>
  </mergeCells>
  <phoneticPr fontId="4" type="noConversion"/>
  <pageMargins left="0.75" right="0.75" top="1" bottom="1" header="0.5" footer="0.5"/>
  <headerFooter alignWithMargins="0"/>
  <drawing r:id="rId1"/>
  <legacyDrawing r:id="rId2"/>
  <controls>
    <mc:AlternateContent xmlns:mc="http://schemas.openxmlformats.org/markup-compatibility/2006">
      <mc:Choice Requires="x14">
        <control shapeId="32769" r:id="rId3" name="cmdInputSheet3">
          <controlPr defaultSize="0" autoLine="0" r:id="rId4">
            <anchor moveWithCells="1">
              <from>
                <xdr:col>3</xdr:col>
                <xdr:colOff>647700</xdr:colOff>
                <xdr:row>1</xdr:row>
                <xdr:rowOff>7620</xdr:rowOff>
              </from>
              <to>
                <xdr:col>3</xdr:col>
                <xdr:colOff>1798320</xdr:colOff>
                <xdr:row>1</xdr:row>
                <xdr:rowOff>457200</xdr:rowOff>
              </to>
            </anchor>
          </controlPr>
        </control>
      </mc:Choice>
      <mc:Fallback>
        <control shapeId="32769" r:id="rId3" name="cmdInputSheet3"/>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Document_x0020_Type xmlns="d82b9494-d8c4-46c3-8d38-25b9e100fe6d">Case study report</Document_x0020_Type>
    <Analysis_x0020_approach xmlns="d82b9494-d8c4-46c3-8d38-25b9e100fe6d">Bottom-up</Analysis_x0020_approach>
    <Case_x0020_Study xmlns="d82b9494-d8c4-46c3-8d38-25b9e100fe6d">SMR</Case_x0020_Study>
    <Document_x0020_Status xmlns="d82b9494-d8c4-46c3-8d38-25b9e100fe6d">Edits complete</Document_x0020_Status>
    <H2A_x0020_Goals xmlns="d82b9494-d8c4-46c3-8d38-25b9e100fe6d">#1 Publish Central NG, Biomass Gasification, and Electrolysis Cases</H2A_x0020_Goals>
    <Case_x0020_type xmlns="d82b9494-d8c4-46c3-8d38-25b9e100fe6d">Central</Case_x0020_typ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26FE44E97B14A94AB65A0BB740F65A9E" ma:contentTypeVersion="11" ma:contentTypeDescription="Create a new document." ma:contentTypeScope="" ma:versionID="bda02f5095bc975456b544bb0cae081a">
  <xsd:schema xmlns:xsd="http://www.w3.org/2001/XMLSchema" xmlns:p="http://schemas.microsoft.com/office/2006/metadata/properties" xmlns:ns2="d82b9494-d8c4-46c3-8d38-25b9e100fe6d" targetNamespace="http://schemas.microsoft.com/office/2006/metadata/properties" ma:root="true" ma:fieldsID="734938b0f007d2aca19eb134f9733a2c" ns2:_="">
    <xsd:import namespace="d82b9494-d8c4-46c3-8d38-25b9e100fe6d"/>
    <xsd:element name="properties">
      <xsd:complexType>
        <xsd:sequence>
          <xsd:element name="documentManagement">
            <xsd:complexType>
              <xsd:all>
                <xsd:element ref="ns2:Document_x0020_Status" minOccurs="0"/>
                <xsd:element ref="ns2:Document_x0020_Type" minOccurs="0"/>
                <xsd:element ref="ns2:Case_x0020_type" minOccurs="0"/>
                <xsd:element ref="ns2:Analysis_x0020_approach" minOccurs="0"/>
                <xsd:element ref="ns2:H2A_x0020_Goals" minOccurs="0"/>
                <xsd:element ref="ns2:Case_x0020_Study" minOccurs="0"/>
              </xsd:all>
            </xsd:complexType>
          </xsd:element>
        </xsd:sequence>
      </xsd:complexType>
    </xsd:element>
  </xsd:schema>
  <xsd:schema xmlns:xsd="http://www.w3.org/2001/XMLSchema" xmlns:dms="http://schemas.microsoft.com/office/2006/documentManagement/types" targetNamespace="d82b9494-d8c4-46c3-8d38-25b9e100fe6d" elementFormDefault="qualified">
    <xsd:import namespace="http://schemas.microsoft.com/office/2006/documentManagement/types"/>
    <xsd:element name="Document_x0020_Status" ma:index="8" nillable="true" ma:displayName="Document Status" ma:default="Edit in progress" ma:description="Choose the status of the document" ma:format="Dropdown" ma:internalName="Document_x0020_Status">
      <xsd:simpleType>
        <xsd:restriction base="dms:Choice">
          <xsd:enumeration value="Edit in progress"/>
          <xsd:enumeration value="Edits complete"/>
          <xsd:enumeration value="Sent to DOE for review"/>
          <xsd:enumeration value="Archived"/>
          <xsd:enumeration value="Other"/>
        </xsd:restriction>
      </xsd:simpleType>
    </xsd:element>
    <xsd:element name="Document_x0020_Type" ma:index="9" nillable="true" ma:displayName="Document Type" ma:default="Task list" ma:description="Choose document type" ma:format="Dropdown" ma:internalName="Document_x0020_Type">
      <xsd:simpleType>
        <xsd:restriction base="dms:Choice">
          <xsd:enumeration value="Task list"/>
          <xsd:enumeration value="Punch list"/>
          <xsd:enumeration value="DOE records"/>
          <xsd:enumeration value="Case study report"/>
          <xsd:enumeration value="User guide"/>
          <xsd:enumeration value="Webinar"/>
          <xsd:enumeration value="Target table presentations"/>
          <xsd:enumeration value="Presentations"/>
        </xsd:restriction>
      </xsd:simpleType>
    </xsd:element>
    <xsd:element name="Case_x0020_type" ma:index="10" nillable="true" ma:displayName="Case type" ma:default="Central" ma:format="RadioButtons" ma:internalName="Case_x0020_type">
      <xsd:simpleType>
        <xsd:restriction base="dms:Choice">
          <xsd:enumeration value="Central"/>
          <xsd:enumeration value="Distributed"/>
          <xsd:enumeration value="None"/>
        </xsd:restriction>
      </xsd:simpleType>
    </xsd:element>
    <xsd:element name="Analysis_x0020_approach" ma:index="11" nillable="true" ma:displayName="Analysis approach" ma:default="Bottom-up" ma:format="RadioButtons" ma:internalName="Analysis_x0020_approach">
      <xsd:simpleType>
        <xsd:restriction base="dms:Choice">
          <xsd:enumeration value="Bottom-up"/>
          <xsd:enumeration value="Top-down"/>
          <xsd:enumeration value="None"/>
        </xsd:restriction>
      </xsd:simpleType>
    </xsd:element>
    <xsd:element name="H2A_x0020_Goals" ma:index="12" nillable="true" ma:displayName="H2A Goals" ma:default="#1 Publish Central NG, Biomass Gasification, and Electrolysis Cases" ma:format="Dropdown" ma:internalName="H2A_x0020_Goals">
      <xsd:simpleType>
        <xsd:restriction base="dms:Choice">
          <xsd:enumeration value="#1 Publish Central NG, Biomass Gasification, and Electrolysis Cases"/>
          <xsd:enumeration value="#2 Publish Central Early development Technologies"/>
          <xsd:enumeration value="#3 Complete H2A updates with CSD for distributed NG, electrolysis, and ethanol"/>
          <xsd:enumeration value="#4 Update MYRD&amp;D Plan Tables"/>
          <xsd:enumeration value="#5 Webinar to show PIs how to use H2A v3 with their parameters"/>
          <xsd:enumeration value="#6 Create records for each technology"/>
          <xsd:enumeration value="None"/>
          <xsd:enumeration value="All"/>
        </xsd:restriction>
      </xsd:simpleType>
    </xsd:element>
    <xsd:element name="Case_x0020_Study" ma:index="13" nillable="true" ma:displayName="Case Study" ma:default="Biomass gasification" ma:description="Choose the case study" ma:format="Dropdown" ma:internalName="Case_x0020_Study">
      <xsd:simpleType>
        <xsd:restriction base="dms:Choice">
          <xsd:enumeration value="Biomass gasification"/>
          <xsd:enumeration value="Biological"/>
          <xsd:enumeration value="Electrolysis"/>
          <xsd:enumeration value="Natural gas"/>
          <xsd:enumeration value="PEC"/>
          <xsd:enumeration value="SMR"/>
          <xsd:enumeration value="STCH"/>
          <xsd:enumeration value="Ethanol"/>
          <xsd:enumeration value="Pyrolysis oil"/>
          <xsd:enumeration value="Coal"/>
          <xsd:enumeration value="Nuclear"/>
          <xsd:enumeration value="Other"/>
          <xsd:enumeration value="None"/>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DF59CC31-1F39-4F49-8195-FDC0A9322C02}">
  <ds:schemaRefs>
    <ds:schemaRef ds:uri="http://schemas.microsoft.com/office/2006/metadata/longProperties"/>
  </ds:schemaRefs>
</ds:datastoreItem>
</file>

<file path=customXml/itemProps2.xml><?xml version="1.0" encoding="utf-8"?>
<ds:datastoreItem xmlns:ds="http://schemas.openxmlformats.org/officeDocument/2006/customXml" ds:itemID="{5FD97086-85F3-44E1-B356-8D8C4A3E0157}">
  <ds:schemaRefs>
    <ds:schemaRef ds:uri="http://schemas.microsoft.com/sharepoint/v3/contenttype/forms"/>
  </ds:schemaRefs>
</ds:datastoreItem>
</file>

<file path=customXml/itemProps3.xml><?xml version="1.0" encoding="utf-8"?>
<ds:datastoreItem xmlns:ds="http://schemas.openxmlformats.org/officeDocument/2006/customXml" ds:itemID="{8EF8E5CF-3FBC-4639-B789-46FCAB06DA57}">
  <ds:schemaRefs>
    <ds:schemaRef ds:uri="http://schemas.openxmlformats.org/package/2006/metadata/core-properties"/>
    <ds:schemaRef ds:uri="d82b9494-d8c4-46c3-8d38-25b9e100fe6d"/>
    <ds:schemaRef ds:uri="http://purl.org/dc/dcmitype/"/>
    <ds:schemaRef ds:uri="http://schemas.microsoft.com/office/2006/documentManagement/types"/>
    <ds:schemaRef ds:uri="http://purl.org/dc/elements/1.1/"/>
    <ds:schemaRef ds:uri="http://schemas.microsoft.com/office/2006/metadata/properties"/>
    <ds:schemaRef ds:uri="http://purl.org/dc/terms/"/>
    <ds:schemaRef ds:uri="http://www.w3.org/XML/1998/namespace"/>
  </ds:schemaRefs>
</ds:datastoreItem>
</file>

<file path=customXml/itemProps4.xml><?xml version="1.0" encoding="utf-8"?>
<ds:datastoreItem xmlns:ds="http://schemas.openxmlformats.org/officeDocument/2006/customXml" ds:itemID="{4E93857C-CB31-45F4-895E-96F0D11479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2b9494-d8c4-46c3-8d38-25b9e100fe6d"/>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314</vt:i4>
      </vt:variant>
    </vt:vector>
  </HeadingPairs>
  <TitlesOfParts>
    <vt:vector size="336" baseType="lpstr">
      <vt:lpstr>Title</vt:lpstr>
      <vt:lpstr>Description</vt:lpstr>
      <vt:lpstr>ProcessFlow</vt:lpstr>
      <vt:lpstr>Input_Sheet_Template</vt:lpstr>
      <vt:lpstr>Replacement Costs</vt:lpstr>
      <vt:lpstr>Capital Costs</vt:lpstr>
      <vt:lpstr>Plant Scaling</vt:lpstr>
      <vt:lpstr>Carbon Sequestration</vt:lpstr>
      <vt:lpstr>Results</vt:lpstr>
      <vt:lpstr>Tornado Charts &amp; Risk Analysis</vt:lpstr>
      <vt:lpstr>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ProcessFlow - blank</vt:lpstr>
      <vt:lpstr>Description - blank</vt:lpstr>
      <vt:lpstr>Title - blank</vt:lpstr>
      <vt:lpstr>acre_cost</vt:lpstr>
      <vt:lpstr>acres</vt:lpstr>
      <vt:lpstr>Add_As_list</vt:lpstr>
      <vt:lpstr>AEO_2009_Reference_Case</vt:lpstr>
      <vt:lpstr>AEO_2009_Reference_Case_Feeds</vt:lpstr>
      <vt:lpstr>AEO_2009_Reference_Case_Years</vt:lpstr>
      <vt:lpstr>AEO_2013_High_Price_Case</vt:lpstr>
      <vt:lpstr>AEO_2013_High_Price_Case_Feeds</vt:lpstr>
      <vt:lpstr>AEO_2013_High_Price_Case_Years</vt:lpstr>
      <vt:lpstr>AEO_2013_Reference_Case</vt:lpstr>
      <vt:lpstr>AEO_2013_Reference_Case_Feeds</vt:lpstr>
      <vt:lpstr>AEO_2013_Reference_Case_Years</vt:lpstr>
      <vt:lpstr>AEO_2014_Reference_Case</vt:lpstr>
      <vt:lpstr>AEO_2014_Reference_Case_Feeds</vt:lpstr>
      <vt:lpstr>AEO_2014_Reference_Case_Years</vt:lpstr>
      <vt:lpstr>AEO_2017_Reference_Case</vt:lpstr>
      <vt:lpstr>AEO_2017_Reference_Case_Feeds</vt:lpstr>
      <vt:lpstr>AEO_2017_Reference_Case_Years</vt:lpstr>
      <vt:lpstr>after_tax_nominal_IRR</vt:lpstr>
      <vt:lpstr>after_tax_real_IRR</vt:lpstr>
      <vt:lpstr>anal_period</vt:lpstr>
      <vt:lpstr>Baseline_Design_Capacity</vt:lpstr>
      <vt:lpstr>BasisYear</vt:lpstr>
      <vt:lpstr>btu_to_kWh</vt:lpstr>
      <vt:lpstr>Cancelled</vt:lpstr>
      <vt:lpstr>cap_factor</vt:lpstr>
      <vt:lpstr>Case_eByprod_List</vt:lpstr>
      <vt:lpstr>Case_eFeed_List</vt:lpstr>
      <vt:lpstr>Case_eUtility_List</vt:lpstr>
      <vt:lpstr>Case_material_byprod_list</vt:lpstr>
      <vt:lpstr>Case_Material_Input_List</vt:lpstr>
      <vt:lpstr>CC_feedconversion</vt:lpstr>
      <vt:lpstr>CCS_tax_insurance</vt:lpstr>
      <vt:lpstr>CCSEqpCap</vt:lpstr>
      <vt:lpstr>CEPC_Factor_08to05</vt:lpstr>
      <vt:lpstr>CEPCIinflator</vt:lpstr>
      <vt:lpstr>Chemical_price_indexes</vt:lpstr>
      <vt:lpstr>CO2_aprx_indCap</vt:lpstr>
      <vt:lpstr>CO2_cap_charge_rate</vt:lpstr>
      <vt:lpstr>CO2_cap_rec</vt:lpstr>
      <vt:lpstr>CO2_capptonneCO2</vt:lpstr>
      <vt:lpstr>CO2_Capture_Efficiency</vt:lpstr>
      <vt:lpstr>CO2_CashFlow_eUse</vt:lpstr>
      <vt:lpstr>CO2_ControlSystem</vt:lpstr>
      <vt:lpstr>CO2_credit</vt:lpstr>
      <vt:lpstr>CO2_depr_factor</vt:lpstr>
      <vt:lpstr>CO2_eCost</vt:lpstr>
      <vt:lpstr>CO2_eCostpY</vt:lpstr>
      <vt:lpstr>CO2_energyptonneCO2</vt:lpstr>
      <vt:lpstr>CO2_eUse_kWhpkg</vt:lpstr>
      <vt:lpstr>CO2_flowrate</vt:lpstr>
      <vt:lpstr>CO2_flowrate_GTpY</vt:lpstr>
      <vt:lpstr>CO2_inUse</vt:lpstr>
      <vt:lpstr>CO2_Location</vt:lpstr>
      <vt:lpstr>CO2_MaintFactor</vt:lpstr>
      <vt:lpstr>CO2_OandMcost</vt:lpstr>
      <vt:lpstr>CO2_OandMptonneCO2</vt:lpstr>
      <vt:lpstr>CO2_Pin_psia</vt:lpstr>
      <vt:lpstr>CO2_PipeDia</vt:lpstr>
      <vt:lpstr>CO2_PipeElevation</vt:lpstr>
      <vt:lpstr>CO2_PipeFactor</vt:lpstr>
      <vt:lpstr>CO2_PipeLength</vt:lpstr>
      <vt:lpstr>CO2_Pipeline_Temp</vt:lpstr>
      <vt:lpstr>CO2_Pipeline_Temp_factor</vt:lpstr>
      <vt:lpstr>CO2_Pump_Eff</vt:lpstr>
      <vt:lpstr>CO2_seq</vt:lpstr>
      <vt:lpstr>CO2_SurgeTank</vt:lpstr>
      <vt:lpstr>CO2_Terrain</vt:lpstr>
      <vt:lpstr>CO2_Terrain_2</vt:lpstr>
      <vt:lpstr>CO2_Terrain_factor</vt:lpstr>
      <vt:lpstr>CO2_Value_Defaults</vt:lpstr>
      <vt:lpstr>ColorList</vt:lpstr>
      <vt:lpstr>construct</vt:lpstr>
      <vt:lpstr>CPIinflator</vt:lpstr>
      <vt:lpstr>CurrentYear</vt:lpstr>
      <vt:lpstr>debt_interest</vt:lpstr>
      <vt:lpstr>debt_period</vt:lpstr>
      <vt:lpstr>decom</vt:lpstr>
      <vt:lpstr>decom_percent</vt:lpstr>
      <vt:lpstr>DeflatorTable</vt:lpstr>
      <vt:lpstr>Delete_As_List</vt:lpstr>
      <vt:lpstr>depr_cap</vt:lpstr>
      <vt:lpstr>depr_cap_infl</vt:lpstr>
      <vt:lpstr>depr_cost</vt:lpstr>
      <vt:lpstr>depr_length</vt:lpstr>
      <vt:lpstr>depr_type</vt:lpstr>
      <vt:lpstr>depr_yr</vt:lpstr>
      <vt:lpstr>design_cap</vt:lpstr>
      <vt:lpstr>Det_CO2_OandMcost</vt:lpstr>
      <vt:lpstr>Det_CO2_seq</vt:lpstr>
      <vt:lpstr>Det_direct_cap</vt:lpstr>
      <vt:lpstr>Det_scaled_cap</vt:lpstr>
      <vt:lpstr>direct_cap</vt:lpstr>
      <vt:lpstr>DR_Carbon_Sequestration_1</vt:lpstr>
      <vt:lpstr>DR_Carbon_Sequestration_2</vt:lpstr>
      <vt:lpstr>DR_CostDetail_1</vt:lpstr>
      <vt:lpstr>DR_CostDetail_2</vt:lpstr>
      <vt:lpstr>DR_PlantScaling_1</vt:lpstr>
      <vt:lpstr>DR_PlantScaling_2</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Energy_Feed_List</vt:lpstr>
      <vt:lpstr>Energy_Feed_Years</vt:lpstr>
      <vt:lpstr>Engin</vt:lpstr>
      <vt:lpstr>equity</vt:lpstr>
      <vt:lpstr>Export_Variable_List</vt:lpstr>
      <vt:lpstr>fed_tax_rate</vt:lpstr>
      <vt:lpstr>Feed_CO2_kgpkgH2</vt:lpstr>
      <vt:lpstr>Feed_CO2_MTpY</vt:lpstr>
      <vt:lpstr>Feed_Type_List</vt:lpstr>
      <vt:lpstr>FeedPropertyTable</vt:lpstr>
      <vt:lpstr>Feedstock</vt:lpstr>
      <vt:lpstr>feedstockElectric_Utility_Steam_Coal_Price</vt:lpstr>
      <vt:lpstr>feedstockElectric_Utility_Steam_Coal_Usage</vt:lpstr>
      <vt:lpstr>Fees</vt:lpstr>
      <vt:lpstr>fixed</vt:lpstr>
      <vt:lpstr>FTE_cost</vt:lpstr>
      <vt:lpstr>FTEs</vt:lpstr>
      <vt:lpstr>gal_to_liters</vt:lpstr>
      <vt:lpstr>GGE_to_kWh</vt:lpstr>
      <vt:lpstr>GHG_CH4_factor</vt:lpstr>
      <vt:lpstr>GHG_CO2_factor</vt:lpstr>
      <vt:lpstr>GHG_N2O_factor</vt:lpstr>
      <vt:lpstr>H2_LHV_MJ_p_kg</vt:lpstr>
      <vt:lpstr>H2_price_nominal</vt:lpstr>
      <vt:lpstr>H2_price_real</vt:lpstr>
      <vt:lpstr>Import_Variable_List</vt:lpstr>
      <vt:lpstr>inflated_fixed</vt:lpstr>
      <vt:lpstr>inflated_otherraw</vt:lpstr>
      <vt:lpstr>inflated_othervar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low_capacity_limit</vt:lpstr>
      <vt:lpstr>MACRS_Table</vt:lpstr>
      <vt:lpstr>material</vt:lpstr>
      <vt:lpstr>miles_to_km</vt:lpstr>
      <vt:lpstr>MJ_to_kWh</vt:lpstr>
      <vt:lpstr>mmBTU_to_GJ</vt:lpstr>
      <vt:lpstr>MPa_to_psi</vt:lpstr>
      <vt:lpstr>MPG_to_kWhPkm</vt:lpstr>
      <vt:lpstr>n_CO2_pumps</vt:lpstr>
      <vt:lpstr>n_pumps</vt:lpstr>
      <vt:lpstr>ncf_to_Nm3</vt:lpstr>
      <vt:lpstr>NG_to_CO2Pipeline</vt:lpstr>
      <vt:lpstr>nominal_irr</vt:lpstr>
      <vt:lpstr>non_dep_cap</vt:lpstr>
      <vt:lpstr>non_dep_infl</vt:lpstr>
      <vt:lpstr>NPV</vt:lpstr>
      <vt:lpstr>operator_profit</vt:lpstr>
      <vt:lpstr>other_fees</vt:lpstr>
      <vt:lpstr>other_fixed</vt:lpstr>
      <vt:lpstr>Other_indirect</vt:lpstr>
      <vt:lpstr>Other_Inputs_years</vt:lpstr>
      <vt:lpstr>output_kgpday</vt:lpstr>
      <vt:lpstr>output_kgyear</vt:lpstr>
      <vt:lpstr>overhead_GA</vt:lpstr>
      <vt:lpstr>overhead_rate</vt:lpstr>
      <vt:lpstr>percent_cap1</vt:lpstr>
      <vt:lpstr>percent_cap2</vt:lpstr>
      <vt:lpstr>percent_cap3</vt:lpstr>
      <vt:lpstr>percent_cap4</vt:lpstr>
      <vt:lpstr>percnt_fixed</vt:lpstr>
      <vt:lpstr>percnt_revs</vt:lpstr>
      <vt:lpstr>percnt_var</vt:lpstr>
      <vt:lpstr>Permitting</vt:lpstr>
      <vt:lpstr>plant_life</vt:lpstr>
      <vt:lpstr>pre_tax_nominal_IRR</vt:lpstr>
      <vt:lpstr>pre_tax_real_IRR</vt:lpstr>
      <vt:lpstr>Price_Table_in_Use</vt:lpstr>
      <vt:lpstr>Price_Table_List</vt:lpstr>
      <vt:lpstr>Price_Tables</vt:lpstr>
      <vt:lpstr>'AEO Data'!Print_Area</vt:lpstr>
      <vt:lpstr>'Capital Costs'!Print_Area</vt:lpstr>
      <vt:lpstr>'Cash Flow Analysis'!Print_Area</vt:lpstr>
      <vt:lpstr>'HyARC Physical Property Data'!Print_Area</vt:lpstr>
      <vt:lpstr>Input_Sheet_Template!Print_Area</vt:lpstr>
      <vt:lpstr>'Plant Scaling'!Print_Area</vt:lpstr>
      <vt:lpstr>'Replacement Costs'!Print_Area</vt:lpstr>
      <vt:lpstr>Results!Print_Area</vt:lpstr>
      <vt:lpstr>'Plant Scaling'!Print_Titles</vt:lpstr>
      <vt:lpstr>Proc_CO2_MTpY</vt:lpstr>
      <vt:lpstr>Proc_CO2_tax</vt:lpstr>
      <vt:lpstr>Proc_CO2_taxpYear</vt:lpstr>
      <vt:lpstr>ProcEqpCap</vt:lpstr>
      <vt:lpstr>Process_cont</vt:lpstr>
      <vt:lpstr>prod_maint</vt:lpstr>
      <vt:lpstr>Project_cont</vt:lpstr>
      <vt:lpstr>Pump_Eff</vt:lpstr>
      <vt:lpstr>pump_power</vt:lpstr>
      <vt:lpstr>R_CostDetail_6</vt:lpstr>
      <vt:lpstr>real_irr</vt:lpstr>
      <vt:lpstr>recovery_period</vt:lpstr>
      <vt:lpstr>recovery_year</vt:lpstr>
      <vt:lpstr>ref_year</vt:lpstr>
      <vt:lpstr>rent</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RunRiskAnalysis</vt:lpstr>
      <vt:lpstr>salvage</vt:lpstr>
      <vt:lpstr>salvage_perct</vt:lpstr>
      <vt:lpstr>Scale_Factor</vt:lpstr>
      <vt:lpstr>Scale_Ratio</vt:lpstr>
      <vt:lpstr>scaled_cap</vt:lpstr>
      <vt:lpstr>Scaling_Factor_Exponent</vt:lpstr>
      <vt:lpstr>Scaling_Method_Defaults</vt:lpstr>
      <vt:lpstr>Scaling_validation</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SensitivityInputs</vt:lpstr>
      <vt:lpstr>Site_prep</vt:lpstr>
      <vt:lpstr>solidwaste_treat</vt:lpstr>
      <vt:lpstr>START_BYPROD</vt:lpstr>
      <vt:lpstr>START_FEED</vt:lpstr>
      <vt:lpstr>START_NONE_BYPROD</vt:lpstr>
      <vt:lpstr>START_NONE_FEED</vt:lpstr>
      <vt:lpstr>START_NONE_TOP</vt:lpstr>
      <vt:lpstr>start_time</vt:lpstr>
      <vt:lpstr>START_TOP</vt:lpstr>
      <vt:lpstr>START_UTILITY</vt:lpstr>
      <vt:lpstr>startup_year</vt:lpstr>
      <vt:lpstr>StartYr_comm_Electricity</vt:lpstr>
      <vt:lpstr>StartYr_indust_Electricity</vt:lpstr>
      <vt:lpstr>state_tax_rate</vt:lpstr>
      <vt:lpstr>tax_credit</vt:lpstr>
      <vt:lpstr>tax_ins_rate</vt:lpstr>
      <vt:lpstr>tax_insurance</vt:lpstr>
      <vt:lpstr>Tbl_2005Emissions</vt:lpstr>
      <vt:lpstr>Tbl_eByprod_Transfer_Info</vt:lpstr>
      <vt:lpstr>Tbl_Emissions</vt:lpstr>
      <vt:lpstr>Tbl_eUtility_Transfer_Info</vt:lpstr>
      <vt:lpstr>Tbl_Feedstock_Transfer_Info</vt:lpstr>
      <vt:lpstr>Tbl_labor_indexes</vt:lpstr>
      <vt:lpstr>Tbl_material_byprod_transfer_info</vt:lpstr>
      <vt:lpstr>Tbl_Material_Input_transfer_info</vt:lpstr>
      <vt:lpstr>Tbl_PlantCostIndexes</vt:lpstr>
      <vt:lpstr>Tbl_Result_CCSCost</vt:lpstr>
      <vt:lpstr>TCI_infl</vt:lpstr>
      <vt:lpstr>Temp_Var_Location</vt:lpstr>
      <vt:lpstr>title</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total_non_energy_byproduct_credit</vt:lpstr>
      <vt:lpstr>Total_Non_Energy_Feed_Cost</vt:lpstr>
      <vt:lpstr>total_other_raw</vt:lpstr>
      <vt:lpstr>total_tax_rate</vt:lpstr>
      <vt:lpstr>total_utilities</vt:lpstr>
      <vt:lpstr>total_var</vt:lpstr>
      <vt:lpstr>upper_capacity_limit</vt:lpstr>
      <vt:lpstr>Upstream_CO2_tax</vt:lpstr>
      <vt:lpstr>Upstream_CO2_taxpYear</vt:lpstr>
      <vt:lpstr>Upstream_GHG_total</vt:lpstr>
      <vt:lpstr>Use_Default</vt:lpstr>
      <vt:lpstr>utilityIndustrial_Electricity_Price</vt:lpstr>
      <vt:lpstr>utilityIndustrial_Electricity_Usage</vt:lpstr>
      <vt:lpstr>VAR_FEED_VALUES</vt:lpstr>
      <vt:lpstr>var_misc</vt:lpstr>
      <vt:lpstr>VAR_NonE_FEED_VALUES</vt:lpstr>
      <vt:lpstr>waste_treat</vt:lpstr>
      <vt:lpstr>WorkingCap</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Current Central Hydrogen Production from Coal with CO2 Sequestration version 3.2018</dc:title>
  <dc:subject>DOE H2A production case study for current central hydrogen production from coal with CO2 sequestration.</dc:subject>
  <dc:creator>dsteward</dc:creator>
  <cp:lastModifiedBy>Havig, Sara</cp:lastModifiedBy>
  <cp:lastPrinted>2008-09-22T17:50:40Z</cp:lastPrinted>
  <dcterms:created xsi:type="dcterms:W3CDTF">2007-03-27T19:45:13Z</dcterms:created>
  <dcterms:modified xsi:type="dcterms:W3CDTF">2019-04-11T16:13:24Z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notes">
    <vt:lpwstr/>
  </property>
  <property fmtid="{D5CDD505-2E9C-101B-9397-08002B2CF9AE}" pid="3" name="ContentType">
    <vt:lpwstr>Document</vt:lpwstr>
  </property>
</Properties>
</file>